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drawings/drawing2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3" documentId="13_ncr:1_{DFFAEB45-3E44-4F63-BCD6-4D428013D670}" xr6:coauthVersionLast="47" xr6:coauthVersionMax="47" xr10:uidLastSave="{1A8361BA-9930-4E84-833B-7F177A2DB829}"/>
  <bookViews>
    <workbookView xWindow="-120" yWindow="-120" windowWidth="29040" windowHeight="15720" xr2:uid="{0DD40DFC-E5D4-4A12-BB0D-A2AEE54362FD}"/>
  </bookViews>
  <sheets>
    <sheet name="Utility target list" sheetId="8" r:id="rId1"/>
    <sheet name="Program_data" sheetId="2" r:id="rId2"/>
    <sheet name="Pivot_Charts" sheetId="19" r:id="rId3"/>
    <sheet name="EIAwtransport" sheetId="13" r:id="rId4"/>
    <sheet name="EIAwTport_Pivot" sheetId="14" r:id="rId5"/>
  </sheets>
  <definedNames>
    <definedName name="_xlnm._FilterDatabase" localSheetId="3" hidden="1">EIAwtransport!$A$1:$J$675</definedName>
    <definedName name="_xlnm._FilterDatabase" localSheetId="1" hidden="1">Program_data!$A$2:$AK$1492</definedName>
    <definedName name="Year1">#REF!</definedName>
    <definedName name="Year2">#REF!</definedName>
    <definedName name="Year3">#REF!</definedName>
  </definedNames>
  <calcPr calcId="191028"/>
  <pivotCaches>
    <pivotCache cacheId="0" r:id="rId6"/>
    <pivotCache cacheId="1" r:id="rId7"/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4" i="13" l="1"/>
  <c r="J671" i="13"/>
  <c r="J672" i="13" s="1"/>
  <c r="J675" i="13" s="1"/>
  <c r="AE634" i="2"/>
  <c r="AG634" i="2"/>
  <c r="AH634" i="2"/>
  <c r="AE626" i="2"/>
  <c r="AG626" i="2"/>
  <c r="AH626" i="2"/>
  <c r="AE622" i="2"/>
  <c r="AG622" i="2"/>
  <c r="AH622" i="2"/>
  <c r="AE618" i="2"/>
  <c r="AG618" i="2"/>
  <c r="AH618" i="2"/>
  <c r="AE614" i="2"/>
  <c r="AG614" i="2"/>
  <c r="AH614" i="2"/>
  <c r="AE610" i="2"/>
  <c r="AG610" i="2"/>
  <c r="AH610" i="2"/>
  <c r="AE606" i="2"/>
  <c r="AG606" i="2"/>
  <c r="AH606" i="2"/>
  <c r="AE602" i="2"/>
  <c r="AG602" i="2"/>
  <c r="AH602" i="2"/>
  <c r="E188" i="2"/>
  <c r="E157" i="2"/>
  <c r="E186" i="2"/>
  <c r="E154" i="2"/>
  <c r="E177" i="2"/>
  <c r="E145" i="2"/>
  <c r="E175" i="2"/>
  <c r="E143" i="2"/>
  <c r="AE552" i="2"/>
  <c r="AG552" i="2"/>
  <c r="AH552" i="2"/>
  <c r="AE553" i="2"/>
  <c r="AG553" i="2"/>
  <c r="AH553" i="2"/>
  <c r="M553" i="2"/>
  <c r="E553" i="2"/>
  <c r="M552" i="2"/>
  <c r="E552" i="2"/>
  <c r="AE1321" i="2"/>
  <c r="AG1321" i="2"/>
  <c r="AH1321" i="2"/>
  <c r="AE1322" i="2"/>
  <c r="AG1322" i="2"/>
  <c r="AH1322" i="2"/>
  <c r="AE1323" i="2"/>
  <c r="AG1323" i="2"/>
  <c r="AH1323" i="2"/>
  <c r="AE1324" i="2"/>
  <c r="AG1324" i="2"/>
  <c r="AH1324" i="2"/>
  <c r="AE1325" i="2"/>
  <c r="AG1325" i="2"/>
  <c r="AH1325" i="2"/>
  <c r="AE1326" i="2"/>
  <c r="AG1326" i="2"/>
  <c r="AH1326" i="2"/>
  <c r="AE1327" i="2"/>
  <c r="AG1327" i="2"/>
  <c r="AH1327" i="2"/>
  <c r="AE1328" i="2"/>
  <c r="AG1328" i="2"/>
  <c r="AH1328" i="2"/>
  <c r="AE1329" i="2"/>
  <c r="AG1329" i="2"/>
  <c r="AH1329" i="2"/>
  <c r="AE1330" i="2"/>
  <c r="AG1330" i="2"/>
  <c r="AH1330" i="2"/>
  <c r="AE1331" i="2"/>
  <c r="AG1331" i="2"/>
  <c r="AH1331" i="2"/>
  <c r="AE1332" i="2"/>
  <c r="AG1332" i="2"/>
  <c r="AH1332" i="2"/>
  <c r="AE1333" i="2"/>
  <c r="AG1333" i="2"/>
  <c r="AH1333" i="2"/>
  <c r="AE1334" i="2"/>
  <c r="AG1334" i="2"/>
  <c r="AH1334" i="2"/>
  <c r="AE1335" i="2"/>
  <c r="AG1335" i="2"/>
  <c r="AH1335" i="2"/>
  <c r="AE1336" i="2"/>
  <c r="AG1336" i="2"/>
  <c r="AH1336" i="2"/>
  <c r="AE1337" i="2"/>
  <c r="AG1337" i="2"/>
  <c r="AH1337" i="2"/>
  <c r="AE1338" i="2"/>
  <c r="AG1338" i="2"/>
  <c r="AH1338" i="2"/>
  <c r="AE1339" i="2"/>
  <c r="AG1339" i="2"/>
  <c r="AH1339" i="2"/>
  <c r="AE1340" i="2"/>
  <c r="AG1340" i="2"/>
  <c r="AH1340" i="2"/>
  <c r="AE1341" i="2"/>
  <c r="AG1341" i="2"/>
  <c r="AH1341" i="2"/>
  <c r="AE1342" i="2"/>
  <c r="AG1342" i="2"/>
  <c r="AH1342" i="2"/>
  <c r="AE1343" i="2"/>
  <c r="AG1343" i="2"/>
  <c r="AH1343" i="2"/>
  <c r="AE1344" i="2"/>
  <c r="AG1344" i="2"/>
  <c r="AH1344" i="2"/>
  <c r="AE1345" i="2"/>
  <c r="AG1345" i="2"/>
  <c r="AH1345" i="2"/>
  <c r="AE1346" i="2"/>
  <c r="AG1346" i="2"/>
  <c r="AH1346" i="2"/>
  <c r="AE1347" i="2"/>
  <c r="AG1347" i="2"/>
  <c r="AH1347" i="2"/>
  <c r="AE1348" i="2"/>
  <c r="AG1348" i="2"/>
  <c r="AH1348" i="2"/>
  <c r="AE1349" i="2"/>
  <c r="AG1349" i="2"/>
  <c r="AH1349" i="2"/>
  <c r="AE1350" i="2"/>
  <c r="AG1350" i="2"/>
  <c r="AH1350" i="2"/>
  <c r="AE1351" i="2"/>
  <c r="AG1351" i="2"/>
  <c r="AH1351" i="2"/>
  <c r="AE1352" i="2"/>
  <c r="AG1352" i="2"/>
  <c r="AH1352" i="2"/>
  <c r="AE1353" i="2"/>
  <c r="AG1353" i="2"/>
  <c r="AH1353" i="2"/>
  <c r="AE1354" i="2"/>
  <c r="AG1354" i="2"/>
  <c r="AH1354" i="2"/>
  <c r="AE1355" i="2"/>
  <c r="AG1355" i="2"/>
  <c r="AH1355" i="2"/>
  <c r="AE1356" i="2"/>
  <c r="AG1356" i="2"/>
  <c r="AH1356" i="2"/>
  <c r="AE1357" i="2"/>
  <c r="AG1357" i="2"/>
  <c r="AH1357" i="2"/>
  <c r="AE1358" i="2"/>
  <c r="AG1358" i="2"/>
  <c r="AH1358" i="2"/>
  <c r="AE1359" i="2"/>
  <c r="AG1359" i="2"/>
  <c r="AH1359" i="2"/>
  <c r="AE1360" i="2"/>
  <c r="AG1360" i="2"/>
  <c r="AH1360" i="2"/>
  <c r="AE1361" i="2"/>
  <c r="AG1361" i="2"/>
  <c r="AH1361" i="2"/>
  <c r="AE1362" i="2"/>
  <c r="AG1362" i="2"/>
  <c r="AH1362" i="2"/>
  <c r="AE1363" i="2"/>
  <c r="AG1363" i="2"/>
  <c r="AH1363" i="2"/>
  <c r="AE1364" i="2"/>
  <c r="AG1364" i="2"/>
  <c r="AH1364" i="2"/>
  <c r="AE1365" i="2"/>
  <c r="AG1365" i="2"/>
  <c r="AH1365" i="2"/>
  <c r="AE1366" i="2"/>
  <c r="AG1366" i="2"/>
  <c r="AH1366" i="2"/>
  <c r="AE1367" i="2"/>
  <c r="AG1367" i="2"/>
  <c r="AH1367" i="2"/>
  <c r="AE1368" i="2"/>
  <c r="AG1368" i="2"/>
  <c r="AH1368" i="2"/>
  <c r="AE1369" i="2"/>
  <c r="AG1369" i="2"/>
  <c r="AH1369" i="2"/>
  <c r="AE1370" i="2"/>
  <c r="AG1370" i="2"/>
  <c r="AH1370" i="2"/>
  <c r="AE1371" i="2"/>
  <c r="AG1371" i="2"/>
  <c r="AH1371" i="2"/>
  <c r="AE1372" i="2"/>
  <c r="AG1372" i="2"/>
  <c r="AH1372" i="2"/>
  <c r="AE1373" i="2"/>
  <c r="AG1373" i="2"/>
  <c r="AH1373" i="2"/>
  <c r="AE1374" i="2"/>
  <c r="AG1374" i="2"/>
  <c r="AH1374" i="2"/>
  <c r="AE1375" i="2"/>
  <c r="AG1375" i="2"/>
  <c r="AH1375" i="2"/>
  <c r="AE1376" i="2"/>
  <c r="AG1376" i="2"/>
  <c r="AH1376" i="2"/>
  <c r="AE1377" i="2"/>
  <c r="AG1377" i="2"/>
  <c r="AH1377" i="2"/>
  <c r="AE1378" i="2"/>
  <c r="AG1378" i="2"/>
  <c r="AH1378" i="2"/>
  <c r="AE1379" i="2"/>
  <c r="AG1379" i="2"/>
  <c r="AH1379" i="2"/>
  <c r="AE1380" i="2"/>
  <c r="AG1380" i="2"/>
  <c r="AH1380" i="2"/>
  <c r="AE1381" i="2"/>
  <c r="AG1381" i="2"/>
  <c r="AH1381" i="2"/>
  <c r="AE1382" i="2"/>
  <c r="AG1382" i="2"/>
  <c r="AH1382" i="2"/>
  <c r="AE1383" i="2"/>
  <c r="AG1383" i="2"/>
  <c r="AH1383" i="2"/>
  <c r="AE1384" i="2"/>
  <c r="AG1384" i="2"/>
  <c r="AH1384" i="2"/>
  <c r="AE1385" i="2"/>
  <c r="AG1385" i="2"/>
  <c r="AH1385" i="2"/>
  <c r="AE1386" i="2"/>
  <c r="AG1386" i="2"/>
  <c r="AH1386" i="2"/>
  <c r="AE1387" i="2"/>
  <c r="AG1387" i="2"/>
  <c r="AH1387" i="2"/>
  <c r="AE1388" i="2"/>
  <c r="AG1388" i="2"/>
  <c r="AH1388" i="2"/>
  <c r="AE1389" i="2"/>
  <c r="AG1389" i="2"/>
  <c r="AH1389" i="2"/>
  <c r="AE1390" i="2"/>
  <c r="AG1390" i="2"/>
  <c r="AH1390" i="2"/>
  <c r="AE1391" i="2"/>
  <c r="AG1391" i="2"/>
  <c r="AH1391" i="2"/>
  <c r="AE1392" i="2"/>
  <c r="AG1392" i="2"/>
  <c r="AH1392" i="2"/>
  <c r="AE1393" i="2"/>
  <c r="AG1393" i="2"/>
  <c r="AH1393" i="2"/>
  <c r="AE1394" i="2"/>
  <c r="AG1394" i="2"/>
  <c r="AH1394" i="2"/>
  <c r="AE1395" i="2"/>
  <c r="AG1395" i="2"/>
  <c r="AH1395" i="2"/>
  <c r="AE1396" i="2"/>
  <c r="AG1396" i="2"/>
  <c r="AH1396" i="2"/>
  <c r="AE1397" i="2"/>
  <c r="AG1397" i="2"/>
  <c r="AH1397" i="2"/>
  <c r="AE1398" i="2"/>
  <c r="AG1398" i="2"/>
  <c r="AH1398" i="2"/>
  <c r="AE1399" i="2"/>
  <c r="AG1399" i="2"/>
  <c r="AH1399" i="2"/>
  <c r="AE1400" i="2"/>
  <c r="AG1400" i="2"/>
  <c r="AH1400" i="2"/>
  <c r="AE1401" i="2"/>
  <c r="AG1401" i="2"/>
  <c r="AH1401" i="2"/>
  <c r="AE1402" i="2"/>
  <c r="AG1402" i="2"/>
  <c r="AH1402" i="2"/>
  <c r="AE1403" i="2"/>
  <c r="AG1403" i="2"/>
  <c r="AH1403" i="2"/>
  <c r="AE1404" i="2"/>
  <c r="AG1404" i="2"/>
  <c r="AH1404" i="2"/>
  <c r="AE1405" i="2"/>
  <c r="AG1405" i="2"/>
  <c r="AH1405" i="2"/>
  <c r="AE1406" i="2"/>
  <c r="AG1406" i="2"/>
  <c r="AH1406" i="2"/>
  <c r="AE1407" i="2"/>
  <c r="AG1407" i="2"/>
  <c r="AH1407" i="2"/>
  <c r="AE1408" i="2"/>
  <c r="AG1408" i="2"/>
  <c r="AH1408" i="2"/>
  <c r="AE1409" i="2"/>
  <c r="AG1409" i="2"/>
  <c r="AH1409" i="2"/>
  <c r="AE1410" i="2"/>
  <c r="AG1410" i="2"/>
  <c r="AH1410" i="2"/>
  <c r="AE1411" i="2"/>
  <c r="AG1411" i="2"/>
  <c r="AH1411" i="2"/>
  <c r="AE1412" i="2"/>
  <c r="AG1412" i="2"/>
  <c r="AH1412" i="2"/>
  <c r="AE1413" i="2"/>
  <c r="AG1413" i="2"/>
  <c r="AH1413" i="2"/>
  <c r="AE1414" i="2"/>
  <c r="AG1414" i="2"/>
  <c r="AH1414" i="2"/>
  <c r="AE1415" i="2"/>
  <c r="AG1415" i="2"/>
  <c r="AH1415" i="2"/>
  <c r="AE1416" i="2"/>
  <c r="AG1416" i="2"/>
  <c r="AH1416" i="2"/>
  <c r="AE1417" i="2"/>
  <c r="AG1417" i="2"/>
  <c r="AH1417" i="2"/>
  <c r="AE1418" i="2"/>
  <c r="AG1418" i="2"/>
  <c r="AH1418" i="2"/>
  <c r="AE1419" i="2"/>
  <c r="AG1419" i="2"/>
  <c r="AH1419" i="2"/>
  <c r="AE1420" i="2"/>
  <c r="AG1420" i="2"/>
  <c r="AH1420" i="2"/>
  <c r="AE1421" i="2"/>
  <c r="AG1421" i="2"/>
  <c r="AH1421" i="2"/>
  <c r="AE1422" i="2"/>
  <c r="AG1422" i="2"/>
  <c r="AH1422" i="2"/>
  <c r="AE1423" i="2"/>
  <c r="AG1423" i="2"/>
  <c r="AH1423" i="2"/>
  <c r="AE1424" i="2"/>
  <c r="AG1424" i="2"/>
  <c r="AH1424" i="2"/>
  <c r="AE1425" i="2"/>
  <c r="AG1425" i="2"/>
  <c r="AH1425" i="2"/>
  <c r="AE1426" i="2"/>
  <c r="AG1426" i="2"/>
  <c r="AH1426" i="2"/>
  <c r="AE1427" i="2"/>
  <c r="AG1427" i="2"/>
  <c r="AH1427" i="2"/>
  <c r="AE1428" i="2"/>
  <c r="AG1428" i="2"/>
  <c r="AH1428" i="2"/>
  <c r="AE1429" i="2"/>
  <c r="AG1429" i="2"/>
  <c r="AH1429" i="2"/>
  <c r="AE1430" i="2"/>
  <c r="AG1430" i="2"/>
  <c r="AH1430" i="2"/>
  <c r="AE1431" i="2"/>
  <c r="AG1431" i="2"/>
  <c r="AH1431" i="2"/>
  <c r="AE1432" i="2"/>
  <c r="AG1432" i="2"/>
  <c r="AH1432" i="2"/>
  <c r="AE1433" i="2"/>
  <c r="AG1433" i="2"/>
  <c r="AH1433" i="2"/>
  <c r="AE1434" i="2"/>
  <c r="AG1434" i="2"/>
  <c r="AH1434" i="2"/>
  <c r="AE1435" i="2"/>
  <c r="AG1435" i="2"/>
  <c r="AH1435" i="2"/>
  <c r="AE1436" i="2"/>
  <c r="AG1436" i="2"/>
  <c r="AH1436" i="2"/>
  <c r="AE1437" i="2"/>
  <c r="AG1437" i="2"/>
  <c r="AH1437" i="2"/>
  <c r="AE1438" i="2"/>
  <c r="AG1438" i="2"/>
  <c r="AH1438" i="2"/>
  <c r="AE1439" i="2"/>
  <c r="AG1439" i="2"/>
  <c r="AH1439" i="2"/>
  <c r="AE1440" i="2"/>
  <c r="AG1440" i="2"/>
  <c r="AH1440" i="2"/>
  <c r="AE1441" i="2"/>
  <c r="AG1441" i="2"/>
  <c r="AH1441" i="2"/>
  <c r="AE1442" i="2"/>
  <c r="AG1442" i="2"/>
  <c r="AH1442" i="2"/>
  <c r="AE1443" i="2"/>
  <c r="AG1443" i="2"/>
  <c r="AH1443" i="2"/>
  <c r="AE1444" i="2"/>
  <c r="AG1444" i="2"/>
  <c r="AH1444" i="2"/>
  <c r="AE1445" i="2"/>
  <c r="AG1445" i="2"/>
  <c r="AH1445" i="2"/>
  <c r="AE1446" i="2"/>
  <c r="AG1446" i="2"/>
  <c r="AH1446" i="2"/>
  <c r="AE1447" i="2"/>
  <c r="AG1447" i="2"/>
  <c r="AH1447" i="2"/>
  <c r="AE1448" i="2"/>
  <c r="AG1448" i="2"/>
  <c r="AH1448" i="2"/>
  <c r="AE1449" i="2"/>
  <c r="AG1449" i="2"/>
  <c r="AH1449" i="2"/>
  <c r="AE1450" i="2"/>
  <c r="AG1450" i="2"/>
  <c r="AH1450" i="2"/>
  <c r="AE1451" i="2"/>
  <c r="AG1451" i="2"/>
  <c r="AH1451" i="2"/>
  <c r="AE1452" i="2"/>
  <c r="AG1452" i="2"/>
  <c r="AH1452" i="2"/>
  <c r="AE1453" i="2"/>
  <c r="AG1453" i="2"/>
  <c r="AH1453" i="2"/>
  <c r="AE1454" i="2"/>
  <c r="AG1454" i="2"/>
  <c r="AH1454" i="2"/>
  <c r="AE1455" i="2"/>
  <c r="AG1455" i="2"/>
  <c r="AH1455" i="2"/>
  <c r="AE1456" i="2"/>
  <c r="AG1456" i="2"/>
  <c r="AH1456" i="2"/>
  <c r="AE1457" i="2"/>
  <c r="AG1457" i="2"/>
  <c r="AH1457" i="2"/>
  <c r="AE1458" i="2"/>
  <c r="AG1458" i="2"/>
  <c r="AH1458" i="2"/>
  <c r="AE1459" i="2"/>
  <c r="AG1459" i="2"/>
  <c r="AH1459" i="2"/>
  <c r="AE1460" i="2"/>
  <c r="AG1460" i="2"/>
  <c r="AH1460" i="2"/>
  <c r="AE1461" i="2"/>
  <c r="AG1461" i="2"/>
  <c r="AH1461" i="2"/>
  <c r="AE1462" i="2"/>
  <c r="AG1462" i="2"/>
  <c r="AH1462" i="2"/>
  <c r="AE1463" i="2"/>
  <c r="AG1463" i="2"/>
  <c r="AH1463" i="2"/>
  <c r="AE1464" i="2"/>
  <c r="AG1464" i="2"/>
  <c r="AH1464" i="2"/>
  <c r="AE1465" i="2"/>
  <c r="AG1465" i="2"/>
  <c r="AH1465" i="2"/>
  <c r="AE1466" i="2"/>
  <c r="AG1466" i="2"/>
  <c r="AH1466" i="2"/>
  <c r="AE1467" i="2"/>
  <c r="AG1467" i="2"/>
  <c r="AH1467" i="2"/>
  <c r="AE1468" i="2"/>
  <c r="AG1468" i="2"/>
  <c r="AH1468" i="2"/>
  <c r="AE1469" i="2"/>
  <c r="AG1469" i="2"/>
  <c r="AH1469" i="2"/>
  <c r="AE1470" i="2"/>
  <c r="AG1470" i="2"/>
  <c r="AH1470" i="2"/>
  <c r="AE1471" i="2"/>
  <c r="AG1471" i="2"/>
  <c r="AH1471" i="2"/>
  <c r="AE1472" i="2"/>
  <c r="AG1472" i="2"/>
  <c r="AH1472" i="2"/>
  <c r="AE1473" i="2"/>
  <c r="AG1473" i="2"/>
  <c r="AH1473" i="2"/>
  <c r="AE1474" i="2"/>
  <c r="AG1474" i="2"/>
  <c r="AH1474" i="2"/>
  <c r="AE1475" i="2"/>
  <c r="AG1475" i="2"/>
  <c r="AH1475" i="2"/>
  <c r="AE1476" i="2"/>
  <c r="AG1476" i="2"/>
  <c r="AH1476" i="2"/>
  <c r="AE1477" i="2"/>
  <c r="AG1477" i="2"/>
  <c r="AH1477" i="2"/>
  <c r="AE1478" i="2"/>
  <c r="AG1478" i="2"/>
  <c r="AH1478" i="2"/>
  <c r="AE1479" i="2"/>
  <c r="AG1479" i="2"/>
  <c r="AH1479" i="2"/>
  <c r="AE1480" i="2"/>
  <c r="AG1480" i="2"/>
  <c r="AH1480" i="2"/>
  <c r="AE1481" i="2"/>
  <c r="AG1481" i="2"/>
  <c r="AH1481" i="2"/>
  <c r="AE1482" i="2"/>
  <c r="AG1482" i="2"/>
  <c r="AH1482" i="2"/>
  <c r="AE1483" i="2"/>
  <c r="AG1483" i="2"/>
  <c r="AH1483" i="2"/>
  <c r="AE1484" i="2"/>
  <c r="AG1484" i="2"/>
  <c r="AH1484" i="2"/>
  <c r="AE1485" i="2"/>
  <c r="AG1485" i="2"/>
  <c r="AH1485" i="2"/>
  <c r="AE1486" i="2"/>
  <c r="AG1486" i="2"/>
  <c r="AH1486" i="2"/>
  <c r="AE1487" i="2"/>
  <c r="AG1487" i="2"/>
  <c r="AH1487" i="2"/>
  <c r="AE1488" i="2"/>
  <c r="AG1488" i="2"/>
  <c r="AH1488" i="2"/>
  <c r="AE1489" i="2"/>
  <c r="AG1489" i="2"/>
  <c r="AH1489" i="2"/>
  <c r="AE1490" i="2"/>
  <c r="AG1490" i="2"/>
  <c r="AH1490" i="2"/>
  <c r="AE1491" i="2"/>
  <c r="AG1491" i="2"/>
  <c r="AH1491" i="2"/>
  <c r="AE1492" i="2"/>
  <c r="AG1492" i="2"/>
  <c r="AH1492" i="2"/>
  <c r="E453" i="2"/>
  <c r="E454" i="2"/>
  <c r="E455" i="2"/>
  <c r="E457" i="2"/>
  <c r="E458" i="2"/>
  <c r="E459" i="2"/>
  <c r="E460" i="2"/>
  <c r="L460" i="2"/>
  <c r="E461" i="2"/>
  <c r="L461" i="2"/>
  <c r="E462" i="2"/>
  <c r="L462" i="2"/>
  <c r="E463" i="2"/>
  <c r="L463" i="2"/>
  <c r="E464" i="2"/>
  <c r="L464" i="2"/>
  <c r="E465" i="2"/>
  <c r="L465" i="2"/>
  <c r="E466" i="2"/>
  <c r="L466" i="2"/>
  <c r="E467" i="2"/>
  <c r="L467" i="2"/>
  <c r="E469" i="2"/>
  <c r="E470" i="2"/>
  <c r="L470" i="2"/>
  <c r="E471" i="2"/>
  <c r="L471" i="2"/>
  <c r="E472" i="2"/>
  <c r="L472" i="2"/>
  <c r="E473" i="2"/>
  <c r="L473" i="2"/>
  <c r="E474" i="2"/>
  <c r="L474" i="2"/>
  <c r="E475" i="2"/>
  <c r="L475" i="2"/>
  <c r="E477" i="2"/>
  <c r="E478" i="2"/>
  <c r="E479" i="2"/>
  <c r="E481" i="2"/>
  <c r="E482" i="2"/>
  <c r="E483" i="2"/>
  <c r="E484" i="2"/>
  <c r="L484" i="2"/>
  <c r="E485" i="2"/>
  <c r="L485" i="2"/>
  <c r="E486" i="2"/>
  <c r="L486" i="2"/>
  <c r="E487" i="2"/>
  <c r="L487" i="2"/>
  <c r="E488" i="2"/>
  <c r="L488" i="2"/>
  <c r="E489" i="2"/>
  <c r="L489" i="2"/>
  <c r="E490" i="2"/>
  <c r="L490" i="2"/>
  <c r="E491" i="2"/>
  <c r="L491" i="2"/>
  <c r="E493" i="2"/>
  <c r="E494" i="2"/>
  <c r="E495" i="2"/>
  <c r="E497" i="2"/>
  <c r="E498" i="2"/>
  <c r="E499" i="2"/>
  <c r="E500" i="2"/>
  <c r="L500" i="2"/>
  <c r="E501" i="2"/>
  <c r="L501" i="2"/>
  <c r="E502" i="2"/>
  <c r="L502" i="2"/>
  <c r="E503" i="2"/>
  <c r="L503" i="2"/>
  <c r="E504" i="2"/>
  <c r="L504" i="2"/>
  <c r="E505" i="2"/>
  <c r="L505" i="2"/>
  <c r="E506" i="2"/>
  <c r="L506" i="2"/>
  <c r="E507" i="2"/>
  <c r="L507" i="2"/>
  <c r="E508" i="2"/>
  <c r="L508" i="2"/>
  <c r="E509" i="2"/>
  <c r="L509" i="2"/>
  <c r="E510" i="2"/>
  <c r="L510" i="2"/>
  <c r="E511" i="2"/>
  <c r="L511" i="2"/>
  <c r="E513" i="2"/>
  <c r="E514" i="2"/>
  <c r="E515" i="2"/>
  <c r="E517" i="2"/>
  <c r="E518" i="2"/>
  <c r="E519" i="2"/>
  <c r="E521" i="2"/>
  <c r="E522" i="2"/>
  <c r="E523" i="2"/>
  <c r="E524" i="2"/>
  <c r="L524" i="2"/>
  <c r="E525" i="2"/>
  <c r="L525" i="2"/>
  <c r="E526" i="2"/>
  <c r="L526" i="2"/>
  <c r="E527" i="2"/>
  <c r="L527" i="2"/>
  <c r="E528" i="2"/>
  <c r="L528" i="2"/>
  <c r="E529" i="2"/>
  <c r="L529" i="2"/>
  <c r="E530" i="2"/>
  <c r="L530" i="2"/>
  <c r="E531" i="2"/>
  <c r="L531" i="2"/>
  <c r="E532" i="2"/>
  <c r="L532" i="2"/>
  <c r="E533" i="2"/>
  <c r="L533" i="2"/>
  <c r="E534" i="2"/>
  <c r="L534" i="2"/>
  <c r="E535" i="2"/>
  <c r="L535" i="2"/>
  <c r="E537" i="2"/>
  <c r="E538" i="2"/>
  <c r="E539" i="2"/>
  <c r="E541" i="2"/>
  <c r="E542" i="2"/>
  <c r="E543" i="2"/>
  <c r="E545" i="2"/>
  <c r="E546" i="2"/>
  <c r="E547" i="2"/>
  <c r="E549" i="2"/>
  <c r="E550" i="2"/>
  <c r="E551" i="2"/>
  <c r="E554" i="2"/>
  <c r="L554" i="2"/>
  <c r="E555" i="2"/>
  <c r="L555" i="2"/>
  <c r="E556" i="2"/>
  <c r="L556" i="2"/>
  <c r="E557" i="2"/>
  <c r="L557" i="2"/>
  <c r="E559" i="2"/>
  <c r="E560" i="2"/>
  <c r="E561" i="2"/>
  <c r="E563" i="2"/>
  <c r="E564" i="2"/>
  <c r="E565" i="2"/>
  <c r="E567" i="2"/>
  <c r="E568" i="2"/>
  <c r="E569" i="2"/>
  <c r="E571" i="2"/>
  <c r="E572" i="2"/>
  <c r="E573" i="2"/>
  <c r="E575" i="2"/>
  <c r="E576" i="2"/>
  <c r="E577" i="2"/>
  <c r="E579" i="2"/>
  <c r="E580" i="2"/>
  <c r="E581" i="2"/>
  <c r="E583" i="2"/>
  <c r="E584" i="2"/>
  <c r="E585" i="2"/>
  <c r="E587" i="2"/>
  <c r="E588" i="2"/>
  <c r="E589" i="2"/>
  <c r="E591" i="2"/>
  <c r="E592" i="2"/>
  <c r="E593" i="2"/>
  <c r="E595" i="2"/>
  <c r="E596" i="2"/>
  <c r="E597" i="2"/>
  <c r="E599" i="2"/>
  <c r="E600" i="2"/>
  <c r="E601" i="2"/>
  <c r="E603" i="2"/>
  <c r="E604" i="2"/>
  <c r="E605" i="2"/>
  <c r="E607" i="2"/>
  <c r="E608" i="2"/>
  <c r="E609" i="2"/>
  <c r="E611" i="2"/>
  <c r="E612" i="2"/>
  <c r="E613" i="2"/>
  <c r="E615" i="2"/>
  <c r="E616" i="2"/>
  <c r="E617" i="2"/>
  <c r="E619" i="2"/>
  <c r="E620" i="2"/>
  <c r="E621" i="2"/>
  <c r="E623" i="2"/>
  <c r="E624" i="2"/>
  <c r="E625" i="2"/>
  <c r="AG429" i="2" l="1"/>
  <c r="AG428" i="2"/>
  <c r="E429" i="2"/>
  <c r="E428" i="2"/>
  <c r="E404" i="2" l="1"/>
  <c r="E405" i="2"/>
  <c r="AD385" i="2"/>
  <c r="AE385" i="2"/>
  <c r="AG385" i="2"/>
  <c r="L385" i="2"/>
  <c r="E385" i="2"/>
  <c r="AH385" i="2" l="1"/>
  <c r="L372" i="2" l="1"/>
  <c r="L371" i="2"/>
  <c r="E372" i="2"/>
  <c r="E371" i="2"/>
  <c r="E370" i="2"/>
  <c r="L370" i="2"/>
  <c r="E369" i="2"/>
  <c r="L369" i="2"/>
  <c r="E366" i="2"/>
  <c r="L366" i="2"/>
  <c r="L365" i="2"/>
  <c r="E365" i="2"/>
  <c r="L364" i="2"/>
  <c r="L363" i="2"/>
  <c r="E364" i="2"/>
  <c r="E363" i="2"/>
  <c r="L368" i="2"/>
  <c r="L367" i="2"/>
  <c r="E368" i="2"/>
  <c r="E367" i="2"/>
  <c r="AE754" i="2"/>
  <c r="AG754" i="2"/>
  <c r="L754" i="2"/>
  <c r="E754" i="2"/>
  <c r="AH754" i="2" l="1"/>
  <c r="AE1277" i="2" l="1"/>
  <c r="AE1279" i="2"/>
  <c r="AE1281" i="2"/>
  <c r="AE1283" i="2"/>
  <c r="AE1285" i="2"/>
  <c r="AE1286" i="2"/>
  <c r="E1281" i="2"/>
  <c r="AG1281" i="2"/>
  <c r="AH1281" i="2"/>
  <c r="E1277" i="2"/>
  <c r="AG1277" i="2"/>
  <c r="AH1277" i="2"/>
  <c r="E1278" i="2"/>
  <c r="AE1278" i="2"/>
  <c r="AG1278" i="2"/>
  <c r="AH1278" i="2"/>
  <c r="E1287" i="2"/>
  <c r="AE1287" i="2"/>
  <c r="AG1287" i="2"/>
  <c r="AH1287" i="2"/>
  <c r="E1279" i="2"/>
  <c r="AG1279" i="2"/>
  <c r="AH1279" i="2"/>
  <c r="E1280" i="2"/>
  <c r="AE1280" i="2"/>
  <c r="AG1280" i="2"/>
  <c r="AH1280" i="2"/>
  <c r="E1282" i="2"/>
  <c r="AE1282" i="2"/>
  <c r="AG1282" i="2"/>
  <c r="AH1282" i="2"/>
  <c r="E1283" i="2"/>
  <c r="AG1283" i="2"/>
  <c r="AH1283" i="2"/>
  <c r="E1284" i="2"/>
  <c r="AE1284" i="2"/>
  <c r="AG1284" i="2"/>
  <c r="AH1284" i="2"/>
  <c r="E1285" i="2"/>
  <c r="AG1285" i="2"/>
  <c r="AH1285" i="2"/>
  <c r="E1286" i="2"/>
  <c r="AG1286" i="2"/>
  <c r="AH1286" i="2"/>
  <c r="L870" i="2" l="1"/>
  <c r="L871" i="2"/>
  <c r="L872" i="2"/>
  <c r="L873" i="2"/>
  <c r="L874" i="2"/>
  <c r="L875" i="2"/>
  <c r="L876" i="2"/>
  <c r="AG876" i="2"/>
  <c r="AG875" i="2"/>
  <c r="AG874" i="2"/>
  <c r="AG873" i="2"/>
  <c r="AG872" i="2"/>
  <c r="AG871" i="2"/>
  <c r="AG870" i="2"/>
  <c r="AE876" i="2"/>
  <c r="AE875" i="2"/>
  <c r="AE874" i="2"/>
  <c r="AE873" i="2"/>
  <c r="AE872" i="2"/>
  <c r="AE871" i="2"/>
  <c r="AE870" i="2"/>
  <c r="L868" i="2"/>
  <c r="AG440" i="2"/>
  <c r="AG441" i="2"/>
  <c r="AG442" i="2"/>
  <c r="AG443" i="2"/>
  <c r="AG444" i="2"/>
  <c r="AG445" i="2"/>
  <c r="AG446" i="2"/>
  <c r="AG447" i="2"/>
  <c r="AG448" i="2"/>
  <c r="AG449" i="2"/>
  <c r="AG450" i="2"/>
  <c r="AG451" i="2"/>
  <c r="AG452" i="2"/>
  <c r="AH452" i="2"/>
  <c r="AG453" i="2"/>
  <c r="AH453" i="2"/>
  <c r="AG454" i="2"/>
  <c r="AH454" i="2"/>
  <c r="AG455" i="2"/>
  <c r="AH455" i="2"/>
  <c r="AG456" i="2"/>
  <c r="AH456" i="2"/>
  <c r="AG457" i="2"/>
  <c r="AH457" i="2"/>
  <c r="AG458" i="2"/>
  <c r="AH458" i="2"/>
  <c r="AG459" i="2"/>
  <c r="AH459" i="2"/>
  <c r="AG460" i="2"/>
  <c r="AG461" i="2"/>
  <c r="AG462" i="2"/>
  <c r="AG463" i="2"/>
  <c r="AG464" i="2"/>
  <c r="AG465" i="2"/>
  <c r="AG466" i="2"/>
  <c r="AG467" i="2"/>
  <c r="AG468" i="2"/>
  <c r="AH468" i="2"/>
  <c r="AG469" i="2"/>
  <c r="AH469" i="2"/>
  <c r="AG470" i="2"/>
  <c r="AG471" i="2"/>
  <c r="AG472" i="2"/>
  <c r="AG473" i="2"/>
  <c r="AG474" i="2"/>
  <c r="AG475" i="2"/>
  <c r="AG476" i="2"/>
  <c r="AH476" i="2"/>
  <c r="AG477" i="2"/>
  <c r="AH477" i="2"/>
  <c r="AG478" i="2"/>
  <c r="AH478" i="2"/>
  <c r="AG479" i="2"/>
  <c r="AH479" i="2"/>
  <c r="AG480" i="2"/>
  <c r="AH480" i="2"/>
  <c r="AG481" i="2"/>
  <c r="AH481" i="2"/>
  <c r="AG482" i="2"/>
  <c r="AH482" i="2"/>
  <c r="AG483" i="2"/>
  <c r="AH483" i="2"/>
  <c r="AG484" i="2"/>
  <c r="AG485" i="2"/>
  <c r="AG486" i="2"/>
  <c r="AG487" i="2"/>
  <c r="AG488" i="2"/>
  <c r="AG489" i="2"/>
  <c r="AG490" i="2"/>
  <c r="AG491" i="2"/>
  <c r="AG492" i="2"/>
  <c r="AH492" i="2"/>
  <c r="AG493" i="2"/>
  <c r="AH493" i="2"/>
  <c r="AG494" i="2"/>
  <c r="AH494" i="2"/>
  <c r="AG495" i="2"/>
  <c r="AH495" i="2"/>
  <c r="AG496" i="2"/>
  <c r="AH496" i="2"/>
  <c r="AG497" i="2"/>
  <c r="AH497" i="2"/>
  <c r="AG498" i="2"/>
  <c r="AH498" i="2"/>
  <c r="AG499" i="2"/>
  <c r="AH499" i="2"/>
  <c r="AG500" i="2"/>
  <c r="AG501" i="2"/>
  <c r="AG502" i="2"/>
  <c r="AG503" i="2"/>
  <c r="AG504" i="2"/>
  <c r="AG505" i="2"/>
  <c r="AG506" i="2"/>
  <c r="AG507" i="2"/>
  <c r="AG508" i="2"/>
  <c r="AG509" i="2"/>
  <c r="AG510" i="2"/>
  <c r="AG511" i="2"/>
  <c r="AG512" i="2"/>
  <c r="AH512" i="2"/>
  <c r="AG513" i="2"/>
  <c r="AH513" i="2"/>
  <c r="AG514" i="2"/>
  <c r="AH514" i="2"/>
  <c r="AG515" i="2"/>
  <c r="AH515" i="2"/>
  <c r="AG516" i="2"/>
  <c r="AH516" i="2"/>
  <c r="AG517" i="2"/>
  <c r="AH517" i="2"/>
  <c r="AG518" i="2"/>
  <c r="AH518" i="2"/>
  <c r="AG519" i="2"/>
  <c r="AH519" i="2"/>
  <c r="AG520" i="2"/>
  <c r="AH520" i="2"/>
  <c r="AG521" i="2"/>
  <c r="AH521" i="2"/>
  <c r="AG522" i="2"/>
  <c r="AH522" i="2"/>
  <c r="AG523" i="2"/>
  <c r="AH523" i="2"/>
  <c r="AG524" i="2"/>
  <c r="AG525" i="2"/>
  <c r="AG526" i="2"/>
  <c r="AG527" i="2"/>
  <c r="AG528" i="2"/>
  <c r="AG529" i="2"/>
  <c r="AG530" i="2"/>
  <c r="AG531" i="2"/>
  <c r="AG532" i="2"/>
  <c r="AG533" i="2"/>
  <c r="AG534" i="2"/>
  <c r="AG535" i="2"/>
  <c r="AG536" i="2"/>
  <c r="AH536" i="2"/>
  <c r="AG537" i="2"/>
  <c r="AH537" i="2"/>
  <c r="AG538" i="2"/>
  <c r="AH538" i="2"/>
  <c r="AG539" i="2"/>
  <c r="AH539" i="2"/>
  <c r="AG540" i="2"/>
  <c r="AH540" i="2"/>
  <c r="AG541" i="2"/>
  <c r="AH541" i="2"/>
  <c r="AG542" i="2"/>
  <c r="AH542" i="2"/>
  <c r="AG543" i="2"/>
  <c r="AH543" i="2"/>
  <c r="AG544" i="2"/>
  <c r="AH544" i="2"/>
  <c r="AG545" i="2"/>
  <c r="AH545" i="2"/>
  <c r="AG546" i="2"/>
  <c r="AH546" i="2"/>
  <c r="AG547" i="2"/>
  <c r="AH547" i="2"/>
  <c r="AG548" i="2"/>
  <c r="AH548" i="2"/>
  <c r="AG549" i="2"/>
  <c r="AH549" i="2"/>
  <c r="AG550" i="2"/>
  <c r="AH550" i="2"/>
  <c r="AG551" i="2"/>
  <c r="AH551" i="2"/>
  <c r="AG554" i="2"/>
  <c r="AG555" i="2"/>
  <c r="AG556" i="2"/>
  <c r="AG557" i="2"/>
  <c r="AG558" i="2"/>
  <c r="AH558" i="2"/>
  <c r="AG559" i="2"/>
  <c r="AH559" i="2"/>
  <c r="AG560" i="2"/>
  <c r="AH560" i="2"/>
  <c r="AG561" i="2"/>
  <c r="AH561" i="2"/>
  <c r="AG562" i="2"/>
  <c r="AH562" i="2"/>
  <c r="AG563" i="2"/>
  <c r="AH563" i="2"/>
  <c r="AG564" i="2"/>
  <c r="AH564" i="2"/>
  <c r="AG565" i="2"/>
  <c r="AH565" i="2"/>
  <c r="AG566" i="2"/>
  <c r="AH566" i="2"/>
  <c r="AG567" i="2"/>
  <c r="AH567" i="2"/>
  <c r="AG568" i="2"/>
  <c r="AH568" i="2"/>
  <c r="AG569" i="2"/>
  <c r="AH569" i="2"/>
  <c r="AG570" i="2"/>
  <c r="AH570" i="2"/>
  <c r="AG571" i="2"/>
  <c r="AH571" i="2"/>
  <c r="AG572" i="2"/>
  <c r="AH572" i="2"/>
  <c r="AG573" i="2"/>
  <c r="AH573" i="2"/>
  <c r="AG574" i="2"/>
  <c r="AH574" i="2"/>
  <c r="AG575" i="2"/>
  <c r="AH575" i="2"/>
  <c r="AG576" i="2"/>
  <c r="AH576" i="2"/>
  <c r="AG577" i="2"/>
  <c r="AH577" i="2"/>
  <c r="AG578" i="2"/>
  <c r="AH578" i="2"/>
  <c r="AG579" i="2"/>
  <c r="AH579" i="2"/>
  <c r="AG580" i="2"/>
  <c r="AH580" i="2"/>
  <c r="AG581" i="2"/>
  <c r="AH581" i="2"/>
  <c r="AG582" i="2"/>
  <c r="AH582" i="2"/>
  <c r="AG583" i="2"/>
  <c r="AH583" i="2"/>
  <c r="AG584" i="2"/>
  <c r="AH584" i="2"/>
  <c r="AG585" i="2"/>
  <c r="AH585" i="2"/>
  <c r="AG586" i="2"/>
  <c r="AH586" i="2"/>
  <c r="AG587" i="2"/>
  <c r="AH587" i="2"/>
  <c r="AG588" i="2"/>
  <c r="AH588" i="2"/>
  <c r="AG589" i="2"/>
  <c r="AH589" i="2"/>
  <c r="AG590" i="2"/>
  <c r="AH590" i="2"/>
  <c r="AG591" i="2"/>
  <c r="AH591" i="2"/>
  <c r="AG592" i="2"/>
  <c r="AH592" i="2"/>
  <c r="AG593" i="2"/>
  <c r="AH593" i="2"/>
  <c r="AG594" i="2"/>
  <c r="AH594" i="2"/>
  <c r="AG595" i="2"/>
  <c r="AH595" i="2"/>
  <c r="AG596" i="2"/>
  <c r="AH596" i="2"/>
  <c r="AG597" i="2"/>
  <c r="AH597" i="2"/>
  <c r="AG598" i="2"/>
  <c r="AH598" i="2"/>
  <c r="AG599" i="2"/>
  <c r="AH599" i="2"/>
  <c r="AG600" i="2"/>
  <c r="AH600" i="2"/>
  <c r="AG601" i="2"/>
  <c r="AH601" i="2"/>
  <c r="AG603" i="2"/>
  <c r="AH603" i="2"/>
  <c r="AG604" i="2"/>
  <c r="AH604" i="2"/>
  <c r="AG605" i="2"/>
  <c r="AH605" i="2"/>
  <c r="AG607" i="2"/>
  <c r="AH607" i="2"/>
  <c r="AG608" i="2"/>
  <c r="AH608" i="2"/>
  <c r="AG609" i="2"/>
  <c r="AH609" i="2"/>
  <c r="AG611" i="2"/>
  <c r="AH611" i="2"/>
  <c r="AG612" i="2"/>
  <c r="AH612" i="2"/>
  <c r="AG613" i="2"/>
  <c r="AH613" i="2"/>
  <c r="AG615" i="2"/>
  <c r="AH615" i="2"/>
  <c r="AG616" i="2"/>
  <c r="AH616" i="2"/>
  <c r="AG617" i="2"/>
  <c r="AH617" i="2"/>
  <c r="AG619" i="2"/>
  <c r="AH619" i="2"/>
  <c r="AG620" i="2"/>
  <c r="AH620" i="2"/>
  <c r="AG621" i="2"/>
  <c r="AH621" i="2"/>
  <c r="AG623" i="2"/>
  <c r="AH623" i="2"/>
  <c r="AG624" i="2"/>
  <c r="AH624" i="2"/>
  <c r="AG625" i="2"/>
  <c r="AH625" i="2"/>
  <c r="AG627" i="2"/>
  <c r="AH627" i="2"/>
  <c r="AG628" i="2"/>
  <c r="AH628" i="2"/>
  <c r="AG629" i="2"/>
  <c r="AH629" i="2"/>
  <c r="AG630" i="2"/>
  <c r="AG631" i="2"/>
  <c r="AG632" i="2"/>
  <c r="AG633" i="2"/>
  <c r="AG635" i="2"/>
  <c r="AH635" i="2"/>
  <c r="AG636" i="2"/>
  <c r="AH636" i="2"/>
  <c r="AG637" i="2"/>
  <c r="AH637" i="2"/>
  <c r="AG638" i="2"/>
  <c r="AG639" i="2"/>
  <c r="AG640" i="2"/>
  <c r="AG641" i="2"/>
  <c r="AG642" i="2"/>
  <c r="AG643" i="2"/>
  <c r="AG644" i="2"/>
  <c r="AG645" i="2"/>
  <c r="AG646" i="2"/>
  <c r="AG647" i="2"/>
  <c r="AH647" i="2"/>
  <c r="AG648" i="2"/>
  <c r="AG649" i="2"/>
  <c r="AG650" i="2"/>
  <c r="AG651" i="2"/>
  <c r="AG652" i="2"/>
  <c r="AG653" i="2"/>
  <c r="AG654" i="2"/>
  <c r="AH654" i="2"/>
  <c r="AG655" i="2"/>
  <c r="AH655" i="2"/>
  <c r="AG656" i="2"/>
  <c r="AH656" i="2"/>
  <c r="AG657" i="2"/>
  <c r="AH657" i="2"/>
  <c r="AG658" i="2"/>
  <c r="AH658" i="2"/>
  <c r="AG659" i="2"/>
  <c r="AG660" i="2"/>
  <c r="AG661" i="2"/>
  <c r="AG662" i="2"/>
  <c r="AG663" i="2"/>
  <c r="AG664" i="2"/>
  <c r="AG665" i="2"/>
  <c r="AG666" i="2"/>
  <c r="AG667" i="2"/>
  <c r="AG668" i="2"/>
  <c r="AH668" i="2"/>
  <c r="AG669" i="2"/>
  <c r="AG670" i="2"/>
  <c r="AG671" i="2"/>
  <c r="AG672" i="2"/>
  <c r="AG673" i="2"/>
  <c r="AG674" i="2"/>
  <c r="AG675" i="2"/>
  <c r="AH675" i="2"/>
  <c r="AG676" i="2"/>
  <c r="AH676" i="2"/>
  <c r="AG677" i="2"/>
  <c r="AH677" i="2"/>
  <c r="AG678" i="2"/>
  <c r="AH678" i="2"/>
  <c r="AG679" i="2"/>
  <c r="AH679" i="2"/>
  <c r="AG680" i="2"/>
  <c r="AG681" i="2"/>
  <c r="AG682" i="2"/>
  <c r="AG683" i="2"/>
  <c r="AG684" i="2"/>
  <c r="AG685" i="2"/>
  <c r="AH685" i="2"/>
  <c r="AG686" i="2"/>
  <c r="AG687" i="2"/>
  <c r="AG688" i="2"/>
  <c r="AG689" i="2"/>
  <c r="AG690" i="2"/>
  <c r="AG691" i="2"/>
  <c r="AG692" i="2"/>
  <c r="AG693" i="2"/>
  <c r="AG694" i="2"/>
  <c r="AG695" i="2"/>
  <c r="AG696" i="2"/>
  <c r="AG697" i="2"/>
  <c r="AG698" i="2"/>
  <c r="AG744" i="2"/>
  <c r="AG745" i="2"/>
  <c r="AG746" i="2"/>
  <c r="AG747" i="2"/>
  <c r="AG748" i="2"/>
  <c r="AG749" i="2"/>
  <c r="AG750" i="2"/>
  <c r="AG751" i="2"/>
  <c r="AG752" i="2"/>
  <c r="AG753" i="2"/>
  <c r="AG755" i="2"/>
  <c r="AG756" i="2"/>
  <c r="AG757" i="2"/>
  <c r="AG758" i="2"/>
  <c r="AG759" i="2"/>
  <c r="AG760" i="2"/>
  <c r="AG761" i="2"/>
  <c r="AG762" i="2"/>
  <c r="AG763" i="2"/>
  <c r="AG764" i="2"/>
  <c r="AG765" i="2"/>
  <c r="AG766" i="2"/>
  <c r="AG767" i="2"/>
  <c r="AG768" i="2"/>
  <c r="AG769" i="2"/>
  <c r="AG770" i="2"/>
  <c r="AG771" i="2"/>
  <c r="AG772" i="2"/>
  <c r="AG773" i="2"/>
  <c r="AG774" i="2"/>
  <c r="AG775" i="2"/>
  <c r="AG776" i="2"/>
  <c r="AG777" i="2"/>
  <c r="AG778" i="2"/>
  <c r="AG779" i="2"/>
  <c r="AG780" i="2"/>
  <c r="AG781" i="2"/>
  <c r="AG782" i="2"/>
  <c r="AG783" i="2"/>
  <c r="AG784" i="2"/>
  <c r="AG785" i="2"/>
  <c r="AG786" i="2"/>
  <c r="AG787" i="2"/>
  <c r="AG788" i="2"/>
  <c r="AG789" i="2"/>
  <c r="AG790" i="2"/>
  <c r="AG791" i="2"/>
  <c r="AG792" i="2"/>
  <c r="AG793" i="2"/>
  <c r="AG794" i="2"/>
  <c r="AG795" i="2"/>
  <c r="AG796" i="2"/>
  <c r="AG797" i="2"/>
  <c r="AG798" i="2"/>
  <c r="AG799" i="2"/>
  <c r="AG800" i="2"/>
  <c r="AG801" i="2"/>
  <c r="AG802" i="2"/>
  <c r="AG803" i="2"/>
  <c r="AG804" i="2"/>
  <c r="AG805" i="2"/>
  <c r="AG806" i="2"/>
  <c r="AG807" i="2"/>
  <c r="AG808" i="2"/>
  <c r="AG809" i="2"/>
  <c r="AG810" i="2"/>
  <c r="AG811" i="2"/>
  <c r="AG812" i="2"/>
  <c r="AG813" i="2"/>
  <c r="AG814" i="2"/>
  <c r="AG815" i="2"/>
  <c r="AG816" i="2"/>
  <c r="AG817" i="2"/>
  <c r="AG818" i="2"/>
  <c r="AG819" i="2"/>
  <c r="AG820" i="2"/>
  <c r="AG821" i="2"/>
  <c r="AG822" i="2"/>
  <c r="AG823" i="2"/>
  <c r="AG824" i="2"/>
  <c r="AG825" i="2"/>
  <c r="AG826" i="2"/>
  <c r="AG827" i="2"/>
  <c r="AG828" i="2"/>
  <c r="AG829" i="2"/>
  <c r="AG830" i="2"/>
  <c r="AG831" i="2"/>
  <c r="AG832" i="2"/>
  <c r="AG833" i="2"/>
  <c r="AG834" i="2"/>
  <c r="AG835" i="2"/>
  <c r="AG836" i="2"/>
  <c r="AG837" i="2"/>
  <c r="AG838" i="2"/>
  <c r="AG839" i="2"/>
  <c r="AG840" i="2"/>
  <c r="AG841" i="2"/>
  <c r="AG842" i="2"/>
  <c r="AG843" i="2"/>
  <c r="AG844" i="2"/>
  <c r="AG845" i="2"/>
  <c r="AG846" i="2"/>
  <c r="AG847" i="2"/>
  <c r="AG848" i="2"/>
  <c r="AG849" i="2"/>
  <c r="AG850" i="2"/>
  <c r="AG851" i="2"/>
  <c r="AG852" i="2"/>
  <c r="AG853" i="2"/>
  <c r="AG854" i="2"/>
  <c r="AG855" i="2"/>
  <c r="AG856" i="2"/>
  <c r="AG857" i="2"/>
  <c r="AG858" i="2"/>
  <c r="AG859" i="2"/>
  <c r="AG860" i="2"/>
  <c r="AG861" i="2"/>
  <c r="AG862" i="2"/>
  <c r="AG865" i="2"/>
  <c r="AG866" i="2"/>
  <c r="AG867" i="2"/>
  <c r="AG868" i="2"/>
  <c r="AG869" i="2"/>
  <c r="AG877" i="2"/>
  <c r="AG878" i="2"/>
  <c r="AG879" i="2"/>
  <c r="AG880" i="2"/>
  <c r="AG881" i="2"/>
  <c r="AG882" i="2"/>
  <c r="AG883" i="2"/>
  <c r="AH883" i="2"/>
  <c r="AG884" i="2"/>
  <c r="AH884" i="2"/>
  <c r="AG885" i="2"/>
  <c r="AG886" i="2"/>
  <c r="AG887" i="2"/>
  <c r="AG888" i="2"/>
  <c r="AG889" i="2"/>
  <c r="AG890" i="2"/>
  <c r="AG891" i="2"/>
  <c r="AG892" i="2"/>
  <c r="AG893" i="2"/>
  <c r="AG894" i="2"/>
  <c r="AG895" i="2"/>
  <c r="AG900" i="2"/>
  <c r="AG903" i="2"/>
  <c r="AG904" i="2"/>
  <c r="AG905" i="2"/>
  <c r="AG908" i="2"/>
  <c r="AG909" i="2"/>
  <c r="AG910" i="2"/>
  <c r="AG911" i="2"/>
  <c r="AG912" i="2"/>
  <c r="AG913" i="2"/>
  <c r="AG914" i="2"/>
  <c r="AG915" i="2"/>
  <c r="AG916" i="2"/>
  <c r="AG917" i="2"/>
  <c r="AG918" i="2"/>
  <c r="AG919" i="2"/>
  <c r="AG920" i="2"/>
  <c r="AG921" i="2"/>
  <c r="AG922" i="2"/>
  <c r="AG923" i="2"/>
  <c r="AG924" i="2"/>
  <c r="AG925" i="2"/>
  <c r="AG926" i="2"/>
  <c r="AG927" i="2"/>
  <c r="AG928" i="2"/>
  <c r="AG929" i="2"/>
  <c r="AG930" i="2"/>
  <c r="AG931" i="2"/>
  <c r="AG932" i="2"/>
  <c r="AG933" i="2"/>
  <c r="AG934" i="2"/>
  <c r="AG935" i="2"/>
  <c r="AG936" i="2"/>
  <c r="AG937" i="2"/>
  <c r="AG938" i="2"/>
  <c r="AG939" i="2"/>
  <c r="AG940" i="2"/>
  <c r="AG941" i="2"/>
  <c r="AG942" i="2"/>
  <c r="AG943" i="2"/>
  <c r="AG944" i="2"/>
  <c r="AG945" i="2"/>
  <c r="AG946" i="2"/>
  <c r="AG947" i="2"/>
  <c r="AG948" i="2"/>
  <c r="AG949" i="2"/>
  <c r="AG950" i="2"/>
  <c r="AG951" i="2"/>
  <c r="AG952" i="2"/>
  <c r="AG953" i="2"/>
  <c r="AG954" i="2"/>
  <c r="AG955" i="2"/>
  <c r="AG956" i="2"/>
  <c r="AG957" i="2"/>
  <c r="AG958" i="2"/>
  <c r="AG959" i="2"/>
  <c r="AG960" i="2"/>
  <c r="AG961" i="2"/>
  <c r="AG962" i="2"/>
  <c r="AG963" i="2"/>
  <c r="AG964" i="2"/>
  <c r="AG965" i="2"/>
  <c r="AG966" i="2"/>
  <c r="AG967" i="2"/>
  <c r="AG968" i="2"/>
  <c r="AG969" i="2"/>
  <c r="AG970" i="2"/>
  <c r="AG971" i="2"/>
  <c r="AG972" i="2"/>
  <c r="AG973" i="2"/>
  <c r="AG974" i="2"/>
  <c r="AG975" i="2"/>
  <c r="AG976" i="2"/>
  <c r="AG977" i="2"/>
  <c r="AG978" i="2"/>
  <c r="AG979" i="2"/>
  <c r="AG980" i="2"/>
  <c r="AG981" i="2"/>
  <c r="AG982" i="2"/>
  <c r="AG983" i="2"/>
  <c r="AG984" i="2"/>
  <c r="AG985" i="2"/>
  <c r="AG986" i="2"/>
  <c r="AG987" i="2"/>
  <c r="AG988" i="2"/>
  <c r="AG989" i="2"/>
  <c r="AG990" i="2"/>
  <c r="AG991" i="2"/>
  <c r="AG992" i="2"/>
  <c r="AG993" i="2"/>
  <c r="AG994" i="2"/>
  <c r="AG995" i="2"/>
  <c r="AG996" i="2"/>
  <c r="AG997" i="2"/>
  <c r="AG998" i="2"/>
  <c r="AH998" i="2"/>
  <c r="AG999" i="2"/>
  <c r="AH999" i="2"/>
  <c r="AG1000" i="2"/>
  <c r="AH1000" i="2"/>
  <c r="AG1001" i="2"/>
  <c r="AH1001" i="2"/>
  <c r="AG1002" i="2"/>
  <c r="AH1002" i="2"/>
  <c r="AG1003" i="2"/>
  <c r="AH1003" i="2"/>
  <c r="AG1004" i="2"/>
  <c r="AH1004" i="2"/>
  <c r="AG1005" i="2"/>
  <c r="AH1005" i="2"/>
  <c r="AG1006" i="2"/>
  <c r="AH1006" i="2"/>
  <c r="AG1007" i="2"/>
  <c r="AH1007" i="2"/>
  <c r="AG1008" i="2"/>
  <c r="AH1008" i="2"/>
  <c r="AG1009" i="2"/>
  <c r="AH1009" i="2"/>
  <c r="AG1010" i="2"/>
  <c r="AH1010" i="2"/>
  <c r="AG1011" i="2"/>
  <c r="AH1011" i="2"/>
  <c r="AG1012" i="2"/>
  <c r="AH1012" i="2"/>
  <c r="AG1013" i="2"/>
  <c r="AH1013" i="2"/>
  <c r="AG1014" i="2"/>
  <c r="AH1014" i="2"/>
  <c r="AG1015" i="2"/>
  <c r="AH1015" i="2"/>
  <c r="AG1016" i="2"/>
  <c r="AH1016" i="2"/>
  <c r="AG1017" i="2"/>
  <c r="AH1017" i="2"/>
  <c r="AG1018" i="2"/>
  <c r="AH1018" i="2"/>
  <c r="AG1019" i="2"/>
  <c r="AH1019" i="2"/>
  <c r="AG1020" i="2"/>
  <c r="AH1020" i="2"/>
  <c r="AG1021" i="2"/>
  <c r="AH1021" i="2"/>
  <c r="AG1022" i="2"/>
  <c r="AH1022" i="2"/>
  <c r="AG1023" i="2"/>
  <c r="AH1023" i="2"/>
  <c r="AG1024" i="2"/>
  <c r="AH1024" i="2"/>
  <c r="AG1025" i="2"/>
  <c r="AH1025" i="2"/>
  <c r="AG1026" i="2"/>
  <c r="AH1026" i="2"/>
  <c r="AG1027" i="2"/>
  <c r="AH1027" i="2"/>
  <c r="AG1028" i="2"/>
  <c r="AH1028" i="2"/>
  <c r="AG1029" i="2"/>
  <c r="AH1029" i="2"/>
  <c r="AG1030" i="2"/>
  <c r="AH1030" i="2"/>
  <c r="AG1031" i="2"/>
  <c r="AH1031" i="2"/>
  <c r="AG1032" i="2"/>
  <c r="AH1032" i="2"/>
  <c r="AG1033" i="2"/>
  <c r="AH1033" i="2"/>
  <c r="AG1034" i="2"/>
  <c r="AH1034" i="2"/>
  <c r="AG1035" i="2"/>
  <c r="AH1035" i="2"/>
  <c r="AG1036" i="2"/>
  <c r="AH1036" i="2"/>
  <c r="AG1037" i="2"/>
  <c r="AH1037" i="2"/>
  <c r="AG1038" i="2"/>
  <c r="AH1038" i="2"/>
  <c r="AG1039" i="2"/>
  <c r="AH1039" i="2"/>
  <c r="AG1040" i="2"/>
  <c r="AH1040" i="2"/>
  <c r="AG1041" i="2"/>
  <c r="AH1041" i="2"/>
  <c r="AG1042" i="2"/>
  <c r="AH1042" i="2"/>
  <c r="AG1043" i="2"/>
  <c r="AH1043" i="2"/>
  <c r="AG1044" i="2"/>
  <c r="AH1044" i="2"/>
  <c r="AG1045" i="2"/>
  <c r="AG1046" i="2"/>
  <c r="AG1047" i="2"/>
  <c r="AG1048" i="2"/>
  <c r="AG1049" i="2"/>
  <c r="AG1050" i="2"/>
  <c r="AG1051" i="2"/>
  <c r="AG1052" i="2"/>
  <c r="AG1053" i="2"/>
  <c r="AG1054" i="2"/>
  <c r="AG1055" i="2"/>
  <c r="AG1056" i="2"/>
  <c r="AG1057" i="2"/>
  <c r="AG1058" i="2"/>
  <c r="AG1059" i="2"/>
  <c r="AH1059" i="2"/>
  <c r="AG1060" i="2"/>
  <c r="AH1060" i="2"/>
  <c r="AG1061" i="2"/>
  <c r="AH1061" i="2"/>
  <c r="AG1062" i="2"/>
  <c r="AH1062" i="2"/>
  <c r="AG1063" i="2"/>
  <c r="AH1063" i="2"/>
  <c r="AG1064" i="2"/>
  <c r="AH1064" i="2"/>
  <c r="AG1065" i="2"/>
  <c r="AG1066" i="2"/>
  <c r="AG1067" i="2"/>
  <c r="AG1068" i="2"/>
  <c r="AG1069" i="2"/>
  <c r="AG1070" i="2"/>
  <c r="AG1071" i="2"/>
  <c r="AG1072" i="2"/>
  <c r="AG1073" i="2"/>
  <c r="AG1074" i="2"/>
  <c r="AG1075" i="2"/>
  <c r="AH1075" i="2"/>
  <c r="AG1076" i="2"/>
  <c r="AG1077" i="2"/>
  <c r="AG1078" i="2"/>
  <c r="AG1079" i="2"/>
  <c r="AG1080" i="2"/>
  <c r="AG1081" i="2"/>
  <c r="AG1082" i="2"/>
  <c r="AG1083" i="2"/>
  <c r="AG1084" i="2"/>
  <c r="AG1085" i="2"/>
  <c r="AG1086" i="2"/>
  <c r="AH1086" i="2"/>
  <c r="AG1087" i="2"/>
  <c r="AG1088" i="2"/>
  <c r="AG1089" i="2"/>
  <c r="AG1090" i="2"/>
  <c r="AG1091" i="2"/>
  <c r="AG1092" i="2"/>
  <c r="AG1093" i="2"/>
  <c r="AG1094" i="2"/>
  <c r="AG1095" i="2"/>
  <c r="AG1096" i="2"/>
  <c r="AG1097" i="2"/>
  <c r="AG1098" i="2"/>
  <c r="AG1099" i="2"/>
  <c r="AG1100" i="2"/>
  <c r="AG1101" i="2"/>
  <c r="AG1102" i="2"/>
  <c r="AG1103" i="2"/>
  <c r="AG1104" i="2"/>
  <c r="AG1105" i="2"/>
  <c r="AG1106" i="2"/>
  <c r="AG1107" i="2"/>
  <c r="AG1108" i="2"/>
  <c r="AG1109" i="2"/>
  <c r="AG1110" i="2"/>
  <c r="AG1111" i="2"/>
  <c r="AG1112" i="2"/>
  <c r="AG1113" i="2"/>
  <c r="AG1114" i="2"/>
  <c r="AG1115" i="2"/>
  <c r="AG1116" i="2"/>
  <c r="AG1117" i="2"/>
  <c r="AG1118" i="2"/>
  <c r="AG1119" i="2"/>
  <c r="AG1120" i="2"/>
  <c r="AG1121" i="2"/>
  <c r="AG1122" i="2"/>
  <c r="AG1123" i="2"/>
  <c r="AG1124" i="2"/>
  <c r="AG1125" i="2"/>
  <c r="AG1126" i="2"/>
  <c r="AG1127" i="2"/>
  <c r="AG1128" i="2"/>
  <c r="AG1129" i="2"/>
  <c r="AG1130" i="2"/>
  <c r="AG1131" i="2"/>
  <c r="AG1132" i="2"/>
  <c r="AG1133" i="2"/>
  <c r="AG1134" i="2"/>
  <c r="AG1135" i="2"/>
  <c r="AG1136" i="2"/>
  <c r="AG1137" i="2"/>
  <c r="AG1138" i="2"/>
  <c r="AG1139" i="2"/>
  <c r="AG1140" i="2"/>
  <c r="AG1141" i="2"/>
  <c r="AG1142" i="2"/>
  <c r="AG1143" i="2"/>
  <c r="AG1144" i="2"/>
  <c r="AG1145" i="2"/>
  <c r="AG1146" i="2"/>
  <c r="AG1147" i="2"/>
  <c r="AG1148" i="2"/>
  <c r="AG1149" i="2"/>
  <c r="AG1150" i="2"/>
  <c r="AG1151" i="2"/>
  <c r="AG1152" i="2"/>
  <c r="AG1153" i="2"/>
  <c r="AG1154" i="2"/>
  <c r="AG1155" i="2"/>
  <c r="AG1156" i="2"/>
  <c r="AG1157" i="2"/>
  <c r="AG1158" i="2"/>
  <c r="AG1159" i="2"/>
  <c r="AG1160" i="2"/>
  <c r="AG1161" i="2"/>
  <c r="AG1162" i="2"/>
  <c r="AG1163" i="2"/>
  <c r="AG1164" i="2"/>
  <c r="AG1165" i="2"/>
  <c r="AG1166" i="2"/>
  <c r="AG1167" i="2"/>
  <c r="AG1168" i="2"/>
  <c r="AG1169" i="2"/>
  <c r="AG1170" i="2"/>
  <c r="AG1171" i="2"/>
  <c r="AG1172" i="2"/>
  <c r="AG1173" i="2"/>
  <c r="AG1174" i="2"/>
  <c r="AG1175" i="2"/>
  <c r="AH1175" i="2"/>
  <c r="AG1176" i="2"/>
  <c r="AH1176" i="2"/>
  <c r="AG1177" i="2"/>
  <c r="AH1177" i="2"/>
  <c r="AG1178" i="2"/>
  <c r="AH1178" i="2"/>
  <c r="AG1179" i="2"/>
  <c r="AH1179" i="2"/>
  <c r="AG1180" i="2"/>
  <c r="AH1180" i="2"/>
  <c r="AG1181" i="2"/>
  <c r="AH1181" i="2"/>
  <c r="AG1182" i="2"/>
  <c r="AH1182" i="2"/>
  <c r="AG1183" i="2"/>
  <c r="AH1183" i="2"/>
  <c r="AG1184" i="2"/>
  <c r="AH1184" i="2"/>
  <c r="AG1185" i="2"/>
  <c r="AH1185" i="2"/>
  <c r="AG1186" i="2"/>
  <c r="AH1186" i="2"/>
  <c r="AG1187" i="2"/>
  <c r="AH1187" i="2"/>
  <c r="AG1188" i="2"/>
  <c r="AH1188" i="2"/>
  <c r="AG1189" i="2"/>
  <c r="AH1189" i="2"/>
  <c r="AG1190" i="2"/>
  <c r="AH1190" i="2"/>
  <c r="AG1191" i="2"/>
  <c r="AH1191" i="2"/>
  <c r="AG1192" i="2"/>
  <c r="AH1192" i="2"/>
  <c r="AG1193" i="2"/>
  <c r="AH1193" i="2"/>
  <c r="AG1194" i="2"/>
  <c r="AH1194" i="2"/>
  <c r="AG1195" i="2"/>
  <c r="AH1195" i="2"/>
  <c r="AG1196" i="2"/>
  <c r="AH1196" i="2"/>
  <c r="AG1197" i="2"/>
  <c r="AH1197" i="2"/>
  <c r="AG1198" i="2"/>
  <c r="AH1198" i="2"/>
  <c r="AG1199" i="2"/>
  <c r="AH1199" i="2"/>
  <c r="AG1200" i="2"/>
  <c r="AH1200" i="2"/>
  <c r="AG1201" i="2"/>
  <c r="AH1201" i="2"/>
  <c r="AG1202" i="2"/>
  <c r="AH1202" i="2"/>
  <c r="AG1203" i="2"/>
  <c r="AH1203" i="2"/>
  <c r="AG1204" i="2"/>
  <c r="AH1204" i="2"/>
  <c r="AG1205" i="2"/>
  <c r="AH1205" i="2"/>
  <c r="AG1206" i="2"/>
  <c r="AH1206" i="2"/>
  <c r="AG1207" i="2"/>
  <c r="AH1207" i="2"/>
  <c r="AG1208" i="2"/>
  <c r="AH1208" i="2"/>
  <c r="AG1209" i="2"/>
  <c r="AH1209" i="2"/>
  <c r="AG1210" i="2"/>
  <c r="AH1210" i="2"/>
  <c r="AG1211" i="2"/>
  <c r="AH1211" i="2"/>
  <c r="AG1212" i="2"/>
  <c r="AH1212" i="2"/>
  <c r="AG1213" i="2"/>
  <c r="AH1213" i="2"/>
  <c r="AG1214" i="2"/>
  <c r="AH1214" i="2"/>
  <c r="AG1215" i="2"/>
  <c r="AH1215" i="2"/>
  <c r="AG1216" i="2"/>
  <c r="AG1217" i="2"/>
  <c r="AG1218" i="2"/>
  <c r="AG1220" i="2"/>
  <c r="AG1221" i="2"/>
  <c r="AG1222" i="2"/>
  <c r="AG1223" i="2"/>
  <c r="AG1224" i="2"/>
  <c r="AG1225" i="2"/>
  <c r="AG1226" i="2"/>
  <c r="AG1227" i="2"/>
  <c r="AG1228" i="2"/>
  <c r="AG1229" i="2"/>
  <c r="AG1230" i="2"/>
  <c r="AG1231" i="2"/>
  <c r="AG1232" i="2"/>
  <c r="AG1233" i="2"/>
  <c r="AG1234" i="2"/>
  <c r="AG1235" i="2"/>
  <c r="AG1236" i="2"/>
  <c r="AH1236" i="2"/>
  <c r="AG1237" i="2"/>
  <c r="AH1237" i="2"/>
  <c r="AG1238" i="2"/>
  <c r="AH1238" i="2"/>
  <c r="AG1239" i="2"/>
  <c r="AG1240" i="2"/>
  <c r="AH1240" i="2"/>
  <c r="AG1241" i="2"/>
  <c r="AH1241" i="2"/>
  <c r="AG1242" i="2"/>
  <c r="AH1242" i="2"/>
  <c r="AG1243" i="2"/>
  <c r="AH1243" i="2"/>
  <c r="AG1244" i="2"/>
  <c r="AG1245" i="2"/>
  <c r="AH1245" i="2"/>
  <c r="AG1246" i="2"/>
  <c r="AH1246" i="2"/>
  <c r="AG1247" i="2"/>
  <c r="AH1247" i="2"/>
  <c r="AG1248" i="2"/>
  <c r="AH1248" i="2"/>
  <c r="AG1249" i="2"/>
  <c r="AG1250" i="2"/>
  <c r="AH1250" i="2"/>
  <c r="AG1251" i="2"/>
  <c r="AG1252" i="2"/>
  <c r="AH1252" i="2"/>
  <c r="AG1253" i="2"/>
  <c r="AH1253" i="2"/>
  <c r="AG1254" i="2"/>
  <c r="AH1254" i="2"/>
  <c r="AG1255" i="2"/>
  <c r="AG1256" i="2"/>
  <c r="AH1256" i="2"/>
  <c r="AG1257" i="2"/>
  <c r="AH1257" i="2"/>
  <c r="AG1258" i="2"/>
  <c r="AH1258" i="2"/>
  <c r="AG1259" i="2"/>
  <c r="AH1259" i="2"/>
  <c r="AG1260" i="2"/>
  <c r="AH1260" i="2"/>
  <c r="AG1261" i="2"/>
  <c r="AH1261" i="2"/>
  <c r="AG1262" i="2"/>
  <c r="AH1262" i="2"/>
  <c r="AG1263" i="2"/>
  <c r="AG1264" i="2"/>
  <c r="AH1264" i="2"/>
  <c r="AG1265" i="2"/>
  <c r="AH1265" i="2"/>
  <c r="AG1266" i="2"/>
  <c r="AH1266" i="2"/>
  <c r="AG1267" i="2"/>
  <c r="AH1267" i="2"/>
  <c r="AG1268" i="2"/>
  <c r="AH1268" i="2"/>
  <c r="AG1269" i="2"/>
  <c r="AH1269" i="2"/>
  <c r="AG1270" i="2"/>
  <c r="AH1270" i="2"/>
  <c r="AG1271" i="2"/>
  <c r="AH1271" i="2"/>
  <c r="AG1272" i="2"/>
  <c r="AH1272" i="2"/>
  <c r="AG1273" i="2"/>
  <c r="AH1273" i="2"/>
  <c r="AG1274" i="2"/>
  <c r="AH1274" i="2"/>
  <c r="AG1275" i="2"/>
  <c r="AH1275" i="2"/>
  <c r="AG1276" i="2"/>
  <c r="AH1276" i="2"/>
  <c r="AG1288" i="2"/>
  <c r="AH1288" i="2"/>
  <c r="AG1289" i="2"/>
  <c r="AH1289" i="2"/>
  <c r="AG1290" i="2"/>
  <c r="AG1291" i="2"/>
  <c r="AH1291" i="2"/>
  <c r="AG1292" i="2"/>
  <c r="AH1292" i="2"/>
  <c r="AG1293" i="2"/>
  <c r="AH1293" i="2"/>
  <c r="AG1294" i="2"/>
  <c r="AH1294" i="2"/>
  <c r="AG1295" i="2"/>
  <c r="AG1296" i="2"/>
  <c r="AH1296" i="2"/>
  <c r="AG1297" i="2"/>
  <c r="AG1298" i="2"/>
  <c r="AH1298" i="2"/>
  <c r="AG1299" i="2"/>
  <c r="AH1299" i="2"/>
  <c r="AG1300" i="2"/>
  <c r="AH1300" i="2"/>
  <c r="AG1301" i="2"/>
  <c r="AG1302" i="2"/>
  <c r="AH1302" i="2"/>
  <c r="AG1303" i="2"/>
  <c r="AH1303" i="2"/>
  <c r="AG1304" i="2"/>
  <c r="AH1304" i="2"/>
  <c r="AG1305" i="2"/>
  <c r="AG1306" i="2"/>
  <c r="AH1306" i="2"/>
  <c r="AG1307" i="2"/>
  <c r="AH1307" i="2"/>
  <c r="AG1308" i="2"/>
  <c r="AH1308" i="2"/>
  <c r="AG1309" i="2"/>
  <c r="AH1309" i="2"/>
  <c r="AG1310" i="2"/>
  <c r="AG1311" i="2"/>
  <c r="AH1311" i="2"/>
  <c r="AG1312" i="2"/>
  <c r="AH1312" i="2"/>
  <c r="AG1313" i="2"/>
  <c r="AH1313" i="2"/>
  <c r="AG1314" i="2"/>
  <c r="AH1314" i="2"/>
  <c r="AG1315" i="2"/>
  <c r="AG1316" i="2"/>
  <c r="AH1316" i="2"/>
  <c r="AG1317" i="2"/>
  <c r="AG1318" i="2"/>
  <c r="AH1318" i="2"/>
  <c r="AG1319" i="2"/>
  <c r="AH1319" i="2"/>
  <c r="AG1320" i="2"/>
  <c r="AH1320" i="2"/>
  <c r="AG4" i="2"/>
  <c r="AH4" i="2"/>
  <c r="AG5" i="2"/>
  <c r="AH5" i="2"/>
  <c r="AG6" i="2"/>
  <c r="AH6" i="2"/>
  <c r="AG7" i="2"/>
  <c r="AH7" i="2"/>
  <c r="AG8" i="2"/>
  <c r="AH8" i="2"/>
  <c r="AG9" i="2"/>
  <c r="AH9" i="2"/>
  <c r="AG10" i="2"/>
  <c r="AH10" i="2"/>
  <c r="AG11" i="2"/>
  <c r="AH11" i="2"/>
  <c r="AG12" i="2"/>
  <c r="AH12" i="2"/>
  <c r="AG13" i="2"/>
  <c r="AH13" i="2"/>
  <c r="AG14" i="2"/>
  <c r="AH14" i="2"/>
  <c r="AG15" i="2"/>
  <c r="AH15" i="2"/>
  <c r="AG16" i="2"/>
  <c r="AH16" i="2"/>
  <c r="AG17" i="2"/>
  <c r="AH17" i="2"/>
  <c r="AG18" i="2"/>
  <c r="AH18" i="2"/>
  <c r="AG19" i="2"/>
  <c r="AH19" i="2"/>
  <c r="AG20" i="2"/>
  <c r="AH20" i="2"/>
  <c r="AG21" i="2"/>
  <c r="AH21" i="2"/>
  <c r="AG22" i="2"/>
  <c r="AH22" i="2"/>
  <c r="AG23" i="2"/>
  <c r="AH23" i="2"/>
  <c r="AG24" i="2"/>
  <c r="AH24" i="2"/>
  <c r="AG25" i="2"/>
  <c r="AH25" i="2"/>
  <c r="AG26" i="2"/>
  <c r="AH26" i="2"/>
  <c r="AG27" i="2"/>
  <c r="AH27" i="2"/>
  <c r="AG28" i="2"/>
  <c r="AH28" i="2"/>
  <c r="AG29" i="2"/>
  <c r="AH29" i="2"/>
  <c r="AG30" i="2"/>
  <c r="AH30" i="2"/>
  <c r="AG31" i="2"/>
  <c r="AH31" i="2"/>
  <c r="AG32" i="2"/>
  <c r="AH32" i="2"/>
  <c r="AG33" i="2"/>
  <c r="AH33" i="2"/>
  <c r="AG34" i="2"/>
  <c r="AH34" i="2"/>
  <c r="AG35" i="2"/>
  <c r="AH35" i="2"/>
  <c r="AG36" i="2"/>
  <c r="AH36" i="2"/>
  <c r="AG37" i="2"/>
  <c r="AH37" i="2"/>
  <c r="AG38" i="2"/>
  <c r="AH38" i="2"/>
  <c r="AG39" i="2"/>
  <c r="AH39" i="2"/>
  <c r="AG41" i="2"/>
  <c r="AH41" i="2"/>
  <c r="AG42" i="2"/>
  <c r="AH42" i="2"/>
  <c r="AG44" i="2"/>
  <c r="AH44" i="2"/>
  <c r="AG45" i="2"/>
  <c r="AH45" i="2"/>
  <c r="AG46" i="2"/>
  <c r="AH46" i="2"/>
  <c r="AG48" i="2"/>
  <c r="AH48" i="2"/>
  <c r="AG49" i="2"/>
  <c r="AH49" i="2"/>
  <c r="AG50" i="2"/>
  <c r="AH50" i="2"/>
  <c r="AG51" i="2"/>
  <c r="AH51" i="2"/>
  <c r="AG52" i="2"/>
  <c r="AH52" i="2"/>
  <c r="AG54" i="2"/>
  <c r="AH54" i="2"/>
  <c r="AG55" i="2"/>
  <c r="AH55" i="2"/>
  <c r="AG56" i="2"/>
  <c r="AH56" i="2"/>
  <c r="AG57" i="2"/>
  <c r="AH57" i="2"/>
  <c r="AG59" i="2"/>
  <c r="AH59" i="2"/>
  <c r="AG60" i="2"/>
  <c r="AH60" i="2"/>
  <c r="AG61" i="2"/>
  <c r="AH61" i="2"/>
  <c r="AG62" i="2"/>
  <c r="AH62" i="2"/>
  <c r="AG63" i="2"/>
  <c r="AH63" i="2"/>
  <c r="AG64" i="2"/>
  <c r="AH64" i="2"/>
  <c r="AG66" i="2"/>
  <c r="AH66" i="2"/>
  <c r="AG67" i="2"/>
  <c r="AH67" i="2"/>
  <c r="AG68" i="2"/>
  <c r="AH68" i="2"/>
  <c r="AG69" i="2"/>
  <c r="AH69" i="2"/>
  <c r="AG70" i="2"/>
  <c r="AH70" i="2"/>
  <c r="AG71" i="2"/>
  <c r="AH71" i="2"/>
  <c r="AG72" i="2"/>
  <c r="AH72" i="2"/>
  <c r="AG73" i="2"/>
  <c r="AH73" i="2"/>
  <c r="AG74" i="2"/>
  <c r="AH74" i="2"/>
  <c r="AG75" i="2"/>
  <c r="AH75" i="2"/>
  <c r="AG76" i="2"/>
  <c r="AH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H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H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H142" i="2"/>
  <c r="AH144" i="2"/>
  <c r="AG152" i="2"/>
  <c r="AH152" i="2"/>
  <c r="AG153" i="2"/>
  <c r="AH153" i="2"/>
  <c r="AG160" i="2"/>
  <c r="AH160" i="2"/>
  <c r="AG173" i="2"/>
  <c r="AH173" i="2"/>
  <c r="AG174" i="2"/>
  <c r="AH174" i="2"/>
  <c r="AG184" i="2"/>
  <c r="AH184" i="2"/>
  <c r="AG185" i="2"/>
  <c r="AH185" i="2"/>
  <c r="AG190" i="2"/>
  <c r="AH190" i="2"/>
  <c r="AG202" i="2"/>
  <c r="AH202" i="2"/>
  <c r="AG203" i="2"/>
  <c r="AH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AG219" i="2"/>
  <c r="AG220" i="2"/>
  <c r="AG221" i="2"/>
  <c r="AH221" i="2"/>
  <c r="AG222" i="2"/>
  <c r="AH222" i="2"/>
  <c r="AG223" i="2"/>
  <c r="AH223" i="2"/>
  <c r="AG224" i="2"/>
  <c r="AH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H241" i="2"/>
  <c r="AG242" i="2"/>
  <c r="AH242" i="2"/>
  <c r="AG243" i="2"/>
  <c r="AH243" i="2"/>
  <c r="AG244" i="2"/>
  <c r="AH244" i="2"/>
  <c r="AG245" i="2"/>
  <c r="AH245" i="2"/>
  <c r="AG246" i="2"/>
  <c r="AH246" i="2"/>
  <c r="AG247" i="2"/>
  <c r="AH247" i="2"/>
  <c r="AG248" i="2"/>
  <c r="AH248" i="2"/>
  <c r="AG249" i="2"/>
  <c r="AH249" i="2"/>
  <c r="AG250" i="2"/>
  <c r="AG251" i="2"/>
  <c r="AG252" i="2"/>
  <c r="AG253" i="2"/>
  <c r="AG254" i="2"/>
  <c r="AH254" i="2"/>
  <c r="AG255" i="2"/>
  <c r="AH255" i="2"/>
  <c r="AG265" i="2"/>
  <c r="AG266" i="2"/>
  <c r="AG267" i="2"/>
  <c r="AH267" i="2"/>
  <c r="AG268" i="2"/>
  <c r="AH268" i="2"/>
  <c r="AG269" i="2"/>
  <c r="AH269" i="2"/>
  <c r="AG270" i="2"/>
  <c r="AH270" i="2"/>
  <c r="AG271" i="2"/>
  <c r="AH271" i="2"/>
  <c r="AG272" i="2"/>
  <c r="AH272" i="2"/>
  <c r="AG273" i="2"/>
  <c r="AH273" i="2"/>
  <c r="AG274" i="2"/>
  <c r="AH274" i="2"/>
  <c r="AG284" i="2"/>
  <c r="AH284" i="2"/>
  <c r="AG285" i="2"/>
  <c r="AH285" i="2"/>
  <c r="AG286" i="2"/>
  <c r="AH286" i="2"/>
  <c r="AG287" i="2"/>
  <c r="AH287" i="2"/>
  <c r="AG288" i="2"/>
  <c r="AH288" i="2"/>
  <c r="AG289" i="2"/>
  <c r="AH289" i="2"/>
  <c r="AG290" i="2"/>
  <c r="AH290" i="2"/>
  <c r="AG291" i="2"/>
  <c r="AH291" i="2"/>
  <c r="AG292" i="2"/>
  <c r="AH292" i="2"/>
  <c r="AG293" i="2"/>
  <c r="AH293" i="2"/>
  <c r="AG294" i="2"/>
  <c r="AH294" i="2"/>
  <c r="AG295" i="2"/>
  <c r="AH295" i="2"/>
  <c r="AG296" i="2"/>
  <c r="AH296" i="2"/>
  <c r="AG297" i="2"/>
  <c r="AH297" i="2"/>
  <c r="AG298" i="2"/>
  <c r="AH298" i="2"/>
  <c r="AG299" i="2"/>
  <c r="AH299" i="2"/>
  <c r="AG300" i="2"/>
  <c r="AH300" i="2"/>
  <c r="AG301" i="2"/>
  <c r="AH301" i="2"/>
  <c r="AG302" i="2"/>
  <c r="AH302" i="2"/>
  <c r="AG303" i="2"/>
  <c r="AH303" i="2"/>
  <c r="AG304" i="2"/>
  <c r="AH304" i="2"/>
  <c r="AG305" i="2"/>
  <c r="AH305" i="2"/>
  <c r="AG306" i="2"/>
  <c r="AH306" i="2"/>
  <c r="AG307" i="2"/>
  <c r="AH307" i="2"/>
  <c r="AG308" i="2"/>
  <c r="AH308" i="2"/>
  <c r="AG309" i="2"/>
  <c r="AH309" i="2"/>
  <c r="AG310" i="2"/>
  <c r="AH310" i="2"/>
  <c r="AG311" i="2"/>
  <c r="AH311" i="2"/>
  <c r="AG312" i="2"/>
  <c r="AH312" i="2"/>
  <c r="AG313" i="2"/>
  <c r="AG314" i="2"/>
  <c r="AG315" i="2"/>
  <c r="AG316" i="2"/>
  <c r="AG317" i="2"/>
  <c r="AG318" i="2"/>
  <c r="AG319" i="2"/>
  <c r="AG320" i="2"/>
  <c r="AG321" i="2"/>
  <c r="AG322" i="2"/>
  <c r="AH322" i="2"/>
  <c r="AG323" i="2"/>
  <c r="AH323" i="2"/>
  <c r="AG324" i="2"/>
  <c r="AH324" i="2"/>
  <c r="AG325" i="2"/>
  <c r="AH325" i="2"/>
  <c r="AG326" i="2"/>
  <c r="AH326" i="2"/>
  <c r="AG327" i="2"/>
  <c r="AH327" i="2"/>
  <c r="AG328" i="2"/>
  <c r="AH328" i="2"/>
  <c r="AG329" i="2"/>
  <c r="AH329" i="2"/>
  <c r="AG330" i="2"/>
  <c r="AH330" i="2"/>
  <c r="AG331" i="2"/>
  <c r="AH331" i="2"/>
  <c r="AG332" i="2"/>
  <c r="AG333" i="2"/>
  <c r="AG334" i="2"/>
  <c r="AG335" i="2"/>
  <c r="AG336" i="2"/>
  <c r="AG337" i="2"/>
  <c r="AG338" i="2"/>
  <c r="AG339" i="2"/>
  <c r="AG340" i="2"/>
  <c r="AG341" i="2"/>
  <c r="AH341" i="2"/>
  <c r="AG342" i="2"/>
  <c r="AH342" i="2"/>
  <c r="AG343" i="2"/>
  <c r="AH343" i="2"/>
  <c r="AG344" i="2"/>
  <c r="AH344" i="2"/>
  <c r="AG345" i="2"/>
  <c r="AH345" i="2"/>
  <c r="AG346" i="2"/>
  <c r="AH346" i="2"/>
  <c r="AG347" i="2"/>
  <c r="AH347" i="2"/>
  <c r="AG348" i="2"/>
  <c r="AH348" i="2"/>
  <c r="AG349" i="2"/>
  <c r="AH349" i="2"/>
  <c r="AG350" i="2"/>
  <c r="AH350" i="2"/>
  <c r="AG351" i="2"/>
  <c r="AG352" i="2"/>
  <c r="AG353" i="2"/>
  <c r="AG354" i="2"/>
  <c r="AG355" i="2"/>
  <c r="AH355" i="2"/>
  <c r="AG356" i="2"/>
  <c r="AH356" i="2"/>
  <c r="AG357" i="2"/>
  <c r="AG358" i="2"/>
  <c r="AH358" i="2"/>
  <c r="AG359" i="2"/>
  <c r="AG360" i="2"/>
  <c r="AH360" i="2"/>
  <c r="AG361" i="2"/>
  <c r="AG362" i="2"/>
  <c r="AG373" i="2"/>
  <c r="AG374" i="2"/>
  <c r="AH374" i="2"/>
  <c r="AG377" i="2"/>
  <c r="AG378" i="2"/>
  <c r="AG379" i="2"/>
  <c r="AG380" i="2"/>
  <c r="AG381" i="2"/>
  <c r="AG382" i="2"/>
  <c r="AG383" i="2"/>
  <c r="AG384" i="2"/>
  <c r="AG386" i="2"/>
  <c r="AG387" i="2"/>
  <c r="AG388" i="2"/>
  <c r="AG389" i="2"/>
  <c r="AG390" i="2"/>
  <c r="AG391" i="2"/>
  <c r="AG392" i="2"/>
  <c r="AG393" i="2"/>
  <c r="AG394" i="2"/>
  <c r="AG395" i="2"/>
  <c r="AG396" i="2"/>
  <c r="AG397" i="2"/>
  <c r="AG398" i="2"/>
  <c r="AG399" i="2"/>
  <c r="AG400" i="2"/>
  <c r="AG401" i="2"/>
  <c r="AG402" i="2"/>
  <c r="AG403" i="2"/>
  <c r="AG406" i="2"/>
  <c r="AG407" i="2"/>
  <c r="AG408" i="2"/>
  <c r="AG409" i="2"/>
  <c r="AG410" i="2"/>
  <c r="AG411" i="2"/>
  <c r="AG412" i="2"/>
  <c r="AG413" i="2"/>
  <c r="AG414" i="2"/>
  <c r="AH414" i="2"/>
  <c r="AG415" i="2"/>
  <c r="AH415" i="2"/>
  <c r="AG416" i="2"/>
  <c r="AG417" i="2"/>
  <c r="AG418" i="2"/>
  <c r="AG419" i="2"/>
  <c r="AG420" i="2"/>
  <c r="AG421" i="2"/>
  <c r="AG422" i="2"/>
  <c r="AG423" i="2"/>
  <c r="AG424" i="2"/>
  <c r="AG425" i="2"/>
  <c r="AG426" i="2"/>
  <c r="AG427" i="2"/>
  <c r="AG430" i="2"/>
  <c r="AG431" i="2"/>
  <c r="AG432" i="2"/>
  <c r="AG433" i="2"/>
  <c r="AG434" i="2"/>
  <c r="AG435" i="2"/>
  <c r="AG436" i="2"/>
  <c r="AG437" i="2"/>
  <c r="AG438" i="2"/>
  <c r="AG439" i="2"/>
  <c r="AH3" i="2"/>
  <c r="AG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1" i="2"/>
  <c r="AE42" i="2"/>
  <c r="AE44" i="2"/>
  <c r="AE45" i="2"/>
  <c r="AE46" i="2"/>
  <c r="AE48" i="2"/>
  <c r="AE49" i="2"/>
  <c r="AE50" i="2"/>
  <c r="AE51" i="2"/>
  <c r="AE52" i="2"/>
  <c r="AE54" i="2"/>
  <c r="AE55" i="2"/>
  <c r="AE56" i="2"/>
  <c r="AE57" i="2"/>
  <c r="AE59" i="2"/>
  <c r="AE60" i="2"/>
  <c r="AE61" i="2"/>
  <c r="AE62" i="2"/>
  <c r="AE63" i="2"/>
  <c r="AE64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4" i="2"/>
  <c r="AE146" i="2"/>
  <c r="AE147" i="2"/>
  <c r="AE148" i="2"/>
  <c r="AE149" i="2"/>
  <c r="AE150" i="2"/>
  <c r="AE151" i="2"/>
  <c r="AE152" i="2"/>
  <c r="AE153" i="2"/>
  <c r="AE155" i="2"/>
  <c r="AE156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6" i="2"/>
  <c r="AE178" i="2"/>
  <c r="AE179" i="2"/>
  <c r="AE180" i="2"/>
  <c r="AE181" i="2"/>
  <c r="AE182" i="2"/>
  <c r="AE183" i="2"/>
  <c r="AE184" i="2"/>
  <c r="AE185" i="2"/>
  <c r="AE187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502" i="2"/>
  <c r="AE503" i="2"/>
  <c r="AE504" i="2"/>
  <c r="AE505" i="2"/>
  <c r="AE506" i="2"/>
  <c r="AE507" i="2"/>
  <c r="AE508" i="2"/>
  <c r="AE509" i="2"/>
  <c r="AE510" i="2"/>
  <c r="AE511" i="2"/>
  <c r="AE512" i="2"/>
  <c r="AE513" i="2"/>
  <c r="AE514" i="2"/>
  <c r="AE515" i="2"/>
  <c r="AE516" i="2"/>
  <c r="AE517" i="2"/>
  <c r="AE518" i="2"/>
  <c r="AE519" i="2"/>
  <c r="AE520" i="2"/>
  <c r="AE521" i="2"/>
  <c r="AE522" i="2"/>
  <c r="AE523" i="2"/>
  <c r="AE524" i="2"/>
  <c r="AE525" i="2"/>
  <c r="AE526" i="2"/>
  <c r="AE527" i="2"/>
  <c r="AE528" i="2"/>
  <c r="AE529" i="2"/>
  <c r="AE530" i="2"/>
  <c r="AE531" i="2"/>
  <c r="AE532" i="2"/>
  <c r="AE533" i="2"/>
  <c r="AE534" i="2"/>
  <c r="AE535" i="2"/>
  <c r="AE536" i="2"/>
  <c r="AE537" i="2"/>
  <c r="AE538" i="2"/>
  <c r="AE539" i="2"/>
  <c r="AE540" i="2"/>
  <c r="AE541" i="2"/>
  <c r="AE542" i="2"/>
  <c r="AE543" i="2"/>
  <c r="AE544" i="2"/>
  <c r="AE545" i="2"/>
  <c r="AE546" i="2"/>
  <c r="AE547" i="2"/>
  <c r="AE548" i="2"/>
  <c r="AE549" i="2"/>
  <c r="AE550" i="2"/>
  <c r="AE551" i="2"/>
  <c r="AE554" i="2"/>
  <c r="AE555" i="2"/>
  <c r="AE556" i="2"/>
  <c r="AE557" i="2"/>
  <c r="AE558" i="2"/>
  <c r="AE559" i="2"/>
  <c r="AE560" i="2"/>
  <c r="AE561" i="2"/>
  <c r="AE562" i="2"/>
  <c r="AE563" i="2"/>
  <c r="AE564" i="2"/>
  <c r="AE565" i="2"/>
  <c r="AE566" i="2"/>
  <c r="AE567" i="2"/>
  <c r="AE568" i="2"/>
  <c r="AE569" i="2"/>
  <c r="AE570" i="2"/>
  <c r="AE571" i="2"/>
  <c r="AE572" i="2"/>
  <c r="AE573" i="2"/>
  <c r="AE574" i="2"/>
  <c r="AE575" i="2"/>
  <c r="AE576" i="2"/>
  <c r="AE577" i="2"/>
  <c r="AE578" i="2"/>
  <c r="AE579" i="2"/>
  <c r="AE580" i="2"/>
  <c r="AE581" i="2"/>
  <c r="AE582" i="2"/>
  <c r="AE583" i="2"/>
  <c r="AE584" i="2"/>
  <c r="AE585" i="2"/>
  <c r="AE586" i="2"/>
  <c r="AE587" i="2"/>
  <c r="AE588" i="2"/>
  <c r="AE589" i="2"/>
  <c r="AE590" i="2"/>
  <c r="AE591" i="2"/>
  <c r="AE592" i="2"/>
  <c r="AE593" i="2"/>
  <c r="AE594" i="2"/>
  <c r="AE595" i="2"/>
  <c r="AE596" i="2"/>
  <c r="AE597" i="2"/>
  <c r="AE598" i="2"/>
  <c r="AE599" i="2"/>
  <c r="AE600" i="2"/>
  <c r="AE601" i="2"/>
  <c r="AE603" i="2"/>
  <c r="AE604" i="2"/>
  <c r="AE605" i="2"/>
  <c r="AE607" i="2"/>
  <c r="AE608" i="2"/>
  <c r="AE609" i="2"/>
  <c r="AE611" i="2"/>
  <c r="AE612" i="2"/>
  <c r="AE613" i="2"/>
  <c r="AE615" i="2"/>
  <c r="AE616" i="2"/>
  <c r="AE617" i="2"/>
  <c r="AE619" i="2"/>
  <c r="AE620" i="2"/>
  <c r="AE621" i="2"/>
  <c r="AE623" i="2"/>
  <c r="AE624" i="2"/>
  <c r="AE625" i="2"/>
  <c r="AE627" i="2"/>
  <c r="AE628" i="2"/>
  <c r="AE629" i="2"/>
  <c r="AE630" i="2"/>
  <c r="AE631" i="2"/>
  <c r="AE632" i="2"/>
  <c r="AE633" i="2"/>
  <c r="AE635" i="2"/>
  <c r="AE636" i="2"/>
  <c r="AE637" i="2"/>
  <c r="AE638" i="2"/>
  <c r="AE639" i="2"/>
  <c r="AE640" i="2"/>
  <c r="AE641" i="2"/>
  <c r="AE642" i="2"/>
  <c r="AE643" i="2"/>
  <c r="AE644" i="2"/>
  <c r="AE645" i="2"/>
  <c r="AE646" i="2"/>
  <c r="AE647" i="2"/>
  <c r="AE648" i="2"/>
  <c r="AE649" i="2"/>
  <c r="AE650" i="2"/>
  <c r="AE651" i="2"/>
  <c r="AE652" i="2"/>
  <c r="AE653" i="2"/>
  <c r="AE654" i="2"/>
  <c r="AE655" i="2"/>
  <c r="AE656" i="2"/>
  <c r="AE657" i="2"/>
  <c r="AE658" i="2"/>
  <c r="AE659" i="2"/>
  <c r="AE660" i="2"/>
  <c r="AE661" i="2"/>
  <c r="AE662" i="2"/>
  <c r="AE663" i="2"/>
  <c r="AE664" i="2"/>
  <c r="AE665" i="2"/>
  <c r="AE666" i="2"/>
  <c r="AE667" i="2"/>
  <c r="AE668" i="2"/>
  <c r="AE669" i="2"/>
  <c r="AE670" i="2"/>
  <c r="AE671" i="2"/>
  <c r="AE672" i="2"/>
  <c r="AE673" i="2"/>
  <c r="AE674" i="2"/>
  <c r="AE675" i="2"/>
  <c r="AE676" i="2"/>
  <c r="AE677" i="2"/>
  <c r="AE678" i="2"/>
  <c r="AE679" i="2"/>
  <c r="AE680" i="2"/>
  <c r="AE681" i="2"/>
  <c r="AE682" i="2"/>
  <c r="AE683" i="2"/>
  <c r="AE684" i="2"/>
  <c r="AE685" i="2"/>
  <c r="AE686" i="2"/>
  <c r="AE687" i="2"/>
  <c r="AE688" i="2"/>
  <c r="AE689" i="2"/>
  <c r="AE690" i="2"/>
  <c r="AE691" i="2"/>
  <c r="AE692" i="2"/>
  <c r="AE693" i="2"/>
  <c r="AE694" i="2"/>
  <c r="AE695" i="2"/>
  <c r="AE696" i="2"/>
  <c r="AE697" i="2"/>
  <c r="AE698" i="2"/>
  <c r="AE699" i="2"/>
  <c r="AE700" i="2"/>
  <c r="AE701" i="2"/>
  <c r="AE702" i="2"/>
  <c r="AE703" i="2"/>
  <c r="AE704" i="2"/>
  <c r="AE705" i="2"/>
  <c r="AE706" i="2"/>
  <c r="AE707" i="2"/>
  <c r="AE710" i="2"/>
  <c r="AE711" i="2"/>
  <c r="AE712" i="2"/>
  <c r="AE713" i="2"/>
  <c r="AE714" i="2"/>
  <c r="AE715" i="2"/>
  <c r="AE716" i="2"/>
  <c r="AE717" i="2"/>
  <c r="AE718" i="2"/>
  <c r="AE719" i="2"/>
  <c r="AE720" i="2"/>
  <c r="AE721" i="2"/>
  <c r="AE722" i="2"/>
  <c r="AE723" i="2"/>
  <c r="AE724" i="2"/>
  <c r="AE725" i="2"/>
  <c r="AE726" i="2"/>
  <c r="AE727" i="2"/>
  <c r="AE728" i="2"/>
  <c r="AE729" i="2"/>
  <c r="AE730" i="2"/>
  <c r="AE731" i="2"/>
  <c r="AE732" i="2"/>
  <c r="AE733" i="2"/>
  <c r="AE734" i="2"/>
  <c r="AE735" i="2"/>
  <c r="AE736" i="2"/>
  <c r="AE737" i="2"/>
  <c r="AE738" i="2"/>
  <c r="AE739" i="2"/>
  <c r="AE740" i="2"/>
  <c r="AE741" i="2"/>
  <c r="AE742" i="2"/>
  <c r="AE743" i="2"/>
  <c r="AE744" i="2"/>
  <c r="AE745" i="2"/>
  <c r="AE746" i="2"/>
  <c r="AE747" i="2"/>
  <c r="AE748" i="2"/>
  <c r="AE749" i="2"/>
  <c r="AE750" i="2"/>
  <c r="AE751" i="2"/>
  <c r="AE752" i="2"/>
  <c r="AE753" i="2"/>
  <c r="AE755" i="2"/>
  <c r="AE756" i="2"/>
  <c r="AE757" i="2"/>
  <c r="AE758" i="2"/>
  <c r="AE759" i="2"/>
  <c r="AE760" i="2"/>
  <c r="AE761" i="2"/>
  <c r="AE762" i="2"/>
  <c r="AE763" i="2"/>
  <c r="AE764" i="2"/>
  <c r="AE765" i="2"/>
  <c r="AE766" i="2"/>
  <c r="AE767" i="2"/>
  <c r="AE768" i="2"/>
  <c r="AE769" i="2"/>
  <c r="AE770" i="2"/>
  <c r="AE771" i="2"/>
  <c r="AE772" i="2"/>
  <c r="AE773" i="2"/>
  <c r="AE774" i="2"/>
  <c r="AE775" i="2"/>
  <c r="AE776" i="2"/>
  <c r="AE777" i="2"/>
  <c r="AE778" i="2"/>
  <c r="AE779" i="2"/>
  <c r="AE780" i="2"/>
  <c r="AE781" i="2"/>
  <c r="AE782" i="2"/>
  <c r="AE783" i="2"/>
  <c r="AE784" i="2"/>
  <c r="AE785" i="2"/>
  <c r="AE786" i="2"/>
  <c r="AE787" i="2"/>
  <c r="AE788" i="2"/>
  <c r="AE789" i="2"/>
  <c r="AE790" i="2"/>
  <c r="AE791" i="2"/>
  <c r="AE792" i="2"/>
  <c r="AE793" i="2"/>
  <c r="AE794" i="2"/>
  <c r="AE795" i="2"/>
  <c r="AE796" i="2"/>
  <c r="AE797" i="2"/>
  <c r="AE798" i="2"/>
  <c r="AE799" i="2"/>
  <c r="AE800" i="2"/>
  <c r="AE801" i="2"/>
  <c r="AE802" i="2"/>
  <c r="AE803" i="2"/>
  <c r="AE804" i="2"/>
  <c r="AE805" i="2"/>
  <c r="AE806" i="2"/>
  <c r="AE807" i="2"/>
  <c r="AE808" i="2"/>
  <c r="AE809" i="2"/>
  <c r="AE810" i="2"/>
  <c r="AE811" i="2"/>
  <c r="AE812" i="2"/>
  <c r="AE813" i="2"/>
  <c r="AE814" i="2"/>
  <c r="AE815" i="2"/>
  <c r="AE816" i="2"/>
  <c r="AE817" i="2"/>
  <c r="AE818" i="2"/>
  <c r="AE819" i="2"/>
  <c r="AE820" i="2"/>
  <c r="AE821" i="2"/>
  <c r="AE822" i="2"/>
  <c r="AE823" i="2"/>
  <c r="AE824" i="2"/>
  <c r="AE825" i="2"/>
  <c r="AE826" i="2"/>
  <c r="AE827" i="2"/>
  <c r="AE828" i="2"/>
  <c r="AE829" i="2"/>
  <c r="AE830" i="2"/>
  <c r="AE831" i="2"/>
  <c r="AE832" i="2"/>
  <c r="AE833" i="2"/>
  <c r="AE834" i="2"/>
  <c r="AE835" i="2"/>
  <c r="AE836" i="2"/>
  <c r="AE837" i="2"/>
  <c r="AE838" i="2"/>
  <c r="AE839" i="2"/>
  <c r="AE840" i="2"/>
  <c r="AE841" i="2"/>
  <c r="AE842" i="2"/>
  <c r="AE843" i="2"/>
  <c r="AE844" i="2"/>
  <c r="AE845" i="2"/>
  <c r="AE846" i="2"/>
  <c r="AE847" i="2"/>
  <c r="AE848" i="2"/>
  <c r="AE849" i="2"/>
  <c r="AE850" i="2"/>
  <c r="AE851" i="2"/>
  <c r="AE852" i="2"/>
  <c r="AE853" i="2"/>
  <c r="AE854" i="2"/>
  <c r="AE855" i="2"/>
  <c r="AE856" i="2"/>
  <c r="AE857" i="2"/>
  <c r="AE858" i="2"/>
  <c r="AE859" i="2"/>
  <c r="AE860" i="2"/>
  <c r="AE861" i="2"/>
  <c r="AE862" i="2"/>
  <c r="AE865" i="2"/>
  <c r="AE866" i="2"/>
  <c r="AE867" i="2"/>
  <c r="AE868" i="2"/>
  <c r="AE869" i="2"/>
  <c r="AE877" i="2"/>
  <c r="AE878" i="2"/>
  <c r="AE879" i="2"/>
  <c r="AE880" i="2"/>
  <c r="AE881" i="2"/>
  <c r="AE882" i="2"/>
  <c r="AE883" i="2"/>
  <c r="AE884" i="2"/>
  <c r="AE885" i="2"/>
  <c r="AE886" i="2"/>
  <c r="AE887" i="2"/>
  <c r="AE888" i="2"/>
  <c r="AE889" i="2"/>
  <c r="AE890" i="2"/>
  <c r="AE891" i="2"/>
  <c r="AE892" i="2"/>
  <c r="AE893" i="2"/>
  <c r="AE894" i="2"/>
  <c r="AE895" i="2"/>
  <c r="AE896" i="2"/>
  <c r="AE897" i="2"/>
  <c r="AE898" i="2"/>
  <c r="AE899" i="2"/>
  <c r="AE900" i="2"/>
  <c r="AE903" i="2"/>
  <c r="AE904" i="2"/>
  <c r="AE905" i="2"/>
  <c r="AE908" i="2"/>
  <c r="AE909" i="2"/>
  <c r="AE910" i="2"/>
  <c r="AE911" i="2"/>
  <c r="AE912" i="2"/>
  <c r="AE913" i="2"/>
  <c r="AE914" i="2"/>
  <c r="AE915" i="2"/>
  <c r="AE916" i="2"/>
  <c r="AE917" i="2"/>
  <c r="AE918" i="2"/>
  <c r="AE919" i="2"/>
  <c r="AE920" i="2"/>
  <c r="AE921" i="2"/>
  <c r="AE922" i="2"/>
  <c r="AE923" i="2"/>
  <c r="AE924" i="2"/>
  <c r="AE925" i="2"/>
  <c r="AE926" i="2"/>
  <c r="AE927" i="2"/>
  <c r="AE928" i="2"/>
  <c r="AE929" i="2"/>
  <c r="AE930" i="2"/>
  <c r="AE931" i="2"/>
  <c r="AE932" i="2"/>
  <c r="AE933" i="2"/>
  <c r="AE934" i="2"/>
  <c r="AE935" i="2"/>
  <c r="AE936" i="2"/>
  <c r="AE937" i="2"/>
  <c r="AE938" i="2"/>
  <c r="AE939" i="2"/>
  <c r="AE940" i="2"/>
  <c r="AE941" i="2"/>
  <c r="AE942" i="2"/>
  <c r="AE943" i="2"/>
  <c r="AE944" i="2"/>
  <c r="AE945" i="2"/>
  <c r="AE946" i="2"/>
  <c r="AE947" i="2"/>
  <c r="AE948" i="2"/>
  <c r="AE949" i="2"/>
  <c r="AE950" i="2"/>
  <c r="AE951" i="2"/>
  <c r="AE952" i="2"/>
  <c r="AE953" i="2"/>
  <c r="AE954" i="2"/>
  <c r="AE955" i="2"/>
  <c r="AE956" i="2"/>
  <c r="AE957" i="2"/>
  <c r="AE958" i="2"/>
  <c r="AE959" i="2"/>
  <c r="AE960" i="2"/>
  <c r="AE961" i="2"/>
  <c r="AE962" i="2"/>
  <c r="AE963" i="2"/>
  <c r="AE964" i="2"/>
  <c r="AE965" i="2"/>
  <c r="AE966" i="2"/>
  <c r="AE967" i="2"/>
  <c r="AE968" i="2"/>
  <c r="AE969" i="2"/>
  <c r="AE970" i="2"/>
  <c r="AE971" i="2"/>
  <c r="AE972" i="2"/>
  <c r="AE973" i="2"/>
  <c r="AE974" i="2"/>
  <c r="AE975" i="2"/>
  <c r="AE976" i="2"/>
  <c r="AE977" i="2"/>
  <c r="AE978" i="2"/>
  <c r="AE979" i="2"/>
  <c r="AE980" i="2"/>
  <c r="AE981" i="2"/>
  <c r="AE982" i="2"/>
  <c r="AE983" i="2"/>
  <c r="AE984" i="2"/>
  <c r="AE985" i="2"/>
  <c r="AE986" i="2"/>
  <c r="AE987" i="2"/>
  <c r="AE988" i="2"/>
  <c r="AE989" i="2"/>
  <c r="AE990" i="2"/>
  <c r="AE991" i="2"/>
  <c r="AE992" i="2"/>
  <c r="AE993" i="2"/>
  <c r="AE994" i="2"/>
  <c r="AE995" i="2"/>
  <c r="AE996" i="2"/>
  <c r="AE997" i="2"/>
  <c r="AE998" i="2"/>
  <c r="AE999" i="2"/>
  <c r="AE1000" i="2"/>
  <c r="AE1001" i="2"/>
  <c r="AE1002" i="2"/>
  <c r="AE1003" i="2"/>
  <c r="AE1004" i="2"/>
  <c r="AE1005" i="2"/>
  <c r="AE1006" i="2"/>
  <c r="AE1007" i="2"/>
  <c r="AE1008" i="2"/>
  <c r="AE1009" i="2"/>
  <c r="AE1010" i="2"/>
  <c r="AE1011" i="2"/>
  <c r="AE1012" i="2"/>
  <c r="AE1013" i="2"/>
  <c r="AE1014" i="2"/>
  <c r="AE1015" i="2"/>
  <c r="AE1016" i="2"/>
  <c r="AE1017" i="2"/>
  <c r="AE1018" i="2"/>
  <c r="AE1019" i="2"/>
  <c r="AE1020" i="2"/>
  <c r="AE1021" i="2"/>
  <c r="AE1022" i="2"/>
  <c r="AE1023" i="2"/>
  <c r="AE1024" i="2"/>
  <c r="AE1025" i="2"/>
  <c r="AE1026" i="2"/>
  <c r="AE1027" i="2"/>
  <c r="AE1028" i="2"/>
  <c r="AE1029" i="2"/>
  <c r="AE1030" i="2"/>
  <c r="AE1031" i="2"/>
  <c r="AE1032" i="2"/>
  <c r="AE1033" i="2"/>
  <c r="AE1034" i="2"/>
  <c r="AE1035" i="2"/>
  <c r="AE1036" i="2"/>
  <c r="AE1037" i="2"/>
  <c r="AE1038" i="2"/>
  <c r="AE1039" i="2"/>
  <c r="AE1040" i="2"/>
  <c r="AE1041" i="2"/>
  <c r="AE1042" i="2"/>
  <c r="AE1043" i="2"/>
  <c r="AE1044" i="2"/>
  <c r="AE1059" i="2"/>
  <c r="AE1060" i="2"/>
  <c r="AE1061" i="2"/>
  <c r="AE1062" i="2"/>
  <c r="AE1063" i="2"/>
  <c r="AE1064" i="2"/>
  <c r="AE1065" i="2"/>
  <c r="AE1066" i="2"/>
  <c r="AE1069" i="2"/>
  <c r="AE1070" i="2"/>
  <c r="AE1072" i="2"/>
  <c r="AE1073" i="2"/>
  <c r="AE1074" i="2"/>
  <c r="AE1075" i="2"/>
  <c r="AE1076" i="2"/>
  <c r="AE1077" i="2"/>
  <c r="AE1080" i="2"/>
  <c r="AE1081" i="2"/>
  <c r="AE1083" i="2"/>
  <c r="AE1084" i="2"/>
  <c r="AE1085" i="2"/>
  <c r="AE1086" i="2"/>
  <c r="AE1087" i="2"/>
  <c r="AE1088" i="2"/>
  <c r="AE1089" i="2"/>
  <c r="AE1090" i="2"/>
  <c r="AE1091" i="2"/>
  <c r="AE1092" i="2"/>
  <c r="AE1093" i="2"/>
  <c r="AE1094" i="2"/>
  <c r="AE1095" i="2"/>
  <c r="AE1096" i="2"/>
  <c r="AE1097" i="2"/>
  <c r="AE1098" i="2"/>
  <c r="AE1099" i="2"/>
  <c r="AE1100" i="2"/>
  <c r="AE1101" i="2"/>
  <c r="AE1102" i="2"/>
  <c r="AE1103" i="2"/>
  <c r="AE1104" i="2"/>
  <c r="AE1105" i="2"/>
  <c r="AE1106" i="2"/>
  <c r="AE1107" i="2"/>
  <c r="AE1108" i="2"/>
  <c r="AE1109" i="2"/>
  <c r="AE1110" i="2"/>
  <c r="AE1111" i="2"/>
  <c r="AE1112" i="2"/>
  <c r="AE1113" i="2"/>
  <c r="AE1114" i="2"/>
  <c r="AE1115" i="2"/>
  <c r="AE1116" i="2"/>
  <c r="AE1117" i="2"/>
  <c r="AE1118" i="2"/>
  <c r="AE1119" i="2"/>
  <c r="AE1120" i="2"/>
  <c r="AE1121" i="2"/>
  <c r="AE1122" i="2"/>
  <c r="AE1123" i="2"/>
  <c r="AE1124" i="2"/>
  <c r="AE1125" i="2"/>
  <c r="AE1126" i="2"/>
  <c r="AE1127" i="2"/>
  <c r="AE1128" i="2"/>
  <c r="AE1129" i="2"/>
  <c r="AE1130" i="2"/>
  <c r="AE1131" i="2"/>
  <c r="AE1132" i="2"/>
  <c r="AE1133" i="2"/>
  <c r="AE1134" i="2"/>
  <c r="AE1135" i="2"/>
  <c r="AE1136" i="2"/>
  <c r="AE1137" i="2"/>
  <c r="AE1138" i="2"/>
  <c r="AE1139" i="2"/>
  <c r="AE1140" i="2"/>
  <c r="AE1141" i="2"/>
  <c r="AE1142" i="2"/>
  <c r="AE1143" i="2"/>
  <c r="AE1144" i="2"/>
  <c r="AE1145" i="2"/>
  <c r="AE1146" i="2"/>
  <c r="AE1147" i="2"/>
  <c r="AE1148" i="2"/>
  <c r="AE1149" i="2"/>
  <c r="AE1150" i="2"/>
  <c r="AE1151" i="2"/>
  <c r="AE1152" i="2"/>
  <c r="AE1153" i="2"/>
  <c r="AE1154" i="2"/>
  <c r="AE1155" i="2"/>
  <c r="AE1156" i="2"/>
  <c r="AE1157" i="2"/>
  <c r="AE1158" i="2"/>
  <c r="AE1159" i="2"/>
  <c r="AE1160" i="2"/>
  <c r="AE1161" i="2"/>
  <c r="AE1162" i="2"/>
  <c r="AE1163" i="2"/>
  <c r="AE1164" i="2"/>
  <c r="AE1165" i="2"/>
  <c r="AE1166" i="2"/>
  <c r="AE1167" i="2"/>
  <c r="AE1168" i="2"/>
  <c r="AE1169" i="2"/>
  <c r="AE1170" i="2"/>
  <c r="AE1171" i="2"/>
  <c r="AE1172" i="2"/>
  <c r="AE1173" i="2"/>
  <c r="AE1174" i="2"/>
  <c r="AE1175" i="2"/>
  <c r="AE1176" i="2"/>
  <c r="AE1177" i="2"/>
  <c r="AE1178" i="2"/>
  <c r="AE1179" i="2"/>
  <c r="AE1180" i="2"/>
  <c r="AE1181" i="2"/>
  <c r="AE1182" i="2"/>
  <c r="AE1183" i="2"/>
  <c r="AE1184" i="2"/>
  <c r="AE1185" i="2"/>
  <c r="AE1186" i="2"/>
  <c r="AE1187" i="2"/>
  <c r="AE1188" i="2"/>
  <c r="AE1189" i="2"/>
  <c r="AE1190" i="2"/>
  <c r="AE1191" i="2"/>
  <c r="AE1192" i="2"/>
  <c r="AE1193" i="2"/>
  <c r="AE1194" i="2"/>
  <c r="AE1195" i="2"/>
  <c r="AE1196" i="2"/>
  <c r="AE1197" i="2"/>
  <c r="AE1198" i="2"/>
  <c r="AE1199" i="2"/>
  <c r="AE1200" i="2"/>
  <c r="AE1201" i="2"/>
  <c r="AE1202" i="2"/>
  <c r="AE1203" i="2"/>
  <c r="AE1204" i="2"/>
  <c r="AE1205" i="2"/>
  <c r="AE1206" i="2"/>
  <c r="AE1207" i="2"/>
  <c r="AE1208" i="2"/>
  <c r="AE1209" i="2"/>
  <c r="AE1210" i="2"/>
  <c r="AE1211" i="2"/>
  <c r="AE1212" i="2"/>
  <c r="AE1213" i="2"/>
  <c r="AE1214" i="2"/>
  <c r="AE1215" i="2"/>
  <c r="AE1216" i="2"/>
  <c r="AE1217" i="2"/>
  <c r="AE1218" i="2"/>
  <c r="AE1219" i="2"/>
  <c r="AE1220" i="2"/>
  <c r="AE1221" i="2"/>
  <c r="AE1222" i="2"/>
  <c r="AE1223" i="2"/>
  <c r="AE1224" i="2"/>
  <c r="AE1225" i="2"/>
  <c r="AE1226" i="2"/>
  <c r="AE1227" i="2"/>
  <c r="AE1228" i="2"/>
  <c r="AE1229" i="2"/>
  <c r="AE1230" i="2"/>
  <c r="AE1231" i="2"/>
  <c r="AE1232" i="2"/>
  <c r="AE1233" i="2"/>
  <c r="AE1234" i="2"/>
  <c r="AE1254" i="2"/>
  <c r="AE1257" i="2"/>
  <c r="AE1258" i="2"/>
  <c r="AE1259" i="2"/>
  <c r="AE1260" i="2"/>
  <c r="AE1266" i="2"/>
  <c r="AE1267" i="2"/>
  <c r="AE1268" i="2"/>
  <c r="AE1269" i="2"/>
  <c r="AE1270" i="2"/>
  <c r="AE1271" i="2"/>
  <c r="AE1272" i="2"/>
  <c r="AE1273" i="2"/>
  <c r="AE1274" i="2"/>
  <c r="AE1275" i="2"/>
  <c r="AE1276" i="2"/>
  <c r="AE1300" i="2"/>
  <c r="AE1320" i="2"/>
  <c r="AE3" i="2"/>
  <c r="AD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1" i="2"/>
  <c r="AD53" i="2"/>
  <c r="AD54" i="2"/>
  <c r="AD56" i="2"/>
  <c r="AD57" i="2"/>
  <c r="AD58" i="2"/>
  <c r="AD59" i="2"/>
  <c r="AD61" i="2"/>
  <c r="AD63" i="2"/>
  <c r="AD65" i="2"/>
  <c r="AD66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4" i="2"/>
  <c r="AD146" i="2"/>
  <c r="AD147" i="2"/>
  <c r="AD148" i="2"/>
  <c r="AD149" i="2"/>
  <c r="AD150" i="2"/>
  <c r="AD151" i="2"/>
  <c r="AD152" i="2"/>
  <c r="AD153" i="2"/>
  <c r="AD160" i="2"/>
  <c r="AD161" i="2"/>
  <c r="AD162" i="2"/>
  <c r="AD163" i="2"/>
  <c r="AD164" i="2"/>
  <c r="AD165" i="2"/>
  <c r="AD166" i="2"/>
  <c r="AD167" i="2"/>
  <c r="AD169" i="2"/>
  <c r="AD170" i="2"/>
  <c r="AD171" i="2"/>
  <c r="AD172" i="2"/>
  <c r="AD173" i="2"/>
  <c r="AD174" i="2"/>
  <c r="AD176" i="2"/>
  <c r="AD178" i="2"/>
  <c r="AD179" i="2"/>
  <c r="AD180" i="2"/>
  <c r="AD181" i="2"/>
  <c r="AD182" i="2"/>
  <c r="AD183" i="2"/>
  <c r="AD184" i="2"/>
  <c r="AD185" i="2"/>
  <c r="AD187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73" i="2"/>
  <c r="AD374" i="2"/>
  <c r="AD377" i="2"/>
  <c r="AD378" i="2"/>
  <c r="AD379" i="2"/>
  <c r="AD380" i="2"/>
  <c r="AD381" i="2"/>
  <c r="AD382" i="2"/>
  <c r="AD383" i="2"/>
  <c r="AD384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6" i="2"/>
  <c r="AD407" i="2"/>
  <c r="AD408" i="2"/>
  <c r="AD409" i="2"/>
  <c r="AD410" i="2"/>
  <c r="AD411" i="2"/>
  <c r="AD412" i="2"/>
  <c r="AD413" i="2"/>
  <c r="AD414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17" i="2"/>
  <c r="E1276" i="2"/>
  <c r="E1275" i="2"/>
  <c r="E1274" i="2"/>
  <c r="E1273" i="2"/>
  <c r="E1272" i="2"/>
  <c r="E1271" i="2"/>
  <c r="E1270" i="2"/>
  <c r="E1269" i="2"/>
  <c r="E1268" i="2"/>
  <c r="E1267" i="2"/>
  <c r="E1266" i="2"/>
  <c r="E1288" i="2"/>
  <c r="M1288" i="2"/>
  <c r="N1288" i="2"/>
  <c r="E1289" i="2"/>
  <c r="E1290" i="2"/>
  <c r="L1290" i="2"/>
  <c r="AH1290" i="2" s="1"/>
  <c r="E1291" i="2"/>
  <c r="M1291" i="2"/>
  <c r="N1291" i="2"/>
  <c r="AE1291" i="2" s="1"/>
  <c r="E1292" i="2"/>
  <c r="M1292" i="2"/>
  <c r="N1292" i="2"/>
  <c r="AE1292" i="2" s="1"/>
  <c r="E1293" i="2"/>
  <c r="M1293" i="2"/>
  <c r="N1293" i="2"/>
  <c r="AE1293" i="2" s="1"/>
  <c r="E1294" i="2"/>
  <c r="M1294" i="2"/>
  <c r="M1289" i="2" s="1"/>
  <c r="N1294" i="2"/>
  <c r="E1295" i="2"/>
  <c r="L1295" i="2"/>
  <c r="M1295" i="2"/>
  <c r="N1295" i="2"/>
  <c r="AE1295" i="2" s="1"/>
  <c r="E1296" i="2"/>
  <c r="M1296" i="2"/>
  <c r="N1296" i="2"/>
  <c r="AE1296" i="2" s="1"/>
  <c r="E1297" i="2"/>
  <c r="L1297" i="2"/>
  <c r="M1297" i="2"/>
  <c r="N1297" i="2"/>
  <c r="AE1297" i="2" s="1"/>
  <c r="E1298" i="2"/>
  <c r="M1298" i="2"/>
  <c r="N1298" i="2"/>
  <c r="AE1298" i="2" s="1"/>
  <c r="E1260" i="2"/>
  <c r="M1261" i="2"/>
  <c r="M1258" i="2" s="1"/>
  <c r="N1261" i="2"/>
  <c r="AE1261" i="2" s="1"/>
  <c r="E1259" i="2"/>
  <c r="E1258" i="2"/>
  <c r="E1257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AH1295" i="2" l="1"/>
  <c r="AH1297" i="2"/>
  <c r="M1257" i="2"/>
  <c r="AE1288" i="2"/>
  <c r="M1272" i="2"/>
  <c r="M1273" i="2"/>
  <c r="M1274" i="2"/>
  <c r="M1275" i="2"/>
  <c r="M1276" i="2"/>
  <c r="M1266" i="2"/>
  <c r="M1267" i="2"/>
  <c r="M1269" i="2"/>
  <c r="M1271" i="2"/>
  <c r="M1268" i="2"/>
  <c r="M1270" i="2"/>
  <c r="M1260" i="2"/>
  <c r="M1259" i="2"/>
  <c r="AE1294" i="2"/>
  <c r="N1289" i="2"/>
  <c r="AE1289" i="2" s="1"/>
  <c r="N1290" i="2"/>
  <c r="AE1290" i="2" s="1"/>
  <c r="M1290" i="2"/>
  <c r="E1215" i="2" l="1"/>
  <c r="E1214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M864" i="2" l="1"/>
  <c r="N864" i="2"/>
  <c r="AE864" i="2" s="1"/>
  <c r="N863" i="2"/>
  <c r="AE863" i="2" s="1"/>
  <c r="M863" i="2"/>
  <c r="K864" i="2"/>
  <c r="AG864" i="2" s="1"/>
  <c r="K863" i="2"/>
  <c r="E863" i="2"/>
  <c r="N709" i="2"/>
  <c r="AE709" i="2" s="1"/>
  <c r="M709" i="2"/>
  <c r="L709" i="2"/>
  <c r="AH709" i="2" s="1"/>
  <c r="K709" i="2"/>
  <c r="AG709" i="2" s="1"/>
  <c r="N708" i="2"/>
  <c r="AE708" i="2" s="1"/>
  <c r="M708" i="2"/>
  <c r="K708" i="2"/>
  <c r="AG708" i="2" s="1"/>
  <c r="E708" i="2"/>
  <c r="K907" i="2"/>
  <c r="AG907" i="2" s="1"/>
  <c r="L907" i="2"/>
  <c r="AH907" i="2" s="1"/>
  <c r="M907" i="2"/>
  <c r="N907" i="2"/>
  <c r="AE907" i="2" s="1"/>
  <c r="N906" i="2"/>
  <c r="AE906" i="2" s="1"/>
  <c r="M906" i="2"/>
  <c r="L906" i="2"/>
  <c r="K906" i="2"/>
  <c r="E906" i="2"/>
  <c r="K902" i="2"/>
  <c r="AG902" i="2" s="1"/>
  <c r="L902" i="2"/>
  <c r="AH902" i="2" s="1"/>
  <c r="M902" i="2"/>
  <c r="N902" i="2"/>
  <c r="AE902" i="2" s="1"/>
  <c r="N901" i="2"/>
  <c r="AE901" i="2" s="1"/>
  <c r="M901" i="2"/>
  <c r="L901" i="2"/>
  <c r="K901" i="2"/>
  <c r="E901" i="2"/>
  <c r="M899" i="2"/>
  <c r="K899" i="2"/>
  <c r="AG899" i="2" s="1"/>
  <c r="M898" i="2"/>
  <c r="L898" i="2"/>
  <c r="K898" i="2"/>
  <c r="E898" i="2"/>
  <c r="K897" i="2"/>
  <c r="AG897" i="2" s="1"/>
  <c r="L897" i="2"/>
  <c r="AH897" i="2" s="1"/>
  <c r="M897" i="2"/>
  <c r="M896" i="2"/>
  <c r="L896" i="2"/>
  <c r="K896" i="2"/>
  <c r="E896" i="2"/>
  <c r="E20" i="2"/>
  <c r="AH896" i="2" l="1"/>
  <c r="AG901" i="2"/>
  <c r="AG906" i="2"/>
  <c r="L863" i="2"/>
  <c r="AG863" i="2"/>
  <c r="AH901" i="2"/>
  <c r="AG898" i="2"/>
  <c r="AH906" i="2"/>
  <c r="AG896" i="2"/>
  <c r="AH898" i="2"/>
  <c r="L708" i="2"/>
  <c r="L864" i="2"/>
  <c r="AH863" i="2" l="1"/>
  <c r="AH864" i="2"/>
  <c r="AH708" i="2"/>
  <c r="E23" i="2"/>
  <c r="L58" i="2"/>
  <c r="K58" i="2"/>
  <c r="AG58" i="2" s="1"/>
  <c r="E57" i="2"/>
  <c r="M168" i="2"/>
  <c r="AD168" i="2" s="1"/>
  <c r="L168" i="2"/>
  <c r="K168" i="2"/>
  <c r="E168" i="2"/>
  <c r="AG159" i="2"/>
  <c r="AH159" i="2"/>
  <c r="AD159" i="2"/>
  <c r="M158" i="2"/>
  <c r="AD158" i="2" s="1"/>
  <c r="L158" i="2"/>
  <c r="K158" i="2"/>
  <c r="E158" i="2"/>
  <c r="AG156" i="2"/>
  <c r="K155" i="2"/>
  <c r="AH156" i="2"/>
  <c r="L155" i="2"/>
  <c r="AD156" i="2"/>
  <c r="M155" i="2"/>
  <c r="AD155" i="2" s="1"/>
  <c r="E155" i="2"/>
  <c r="AH58" i="2" l="1"/>
  <c r="AH158" i="2"/>
  <c r="AG168" i="2"/>
  <c r="AG158" i="2"/>
  <c r="AH168" i="2"/>
  <c r="AH155" i="2"/>
  <c r="AG155" i="2"/>
  <c r="L1317" i="2"/>
  <c r="AH1317" i="2" s="1"/>
  <c r="L1251" i="2"/>
  <c r="AH1251" i="2" s="1"/>
  <c r="L1310" i="2"/>
  <c r="AH1310" i="2" s="1"/>
  <c r="L1305" i="2"/>
  <c r="AH1305" i="2" s="1"/>
  <c r="L1315" i="2"/>
  <c r="AH1315" i="2" s="1"/>
  <c r="L1249" i="2"/>
  <c r="AH1249" i="2" s="1"/>
  <c r="L1263" i="2"/>
  <c r="AH1263" i="2" s="1"/>
  <c r="L1244" i="2"/>
  <c r="AH1244" i="2" s="1"/>
  <c r="L1239" i="2"/>
  <c r="AH1239" i="2" s="1"/>
  <c r="L1301" i="2"/>
  <c r="AH1301" i="2" s="1"/>
  <c r="L1255" i="2"/>
  <c r="AH1255" i="2" s="1"/>
  <c r="L1235" i="2"/>
  <c r="AH1235" i="2" s="1"/>
  <c r="E670" i="13" l="1"/>
  <c r="M67" i="2" l="1"/>
  <c r="AD67" i="2" s="1"/>
  <c r="E67" i="2"/>
  <c r="M64" i="2"/>
  <c r="AD64" i="2" s="1"/>
  <c r="E64" i="2"/>
  <c r="M62" i="2"/>
  <c r="AD62" i="2" s="1"/>
  <c r="E62" i="2"/>
  <c r="M60" i="2"/>
  <c r="AD60" i="2" s="1"/>
  <c r="E60" i="2"/>
  <c r="M55" i="2" l="1"/>
  <c r="AD55" i="2" s="1"/>
  <c r="E55" i="2"/>
  <c r="M52" i="2"/>
  <c r="AD52" i="2" s="1"/>
  <c r="E52" i="2"/>
  <c r="M50" i="2"/>
  <c r="AD50" i="2" s="1"/>
  <c r="E50" i="2"/>
  <c r="E29" i="2"/>
  <c r="E25" i="2"/>
  <c r="E22" i="2"/>
  <c r="E19" i="2"/>
  <c r="E1310" i="2" l="1"/>
  <c r="E1305" i="2"/>
  <c r="N1315" i="2"/>
  <c r="AE1315" i="2" s="1"/>
  <c r="N1319" i="2"/>
  <c r="AE1319" i="2" s="1"/>
  <c r="N1318" i="2"/>
  <c r="AE1318" i="2" s="1"/>
  <c r="N1317" i="2"/>
  <c r="AE1317" i="2" s="1"/>
  <c r="N1316" i="2"/>
  <c r="AE1316" i="2" s="1"/>
  <c r="N1314" i="2"/>
  <c r="AE1314" i="2" s="1"/>
  <c r="N1313" i="2"/>
  <c r="AE1313" i="2" s="1"/>
  <c r="N1312" i="2"/>
  <c r="AE1312" i="2" s="1"/>
  <c r="N1311" i="2"/>
  <c r="AE1311" i="2" s="1"/>
  <c r="N1309" i="2"/>
  <c r="AE1309" i="2" s="1"/>
  <c r="N1308" i="2"/>
  <c r="AE1308" i="2" s="1"/>
  <c r="N1307" i="2"/>
  <c r="AE1307" i="2" s="1"/>
  <c r="N1306" i="2"/>
  <c r="AE1306" i="2" s="1"/>
  <c r="N1304" i="2"/>
  <c r="AE1304" i="2" s="1"/>
  <c r="N1303" i="2"/>
  <c r="AE1303" i="2" s="1"/>
  <c r="N1302" i="2"/>
  <c r="AE1302" i="2" s="1"/>
  <c r="E1301" i="2"/>
  <c r="M1320" i="2"/>
  <c r="M1319" i="2"/>
  <c r="M1318" i="2"/>
  <c r="M1317" i="2"/>
  <c r="M1316" i="2"/>
  <c r="M1315" i="2"/>
  <c r="M1314" i="2"/>
  <c r="M1313" i="2"/>
  <c r="M1312" i="2"/>
  <c r="M1311" i="2"/>
  <c r="M1309" i="2"/>
  <c r="M1308" i="2"/>
  <c r="M1307" i="2"/>
  <c r="M1306" i="2"/>
  <c r="M1304" i="2"/>
  <c r="M1303" i="2"/>
  <c r="M1302" i="2"/>
  <c r="E1263" i="2"/>
  <c r="E1255" i="2"/>
  <c r="N1299" i="2"/>
  <c r="AE1299" i="2" s="1"/>
  <c r="M1300" i="2"/>
  <c r="M1299" i="2"/>
  <c r="N1265" i="2"/>
  <c r="AE1265" i="2" s="1"/>
  <c r="N1264" i="2"/>
  <c r="AE1264" i="2" s="1"/>
  <c r="N1262" i="2"/>
  <c r="AE1262" i="2" s="1"/>
  <c r="N1256" i="2"/>
  <c r="AE1256" i="2" s="1"/>
  <c r="M1265" i="2"/>
  <c r="M1264" i="2"/>
  <c r="M1262" i="2"/>
  <c r="M1256" i="2"/>
  <c r="M1254" i="2"/>
  <c r="N1253" i="2"/>
  <c r="AE1253" i="2" s="1"/>
  <c r="M1253" i="2"/>
  <c r="N1252" i="2"/>
  <c r="AE1252" i="2" s="1"/>
  <c r="M1252" i="2"/>
  <c r="N1251" i="2"/>
  <c r="AE1251" i="2" s="1"/>
  <c r="M1251" i="2"/>
  <c r="N1250" i="2"/>
  <c r="AE1250" i="2" s="1"/>
  <c r="M1250" i="2"/>
  <c r="N1249" i="2"/>
  <c r="AE1249" i="2" s="1"/>
  <c r="M1249" i="2"/>
  <c r="N1248" i="2"/>
  <c r="AE1248" i="2" s="1"/>
  <c r="N1247" i="2"/>
  <c r="AE1247" i="2" s="1"/>
  <c r="N1246" i="2"/>
  <c r="AE1246" i="2" s="1"/>
  <c r="N1245" i="2"/>
  <c r="AE1245" i="2" s="1"/>
  <c r="M1248" i="2"/>
  <c r="M1247" i="2"/>
  <c r="M1246" i="2"/>
  <c r="M1245" i="2"/>
  <c r="E1244" i="2"/>
  <c r="N1243" i="2"/>
  <c r="AE1243" i="2" s="1"/>
  <c r="N1242" i="2"/>
  <c r="AE1242" i="2" s="1"/>
  <c r="N1241" i="2"/>
  <c r="AE1241" i="2" s="1"/>
  <c r="N1240" i="2"/>
  <c r="AE1240" i="2" s="1"/>
  <c r="M1243" i="2"/>
  <c r="M1242" i="2"/>
  <c r="M1241" i="2"/>
  <c r="M1240" i="2"/>
  <c r="E1239" i="2"/>
  <c r="N1238" i="2"/>
  <c r="AE1238" i="2" s="1"/>
  <c r="N1237" i="2"/>
  <c r="AE1237" i="2" s="1"/>
  <c r="N1236" i="2"/>
  <c r="AE1236" i="2" s="1"/>
  <c r="E1235" i="2"/>
  <c r="M1238" i="2"/>
  <c r="M1237" i="2"/>
  <c r="M1236" i="2"/>
  <c r="E1302" i="2"/>
  <c r="E1303" i="2"/>
  <c r="E1304" i="2"/>
  <c r="E1306" i="2"/>
  <c r="E1307" i="2"/>
  <c r="E1308" i="2"/>
  <c r="E1309" i="2"/>
  <c r="E1311" i="2"/>
  <c r="E1312" i="2"/>
  <c r="E1313" i="2"/>
  <c r="E1314" i="2"/>
  <c r="E1315" i="2"/>
  <c r="E1316" i="2"/>
  <c r="E1317" i="2"/>
  <c r="E1318" i="2"/>
  <c r="E1319" i="2"/>
  <c r="E1320" i="2"/>
  <c r="E1261" i="2"/>
  <c r="E1262" i="2"/>
  <c r="E1264" i="2"/>
  <c r="E1265" i="2"/>
  <c r="E1299" i="2"/>
  <c r="E1300" i="2"/>
  <c r="E1250" i="2"/>
  <c r="E1237" i="2"/>
  <c r="E1238" i="2"/>
  <c r="E1240" i="2"/>
  <c r="E1241" i="2"/>
  <c r="E1242" i="2"/>
  <c r="E1243" i="2"/>
  <c r="E1245" i="2"/>
  <c r="E1246" i="2"/>
  <c r="E1247" i="2"/>
  <c r="E1248" i="2"/>
  <c r="E1249" i="2"/>
  <c r="E1251" i="2"/>
  <c r="E1252" i="2"/>
  <c r="E1253" i="2"/>
  <c r="E1254" i="2"/>
  <c r="E1256" i="2"/>
  <c r="E1236" i="2"/>
  <c r="M1278" i="2" l="1"/>
  <c r="M1283" i="2"/>
  <c r="M1286" i="2"/>
  <c r="M1284" i="2"/>
  <c r="M1279" i="2"/>
  <c r="M1285" i="2"/>
  <c r="M1287" i="2"/>
  <c r="M1280" i="2"/>
  <c r="M1277" i="2"/>
  <c r="M1281" i="2"/>
  <c r="M1282" i="2"/>
  <c r="M1255" i="2"/>
  <c r="N1235" i="2"/>
  <c r="AE1235" i="2" s="1"/>
  <c r="N1239" i="2"/>
  <c r="AE1239" i="2" s="1"/>
  <c r="M1305" i="2"/>
  <c r="M1235" i="2"/>
  <c r="N1263" i="2"/>
  <c r="AE1263" i="2" s="1"/>
  <c r="M1244" i="2"/>
  <c r="N1310" i="2"/>
  <c r="AE1310" i="2" s="1"/>
  <c r="M1301" i="2"/>
  <c r="M1239" i="2"/>
  <c r="N1244" i="2"/>
  <c r="AE1244" i="2" s="1"/>
  <c r="N1255" i="2"/>
  <c r="AE1255" i="2" s="1"/>
  <c r="N1301" i="2"/>
  <c r="AE1301" i="2" s="1"/>
  <c r="N1305" i="2"/>
  <c r="AE1305" i="2" s="1"/>
  <c r="M1310" i="2"/>
  <c r="M1263" i="2" l="1"/>
  <c r="J670" i="13"/>
  <c r="E675" i="13"/>
  <c r="E674" i="13"/>
  <c r="E673" i="13"/>
  <c r="E672" i="13"/>
  <c r="E671" i="13"/>
  <c r="J654" i="13" l="1"/>
  <c r="J649" i="13"/>
  <c r="J647" i="13"/>
  <c r="L1085" i="2"/>
  <c r="AH1085" i="2" s="1"/>
  <c r="L1084" i="2"/>
  <c r="AH1084" i="2" s="1"/>
  <c r="L1083" i="2"/>
  <c r="AH1083" i="2" s="1"/>
  <c r="L1082" i="2"/>
  <c r="AH1082" i="2" s="1"/>
  <c r="L1081" i="2"/>
  <c r="AH1081" i="2" s="1"/>
  <c r="L1080" i="2"/>
  <c r="AH1080" i="2" s="1"/>
  <c r="L1079" i="2"/>
  <c r="AH1079" i="2" s="1"/>
  <c r="L1078" i="2"/>
  <c r="AH1078" i="2" s="1"/>
  <c r="L1077" i="2"/>
  <c r="AH1077" i="2" s="1"/>
  <c r="L1076" i="2"/>
  <c r="AH1076" i="2" s="1"/>
  <c r="L1074" i="2"/>
  <c r="L1073" i="2"/>
  <c r="L1072" i="2"/>
  <c r="L1071" i="2"/>
  <c r="L1070" i="2"/>
  <c r="L1069" i="2"/>
  <c r="L1068" i="2"/>
  <c r="L1067" i="2"/>
  <c r="L1066" i="2"/>
  <c r="L1065" i="2"/>
  <c r="L885" i="2"/>
  <c r="L882" i="2"/>
  <c r="L881" i="2"/>
  <c r="L880" i="2"/>
  <c r="L879" i="2"/>
  <c r="L878" i="2"/>
  <c r="L877" i="2"/>
  <c r="L869" i="2"/>
  <c r="AH869" i="2" s="1"/>
  <c r="AH868" i="2"/>
  <c r="L867" i="2"/>
  <c r="L866" i="2"/>
  <c r="L865" i="2"/>
  <c r="L698" i="2"/>
  <c r="AH698" i="2" s="1"/>
  <c r="L697" i="2"/>
  <c r="AH697" i="2" s="1"/>
  <c r="L696" i="2"/>
  <c r="AH696" i="2" s="1"/>
  <c r="L695" i="2"/>
  <c r="AH695" i="2" s="1"/>
  <c r="L694" i="2"/>
  <c r="AH694" i="2" s="1"/>
  <c r="L693" i="2"/>
  <c r="AH693" i="2" s="1"/>
  <c r="L692" i="2"/>
  <c r="AH692" i="2" s="1"/>
  <c r="L691" i="2"/>
  <c r="AH691" i="2" s="1"/>
  <c r="L690" i="2"/>
  <c r="AH690" i="2" s="1"/>
  <c r="L689" i="2"/>
  <c r="AH689" i="2" s="1"/>
  <c r="L688" i="2"/>
  <c r="AH688" i="2" s="1"/>
  <c r="L687" i="2"/>
  <c r="L686" i="2"/>
  <c r="L684" i="2"/>
  <c r="L683" i="2"/>
  <c r="L682" i="2"/>
  <c r="L681" i="2"/>
  <c r="L680" i="2"/>
  <c r="L674" i="2"/>
  <c r="AH674" i="2" s="1"/>
  <c r="L673" i="2"/>
  <c r="AH673" i="2" s="1"/>
  <c r="L672" i="2"/>
  <c r="AH672" i="2" s="1"/>
  <c r="L671" i="2"/>
  <c r="AH671" i="2" s="1"/>
  <c r="L670" i="2"/>
  <c r="AH670" i="2" s="1"/>
  <c r="L669" i="2"/>
  <c r="AH669" i="2" s="1"/>
  <c r="L667" i="2"/>
  <c r="AH667" i="2" s="1"/>
  <c r="L666" i="2"/>
  <c r="AH666" i="2" s="1"/>
  <c r="L665" i="2"/>
  <c r="AH665" i="2" s="1"/>
  <c r="L664" i="2"/>
  <c r="AH664" i="2" s="1"/>
  <c r="L663" i="2"/>
  <c r="AH663" i="2" s="1"/>
  <c r="L662" i="2"/>
  <c r="AH662" i="2" s="1"/>
  <c r="L661" i="2"/>
  <c r="AH661" i="2" s="1"/>
  <c r="L660" i="2"/>
  <c r="AH660" i="2" s="1"/>
  <c r="L659" i="2"/>
  <c r="AH659" i="2" s="1"/>
  <c r="L653" i="2"/>
  <c r="L652" i="2"/>
  <c r="L651" i="2"/>
  <c r="L650" i="2"/>
  <c r="L649" i="2"/>
  <c r="L648" i="2"/>
  <c r="L646" i="2"/>
  <c r="L645" i="2"/>
  <c r="L644" i="2"/>
  <c r="L643" i="2"/>
  <c r="L642" i="2"/>
  <c r="L641" i="2"/>
  <c r="L640" i="2"/>
  <c r="L639" i="2"/>
  <c r="L638" i="2"/>
  <c r="L633" i="2"/>
  <c r="AH633" i="2" s="1"/>
  <c r="L632" i="2"/>
  <c r="AH632" i="2" s="1"/>
  <c r="L631" i="2"/>
  <c r="AH631" i="2" s="1"/>
  <c r="L630" i="2"/>
  <c r="AH630" i="2" s="1"/>
  <c r="AH557" i="2"/>
  <c r="AH556" i="2"/>
  <c r="AH555" i="2"/>
  <c r="AH554" i="2"/>
  <c r="AH535" i="2"/>
  <c r="AH534" i="2"/>
  <c r="AH533" i="2"/>
  <c r="AH532" i="2"/>
  <c r="AH531" i="2"/>
  <c r="AH530" i="2"/>
  <c r="AH529" i="2"/>
  <c r="AH528" i="2"/>
  <c r="AH527" i="2"/>
  <c r="AH526" i="2"/>
  <c r="AH525" i="2"/>
  <c r="AH524" i="2"/>
  <c r="AH511" i="2"/>
  <c r="AH510" i="2"/>
  <c r="AH509" i="2"/>
  <c r="AH508" i="2"/>
  <c r="AH507" i="2"/>
  <c r="AH506" i="2"/>
  <c r="AH505" i="2"/>
  <c r="AH504" i="2"/>
  <c r="AH503" i="2"/>
  <c r="AH502" i="2"/>
  <c r="AH501" i="2"/>
  <c r="AH500" i="2"/>
  <c r="AH491" i="2"/>
  <c r="AH490" i="2"/>
  <c r="AH489" i="2"/>
  <c r="AH488" i="2"/>
  <c r="AH487" i="2"/>
  <c r="AH486" i="2"/>
  <c r="AH485" i="2"/>
  <c r="AH484" i="2"/>
  <c r="AH475" i="2"/>
  <c r="AH474" i="2"/>
  <c r="AH473" i="2"/>
  <c r="AH472" i="2"/>
  <c r="AH471" i="2"/>
  <c r="AH470" i="2"/>
  <c r="AH467" i="2"/>
  <c r="AH466" i="2"/>
  <c r="AH465" i="2"/>
  <c r="AH464" i="2"/>
  <c r="AH463" i="2"/>
  <c r="AH462" i="2"/>
  <c r="AH461" i="2"/>
  <c r="AH460" i="2"/>
  <c r="L451" i="2"/>
  <c r="AH451" i="2" s="1"/>
  <c r="L450" i="2"/>
  <c r="AH450" i="2" s="1"/>
  <c r="L449" i="2"/>
  <c r="AH449" i="2" s="1"/>
  <c r="L448" i="2"/>
  <c r="AH448" i="2" s="1"/>
  <c r="L447" i="2"/>
  <c r="AH447" i="2" s="1"/>
  <c r="L446" i="2"/>
  <c r="AH446" i="2" s="1"/>
  <c r="L445" i="2"/>
  <c r="AH445" i="2" s="1"/>
  <c r="L444" i="2"/>
  <c r="AH444" i="2" s="1"/>
  <c r="L443" i="2"/>
  <c r="AH443" i="2" s="1"/>
  <c r="L442" i="2"/>
  <c r="L441" i="2"/>
  <c r="AH441" i="2" s="1"/>
  <c r="L440" i="2"/>
  <c r="L439" i="2"/>
  <c r="AH439" i="2" s="1"/>
  <c r="L438" i="2"/>
  <c r="L437" i="2"/>
  <c r="AH437" i="2" s="1"/>
  <c r="L436" i="2"/>
  <c r="L435" i="2"/>
  <c r="AH435" i="2" s="1"/>
  <c r="L434" i="2"/>
  <c r="L433" i="2"/>
  <c r="AH433" i="2" s="1"/>
  <c r="L432" i="2"/>
  <c r="L431" i="2"/>
  <c r="AH431" i="2" s="1"/>
  <c r="L430" i="2"/>
  <c r="L427" i="2"/>
  <c r="AH427" i="2" s="1"/>
  <c r="L426" i="2"/>
  <c r="L425" i="2"/>
  <c r="AH425" i="2" s="1"/>
  <c r="L424" i="2"/>
  <c r="L423" i="2"/>
  <c r="AH423" i="2" s="1"/>
  <c r="L422" i="2"/>
  <c r="L421" i="2"/>
  <c r="AH421" i="2" s="1"/>
  <c r="L420" i="2"/>
  <c r="L419" i="2"/>
  <c r="AH419" i="2" s="1"/>
  <c r="L418" i="2"/>
  <c r="L417" i="2"/>
  <c r="AH417" i="2" s="1"/>
  <c r="L416" i="2"/>
  <c r="L413" i="2"/>
  <c r="AH413" i="2" s="1"/>
  <c r="L412" i="2"/>
  <c r="L411" i="2"/>
  <c r="AH411" i="2" s="1"/>
  <c r="L410" i="2"/>
  <c r="L409" i="2"/>
  <c r="AH409" i="2" s="1"/>
  <c r="L408" i="2"/>
  <c r="L407" i="2"/>
  <c r="AH407" i="2" s="1"/>
  <c r="L406" i="2"/>
  <c r="L403" i="2"/>
  <c r="AH403" i="2" s="1"/>
  <c r="L402" i="2"/>
  <c r="L401" i="2"/>
  <c r="AH401" i="2" s="1"/>
  <c r="L400" i="2"/>
  <c r="L399" i="2"/>
  <c r="AH399" i="2" s="1"/>
  <c r="L398" i="2"/>
  <c r="L382" i="2"/>
  <c r="AH382" i="2" s="1"/>
  <c r="L381" i="2"/>
  <c r="AH381" i="2" s="1"/>
  <c r="L380" i="2"/>
  <c r="AH380" i="2" s="1"/>
  <c r="L379" i="2"/>
  <c r="AH379" i="2" s="1"/>
  <c r="L378" i="2"/>
  <c r="AH378" i="2" s="1"/>
  <c r="L377" i="2"/>
  <c r="AH377" i="2" s="1"/>
  <c r="L373" i="2"/>
  <c r="AH373" i="2" s="1"/>
  <c r="L362" i="2"/>
  <c r="AH362" i="2" s="1"/>
  <c r="L361" i="2"/>
  <c r="AH361" i="2" s="1"/>
  <c r="L359" i="2"/>
  <c r="AH359" i="2" s="1"/>
  <c r="L357" i="2"/>
  <c r="AH357" i="2" s="1"/>
  <c r="L354" i="2"/>
  <c r="AH354" i="2" s="1"/>
  <c r="L353" i="2"/>
  <c r="AH353" i="2" s="1"/>
  <c r="L352" i="2"/>
  <c r="AH352" i="2" s="1"/>
  <c r="L351" i="2"/>
  <c r="AH351" i="2" s="1"/>
  <c r="L340" i="2"/>
  <c r="L339" i="2"/>
  <c r="L338" i="2"/>
  <c r="L337" i="2"/>
  <c r="L336" i="2"/>
  <c r="L335" i="2"/>
  <c r="L334" i="2"/>
  <c r="L333" i="2"/>
  <c r="L332" i="2"/>
  <c r="L321" i="2"/>
  <c r="L320" i="2"/>
  <c r="L319" i="2"/>
  <c r="L318" i="2"/>
  <c r="L317" i="2"/>
  <c r="L316" i="2"/>
  <c r="L315" i="2"/>
  <c r="L314" i="2"/>
  <c r="L313" i="2"/>
  <c r="L266" i="2"/>
  <c r="AH266" i="2" s="1"/>
  <c r="L265" i="2"/>
  <c r="AH265" i="2" s="1"/>
  <c r="L114" i="2"/>
  <c r="AH114" i="2" s="1"/>
  <c r="L113" i="2"/>
  <c r="AH113" i="2" s="1"/>
  <c r="L112" i="2"/>
  <c r="AH112" i="2" s="1"/>
  <c r="L110" i="2"/>
  <c r="AH110" i="2" s="1"/>
  <c r="L109" i="2"/>
  <c r="AH109" i="2" s="1"/>
  <c r="L108" i="2"/>
  <c r="AH108" i="2" s="1"/>
  <c r="L107" i="2"/>
  <c r="AH107" i="2" s="1"/>
  <c r="L106" i="2"/>
  <c r="AH106" i="2" s="1"/>
  <c r="L105" i="2"/>
  <c r="AH105" i="2" s="1"/>
  <c r="L104" i="2"/>
  <c r="AH104" i="2" s="1"/>
  <c r="L103" i="2"/>
  <c r="AH103" i="2" s="1"/>
  <c r="L102" i="2"/>
  <c r="AH102" i="2" s="1"/>
  <c r="L101" i="2"/>
  <c r="AH101" i="2" s="1"/>
  <c r="L100" i="2"/>
  <c r="AH100" i="2" s="1"/>
  <c r="L99" i="2"/>
  <c r="AH99" i="2" s="1"/>
  <c r="L98" i="2"/>
  <c r="AH98" i="2" s="1"/>
  <c r="L97" i="2"/>
  <c r="AH97" i="2" s="1"/>
  <c r="L96" i="2"/>
  <c r="AH96" i="2" s="1"/>
  <c r="L95" i="2"/>
  <c r="AH95" i="2" s="1"/>
  <c r="L94" i="2"/>
  <c r="AH94" i="2" s="1"/>
  <c r="L93" i="2"/>
  <c r="AH93" i="2" s="1"/>
  <c r="L92" i="2"/>
  <c r="AH92" i="2" s="1"/>
  <c r="L91" i="2"/>
  <c r="AH91" i="2" s="1"/>
  <c r="L90" i="2"/>
  <c r="AH90" i="2" s="1"/>
  <c r="L89" i="2"/>
  <c r="AH89" i="2" s="1"/>
  <c r="L88" i="2"/>
  <c r="AH88" i="2" s="1"/>
  <c r="L87" i="2"/>
  <c r="AH87" i="2" s="1"/>
  <c r="L86" i="2"/>
  <c r="AH86" i="2" s="1"/>
  <c r="L85" i="2"/>
  <c r="AH85" i="2" s="1"/>
  <c r="L84" i="2"/>
  <c r="AH84" i="2" s="1"/>
  <c r="L83" i="2"/>
  <c r="AH83" i="2" s="1"/>
  <c r="L82" i="2"/>
  <c r="AH82" i="2" s="1"/>
  <c r="L81" i="2"/>
  <c r="AH81" i="2" s="1"/>
  <c r="L80" i="2"/>
  <c r="AH80" i="2" s="1"/>
  <c r="L79" i="2"/>
  <c r="AH79" i="2" s="1"/>
  <c r="L78" i="2"/>
  <c r="AH78" i="2" s="1"/>
  <c r="L77" i="2"/>
  <c r="AH77" i="2" s="1"/>
  <c r="L141" i="2"/>
  <c r="AH141" i="2" s="1"/>
  <c r="L140" i="2"/>
  <c r="AH140" i="2" s="1"/>
  <c r="L139" i="2"/>
  <c r="AH139" i="2" s="1"/>
  <c r="L138" i="2"/>
  <c r="AH138" i="2" s="1"/>
  <c r="L137" i="2"/>
  <c r="AH137" i="2" s="1"/>
  <c r="L136" i="2"/>
  <c r="AH136" i="2" s="1"/>
  <c r="L135" i="2"/>
  <c r="AH135" i="2" s="1"/>
  <c r="L134" i="2"/>
  <c r="AH134" i="2" s="1"/>
  <c r="L133" i="2"/>
  <c r="AH133" i="2" s="1"/>
  <c r="L132" i="2"/>
  <c r="AH132" i="2" s="1"/>
  <c r="L131" i="2"/>
  <c r="AH131" i="2" s="1"/>
  <c r="L129" i="2"/>
  <c r="AH129" i="2" s="1"/>
  <c r="L128" i="2"/>
  <c r="AH128" i="2" s="1"/>
  <c r="L127" i="2"/>
  <c r="AH127" i="2" s="1"/>
  <c r="L126" i="2"/>
  <c r="AH126" i="2" s="1"/>
  <c r="L125" i="2"/>
  <c r="AH125" i="2" s="1"/>
  <c r="L124" i="2"/>
  <c r="AH124" i="2" s="1"/>
  <c r="L123" i="2"/>
  <c r="AH123" i="2" s="1"/>
  <c r="L122" i="2"/>
  <c r="AH122" i="2" s="1"/>
  <c r="L121" i="2"/>
  <c r="AH121" i="2" s="1"/>
  <c r="L120" i="2"/>
  <c r="AH120" i="2" s="1"/>
  <c r="L119" i="2"/>
  <c r="AH119" i="2" s="1"/>
  <c r="L118" i="2"/>
  <c r="AH118" i="2" s="1"/>
  <c r="L117" i="2"/>
  <c r="AH117" i="2" s="1"/>
  <c r="L116" i="2"/>
  <c r="AH116" i="2" s="1"/>
  <c r="L115" i="2"/>
  <c r="AH115" i="2" s="1"/>
  <c r="AH146" i="2"/>
  <c r="L225" i="2"/>
  <c r="AH225" i="2" s="1"/>
  <c r="L253" i="2"/>
  <c r="AH253" i="2" s="1"/>
  <c r="L252" i="2"/>
  <c r="AH252" i="2" s="1"/>
  <c r="L251" i="2"/>
  <c r="AH251" i="2" s="1"/>
  <c r="L250" i="2"/>
  <c r="AH250" i="2" s="1"/>
  <c r="L240" i="2"/>
  <c r="AH240" i="2" s="1"/>
  <c r="L239" i="2"/>
  <c r="AH239" i="2" s="1"/>
  <c r="L238" i="2"/>
  <c r="AH238" i="2" s="1"/>
  <c r="L237" i="2"/>
  <c r="AH237" i="2" s="1"/>
  <c r="L236" i="2"/>
  <c r="AH236" i="2" s="1"/>
  <c r="L235" i="2"/>
  <c r="AH235" i="2" s="1"/>
  <c r="L234" i="2"/>
  <c r="AH234" i="2" s="1"/>
  <c r="L233" i="2"/>
  <c r="AH233" i="2" s="1"/>
  <c r="L232" i="2"/>
  <c r="AH232" i="2" s="1"/>
  <c r="L231" i="2"/>
  <c r="AH231" i="2" s="1"/>
  <c r="L230" i="2"/>
  <c r="AH230" i="2" s="1"/>
  <c r="L229" i="2"/>
  <c r="AH229" i="2" s="1"/>
  <c r="L228" i="2"/>
  <c r="AH228" i="2" s="1"/>
  <c r="L227" i="2"/>
  <c r="AH227" i="2" s="1"/>
  <c r="L226" i="2"/>
  <c r="AH226" i="2" s="1"/>
  <c r="L220" i="2"/>
  <c r="AH220" i="2" s="1"/>
  <c r="L219" i="2"/>
  <c r="AH219" i="2" s="1"/>
  <c r="L218" i="2"/>
  <c r="AH218" i="2" s="1"/>
  <c r="L217" i="2"/>
  <c r="AH217" i="2" s="1"/>
  <c r="L216" i="2"/>
  <c r="AH216" i="2" s="1"/>
  <c r="L215" i="2"/>
  <c r="AH215" i="2" s="1"/>
  <c r="L214" i="2"/>
  <c r="AH214" i="2" s="1"/>
  <c r="L213" i="2"/>
  <c r="AH213" i="2" s="1"/>
  <c r="L212" i="2"/>
  <c r="AH212" i="2" s="1"/>
  <c r="L211" i="2"/>
  <c r="AH211" i="2" s="1"/>
  <c r="L210" i="2"/>
  <c r="AH210" i="2" s="1"/>
  <c r="L209" i="2"/>
  <c r="AH209" i="2" s="1"/>
  <c r="L208" i="2"/>
  <c r="AH208" i="2" s="1"/>
  <c r="L207" i="2"/>
  <c r="AH207" i="2" s="1"/>
  <c r="L206" i="2"/>
  <c r="AH206" i="2" s="1"/>
  <c r="L205" i="2"/>
  <c r="AH205" i="2" s="1"/>
  <c r="L204" i="2"/>
  <c r="AH204" i="2" s="1"/>
  <c r="AH318" i="2" l="1"/>
  <c r="AH422" i="2"/>
  <c r="AH1067" i="2"/>
  <c r="AH320" i="2"/>
  <c r="AH340" i="2"/>
  <c r="AH408" i="2"/>
  <c r="AH436" i="2"/>
  <c r="AH640" i="2"/>
  <c r="AH410" i="2"/>
  <c r="AH424" i="2"/>
  <c r="AH321" i="2"/>
  <c r="AH643" i="2"/>
  <c r="AH1070" i="2"/>
  <c r="AH332" i="2"/>
  <c r="AH398" i="2"/>
  <c r="AH412" i="2"/>
  <c r="AH440" i="2"/>
  <c r="AH644" i="2"/>
  <c r="AH878" i="2"/>
  <c r="AH333" i="2"/>
  <c r="AH645" i="2"/>
  <c r="AH681" i="2"/>
  <c r="AH879" i="2"/>
  <c r="AH334" i="2"/>
  <c r="AH416" i="2"/>
  <c r="AH442" i="2"/>
  <c r="AH682" i="2"/>
  <c r="AH880" i="2"/>
  <c r="AH335" i="2"/>
  <c r="AH648" i="2"/>
  <c r="AH683" i="2"/>
  <c r="AH881" i="2"/>
  <c r="AH336" i="2"/>
  <c r="AH418" i="2"/>
  <c r="AH432" i="2"/>
  <c r="AH649" i="2"/>
  <c r="AH684" i="2"/>
  <c r="AH882" i="2"/>
  <c r="AH337" i="2"/>
  <c r="AH650" i="2"/>
  <c r="AH686" i="2"/>
  <c r="AH885" i="2"/>
  <c r="AH316" i="2"/>
  <c r="AH338" i="2"/>
  <c r="AH406" i="2"/>
  <c r="AH420" i="2"/>
  <c r="AH434" i="2"/>
  <c r="AH638" i="2"/>
  <c r="AH651" i="2"/>
  <c r="AH687" i="2"/>
  <c r="AH865" i="2"/>
  <c r="AH1065" i="2"/>
  <c r="AH653" i="2"/>
  <c r="AH867" i="2"/>
  <c r="AH319" i="2"/>
  <c r="AH641" i="2"/>
  <c r="AH1068" i="2"/>
  <c r="AH438" i="2"/>
  <c r="AH642" i="2"/>
  <c r="AH1069" i="2"/>
  <c r="AH877" i="2"/>
  <c r="AH426" i="2"/>
  <c r="AH680" i="2"/>
  <c r="AH1071" i="2"/>
  <c r="AH1072" i="2"/>
  <c r="AH400" i="2"/>
  <c r="AH430" i="2"/>
  <c r="AH646" i="2"/>
  <c r="AH1073" i="2"/>
  <c r="AH313" i="2"/>
  <c r="AH1074" i="2"/>
  <c r="AH314" i="2"/>
  <c r="AH402" i="2"/>
  <c r="AH315" i="2"/>
  <c r="AH317" i="2"/>
  <c r="AH339" i="2"/>
  <c r="AH639" i="2"/>
  <c r="AH652" i="2"/>
  <c r="AH866" i="2"/>
  <c r="AH1066" i="2"/>
  <c r="N43" i="2"/>
  <c r="AE43" i="2" s="1"/>
  <c r="L43" i="2"/>
  <c r="AH43" i="2" s="1"/>
  <c r="K43" i="2"/>
  <c r="AG43" i="2" s="1"/>
  <c r="E44" i="2"/>
  <c r="N58" i="2"/>
  <c r="AE58" i="2" s="1"/>
  <c r="E59" i="2"/>
  <c r="N65" i="2"/>
  <c r="AE65" i="2" s="1"/>
  <c r="L65" i="2"/>
  <c r="K65" i="2"/>
  <c r="AG65" i="2" s="1"/>
  <c r="N53" i="2"/>
  <c r="AE53" i="2" s="1"/>
  <c r="L53" i="2"/>
  <c r="AH53" i="2" s="1"/>
  <c r="K53" i="2"/>
  <c r="N47" i="2"/>
  <c r="AE47" i="2" s="1"/>
  <c r="L47" i="2"/>
  <c r="AH47" i="2" s="1"/>
  <c r="K47" i="2"/>
  <c r="AG47" i="2" s="1"/>
  <c r="K40" i="2"/>
  <c r="AG40" i="2" s="1"/>
  <c r="L40" i="2"/>
  <c r="AH40" i="2" s="1"/>
  <c r="N40" i="2"/>
  <c r="AE40" i="2" s="1"/>
  <c r="E66" i="2"/>
  <c r="E48" i="2"/>
  <c r="E54" i="2"/>
  <c r="E41" i="2"/>
  <c r="AG53" i="2" l="1"/>
  <c r="AH65" i="2"/>
  <c r="K1219" i="2"/>
  <c r="AG1219" i="2" s="1"/>
  <c r="L1219" i="2"/>
  <c r="AH1219" i="2" s="1"/>
  <c r="E1219" i="2"/>
  <c r="L1223" i="2" l="1"/>
  <c r="AH1223" i="2" s="1"/>
  <c r="L1224" i="2"/>
  <c r="AH1224" i="2" s="1"/>
  <c r="L1225" i="2"/>
  <c r="AH1225" i="2" s="1"/>
  <c r="L1226" i="2"/>
  <c r="AH1226" i="2" s="1"/>
  <c r="L1227" i="2"/>
  <c r="AH1227" i="2" s="1"/>
  <c r="L1228" i="2"/>
  <c r="AH1228" i="2" s="1"/>
  <c r="L1229" i="2"/>
  <c r="AH1229" i="2" s="1"/>
  <c r="L1230" i="2"/>
  <c r="AH1230" i="2" s="1"/>
  <c r="L1231" i="2"/>
  <c r="AH1231" i="2" s="1"/>
  <c r="L1232" i="2"/>
  <c r="AH1232" i="2" s="1"/>
  <c r="L1233" i="2"/>
  <c r="AH1233" i="2" s="1"/>
  <c r="L1234" i="2"/>
  <c r="AH1234" i="2" s="1"/>
  <c r="L1222" i="2"/>
  <c r="AH1222" i="2" s="1"/>
  <c r="L1221" i="2"/>
  <c r="AH1221" i="2" s="1"/>
  <c r="L1220" i="2"/>
  <c r="AH1220" i="2" s="1"/>
  <c r="L1218" i="2"/>
  <c r="AH1218" i="2" s="1"/>
  <c r="L1217" i="2"/>
  <c r="AH1217" i="2" s="1"/>
  <c r="L1216" i="2"/>
  <c r="E1217" i="2"/>
  <c r="E1218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16" i="2"/>
  <c r="AH1216" i="2" l="1"/>
  <c r="L384" i="2"/>
  <c r="AH384" i="2" s="1"/>
  <c r="L386" i="2"/>
  <c r="L387" i="2"/>
  <c r="AH387" i="2" s="1"/>
  <c r="L388" i="2"/>
  <c r="L389" i="2"/>
  <c r="AH389" i="2" s="1"/>
  <c r="L390" i="2"/>
  <c r="L391" i="2"/>
  <c r="AH391" i="2" s="1"/>
  <c r="L392" i="2"/>
  <c r="L393" i="2"/>
  <c r="AH393" i="2" s="1"/>
  <c r="L394" i="2"/>
  <c r="L395" i="2"/>
  <c r="AH395" i="2" s="1"/>
  <c r="L396" i="2"/>
  <c r="L397" i="2"/>
  <c r="AH397" i="2" s="1"/>
  <c r="L383" i="2"/>
  <c r="L745" i="2"/>
  <c r="L746" i="2"/>
  <c r="L747" i="2"/>
  <c r="L748" i="2"/>
  <c r="L749" i="2"/>
  <c r="L750" i="2"/>
  <c r="L751" i="2"/>
  <c r="L752" i="2"/>
  <c r="L753" i="2"/>
  <c r="L755" i="2"/>
  <c r="AH755" i="2" s="1"/>
  <c r="L756" i="2"/>
  <c r="AH756" i="2" s="1"/>
  <c r="L757" i="2"/>
  <c r="AH757" i="2" s="1"/>
  <c r="L744" i="2"/>
  <c r="L829" i="2"/>
  <c r="AH829" i="2" s="1"/>
  <c r="L830" i="2"/>
  <c r="AH830" i="2" s="1"/>
  <c r="L831" i="2"/>
  <c r="AH831" i="2" s="1"/>
  <c r="L832" i="2"/>
  <c r="AH832" i="2" s="1"/>
  <c r="L833" i="2"/>
  <c r="AH833" i="2" s="1"/>
  <c r="L834" i="2"/>
  <c r="AH834" i="2" s="1"/>
  <c r="L835" i="2"/>
  <c r="AH835" i="2" s="1"/>
  <c r="L836" i="2"/>
  <c r="AH836" i="2" s="1"/>
  <c r="L837" i="2"/>
  <c r="AH837" i="2" s="1"/>
  <c r="L838" i="2"/>
  <c r="AH838" i="2" s="1"/>
  <c r="L839" i="2"/>
  <c r="AH839" i="2" s="1"/>
  <c r="L840" i="2"/>
  <c r="AH840" i="2" s="1"/>
  <c r="L841" i="2"/>
  <c r="AH841" i="2" s="1"/>
  <c r="L842" i="2"/>
  <c r="AH842" i="2" s="1"/>
  <c r="L843" i="2"/>
  <c r="AH843" i="2" s="1"/>
  <c r="L844" i="2"/>
  <c r="AH844" i="2" s="1"/>
  <c r="L845" i="2"/>
  <c r="AH845" i="2" s="1"/>
  <c r="L846" i="2"/>
  <c r="AH846" i="2" s="1"/>
  <c r="L847" i="2"/>
  <c r="AH847" i="2" s="1"/>
  <c r="L848" i="2"/>
  <c r="AH848" i="2" s="1"/>
  <c r="L849" i="2"/>
  <c r="AH849" i="2" s="1"/>
  <c r="L850" i="2"/>
  <c r="AH850" i="2" s="1"/>
  <c r="L851" i="2"/>
  <c r="AH851" i="2" s="1"/>
  <c r="L852" i="2"/>
  <c r="AH852" i="2" s="1"/>
  <c r="L853" i="2"/>
  <c r="AH853" i="2" s="1"/>
  <c r="L854" i="2"/>
  <c r="AH854" i="2" s="1"/>
  <c r="L855" i="2"/>
  <c r="AH855" i="2" s="1"/>
  <c r="L856" i="2"/>
  <c r="AH856" i="2" s="1"/>
  <c r="L857" i="2"/>
  <c r="AH857" i="2" s="1"/>
  <c r="L858" i="2"/>
  <c r="AH858" i="2" s="1"/>
  <c r="L859" i="2"/>
  <c r="AH859" i="2" s="1"/>
  <c r="L860" i="2"/>
  <c r="AH860" i="2" s="1"/>
  <c r="L861" i="2"/>
  <c r="AH861" i="2" s="1"/>
  <c r="L862" i="2"/>
  <c r="AH862" i="2" s="1"/>
  <c r="L828" i="2"/>
  <c r="AH828" i="2" s="1"/>
  <c r="L793" i="2"/>
  <c r="AH793" i="2" s="1"/>
  <c r="L794" i="2"/>
  <c r="AH794" i="2" s="1"/>
  <c r="L795" i="2"/>
  <c r="AH795" i="2" s="1"/>
  <c r="L796" i="2"/>
  <c r="AH796" i="2" s="1"/>
  <c r="L797" i="2"/>
  <c r="AH797" i="2" s="1"/>
  <c r="L798" i="2"/>
  <c r="AH798" i="2" s="1"/>
  <c r="L799" i="2"/>
  <c r="AH799" i="2" s="1"/>
  <c r="L800" i="2"/>
  <c r="AH800" i="2" s="1"/>
  <c r="L801" i="2"/>
  <c r="AH801" i="2" s="1"/>
  <c r="L802" i="2"/>
  <c r="AH802" i="2" s="1"/>
  <c r="L803" i="2"/>
  <c r="AH803" i="2" s="1"/>
  <c r="L804" i="2"/>
  <c r="AH804" i="2" s="1"/>
  <c r="L805" i="2"/>
  <c r="AH805" i="2" s="1"/>
  <c r="L806" i="2"/>
  <c r="AH806" i="2" s="1"/>
  <c r="L807" i="2"/>
  <c r="AH807" i="2" s="1"/>
  <c r="L808" i="2"/>
  <c r="AH808" i="2" s="1"/>
  <c r="L809" i="2"/>
  <c r="AH809" i="2" s="1"/>
  <c r="L810" i="2"/>
  <c r="AH810" i="2" s="1"/>
  <c r="L811" i="2"/>
  <c r="AH811" i="2" s="1"/>
  <c r="L812" i="2"/>
  <c r="AH812" i="2" s="1"/>
  <c r="L813" i="2"/>
  <c r="AH813" i="2" s="1"/>
  <c r="L814" i="2"/>
  <c r="AH814" i="2" s="1"/>
  <c r="L815" i="2"/>
  <c r="AH815" i="2" s="1"/>
  <c r="L816" i="2"/>
  <c r="AH816" i="2" s="1"/>
  <c r="L817" i="2"/>
  <c r="AH817" i="2" s="1"/>
  <c r="L818" i="2"/>
  <c r="AH818" i="2" s="1"/>
  <c r="L819" i="2"/>
  <c r="AH819" i="2" s="1"/>
  <c r="L820" i="2"/>
  <c r="AH820" i="2" s="1"/>
  <c r="L821" i="2"/>
  <c r="AH821" i="2" s="1"/>
  <c r="L822" i="2"/>
  <c r="AH822" i="2" s="1"/>
  <c r="L823" i="2"/>
  <c r="AH823" i="2" s="1"/>
  <c r="L824" i="2"/>
  <c r="AH824" i="2" s="1"/>
  <c r="L825" i="2"/>
  <c r="AH825" i="2" s="1"/>
  <c r="L826" i="2"/>
  <c r="AH826" i="2" s="1"/>
  <c r="L827" i="2"/>
  <c r="AH827" i="2" s="1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58" i="2"/>
  <c r="K264" i="2"/>
  <c r="K263" i="2"/>
  <c r="K262" i="2"/>
  <c r="K261" i="2"/>
  <c r="K260" i="2"/>
  <c r="K259" i="2"/>
  <c r="K258" i="2"/>
  <c r="K257" i="2"/>
  <c r="K256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K283" i="2"/>
  <c r="AG283" i="2" s="1"/>
  <c r="K282" i="2"/>
  <c r="AG282" i="2" s="1"/>
  <c r="K281" i="2"/>
  <c r="AG281" i="2" s="1"/>
  <c r="K280" i="2"/>
  <c r="AG280" i="2" s="1"/>
  <c r="K279" i="2"/>
  <c r="AG279" i="2" s="1"/>
  <c r="K275" i="2"/>
  <c r="AG275" i="2" s="1"/>
  <c r="K276" i="2"/>
  <c r="AG276" i="2" s="1"/>
  <c r="K277" i="2"/>
  <c r="AG277" i="2" s="1"/>
  <c r="K278" i="2"/>
  <c r="AG278" i="2" s="1"/>
  <c r="E203" i="2"/>
  <c r="E185" i="2"/>
  <c r="E153" i="2"/>
  <c r="E174" i="2"/>
  <c r="K201" i="2"/>
  <c r="K200" i="2"/>
  <c r="K199" i="2"/>
  <c r="K198" i="2"/>
  <c r="K197" i="2"/>
  <c r="K196" i="2"/>
  <c r="K195" i="2"/>
  <c r="K194" i="2"/>
  <c r="K193" i="2"/>
  <c r="K192" i="2"/>
  <c r="K191" i="2"/>
  <c r="K172" i="2"/>
  <c r="AG172" i="2" s="1"/>
  <c r="K171" i="2"/>
  <c r="AG171" i="2" s="1"/>
  <c r="K170" i="2"/>
  <c r="AG170" i="2" s="1"/>
  <c r="K169" i="2"/>
  <c r="AG169" i="2" s="1"/>
  <c r="K167" i="2"/>
  <c r="AG167" i="2" s="1"/>
  <c r="K166" i="2"/>
  <c r="AG166" i="2" s="1"/>
  <c r="K165" i="2"/>
  <c r="AG165" i="2" s="1"/>
  <c r="K164" i="2"/>
  <c r="AG164" i="2" s="1"/>
  <c r="K163" i="2"/>
  <c r="AG163" i="2" s="1"/>
  <c r="K162" i="2"/>
  <c r="AG162" i="2" s="1"/>
  <c r="K161" i="2"/>
  <c r="AG161" i="2" s="1"/>
  <c r="K183" i="2"/>
  <c r="K182" i="2"/>
  <c r="K181" i="2"/>
  <c r="K180" i="2"/>
  <c r="K179" i="2"/>
  <c r="K151" i="2"/>
  <c r="AG151" i="2" s="1"/>
  <c r="K150" i="2"/>
  <c r="AG150" i="2" s="1"/>
  <c r="K149" i="2"/>
  <c r="AG149" i="2" s="1"/>
  <c r="K148" i="2"/>
  <c r="AG148" i="2" s="1"/>
  <c r="K147" i="2"/>
  <c r="AG147" i="2" s="1"/>
  <c r="AG146" i="2"/>
  <c r="AG144" i="2"/>
  <c r="AH786" i="2" l="1"/>
  <c r="AH762" i="2"/>
  <c r="AH747" i="2"/>
  <c r="AH785" i="2"/>
  <c r="AH773" i="2"/>
  <c r="AH761" i="2"/>
  <c r="AH746" i="2"/>
  <c r="AH388" i="2"/>
  <c r="AH784" i="2"/>
  <c r="AH772" i="2"/>
  <c r="AH760" i="2"/>
  <c r="AH744" i="2"/>
  <c r="AH745" i="2"/>
  <c r="AH782" i="2"/>
  <c r="AH792" i="2"/>
  <c r="AH780" i="2"/>
  <c r="AH768" i="2"/>
  <c r="AH753" i="2"/>
  <c r="AH778" i="2"/>
  <c r="AH766" i="2"/>
  <c r="AH751" i="2"/>
  <c r="AH789" i="2"/>
  <c r="AH777" i="2"/>
  <c r="AH765" i="2"/>
  <c r="AH750" i="2"/>
  <c r="AH392" i="2"/>
  <c r="AH774" i="2"/>
  <c r="AH783" i="2"/>
  <c r="AH771" i="2"/>
  <c r="AH759" i="2"/>
  <c r="AH383" i="2"/>
  <c r="AH386" i="2"/>
  <c r="AH770" i="2"/>
  <c r="AH781" i="2"/>
  <c r="AH396" i="2"/>
  <c r="AH791" i="2"/>
  <c r="AH779" i="2"/>
  <c r="AH767" i="2"/>
  <c r="AH752" i="2"/>
  <c r="AH394" i="2"/>
  <c r="AH788" i="2"/>
  <c r="AH776" i="2"/>
  <c r="AH764" i="2"/>
  <c r="AH749" i="2"/>
  <c r="AH758" i="2"/>
  <c r="AH769" i="2"/>
  <c r="AH790" i="2"/>
  <c r="AH787" i="2"/>
  <c r="AH775" i="2"/>
  <c r="AH763" i="2"/>
  <c r="AH748" i="2"/>
  <c r="AH390" i="2"/>
  <c r="AH178" i="2"/>
  <c r="AG178" i="2"/>
  <c r="L196" i="2"/>
  <c r="AH196" i="2" s="1"/>
  <c r="AG196" i="2"/>
  <c r="L179" i="2"/>
  <c r="AH179" i="2" s="1"/>
  <c r="AG179" i="2"/>
  <c r="L197" i="2"/>
  <c r="AH197" i="2" s="1"/>
  <c r="AG197" i="2"/>
  <c r="L259" i="2"/>
  <c r="AH259" i="2" s="1"/>
  <c r="AG259" i="2"/>
  <c r="L264" i="2"/>
  <c r="AH264" i="2" s="1"/>
  <c r="AG264" i="2"/>
  <c r="L258" i="2"/>
  <c r="AH258" i="2" s="1"/>
  <c r="AG258" i="2"/>
  <c r="L180" i="2"/>
  <c r="AH180" i="2" s="1"/>
  <c r="AG180" i="2"/>
  <c r="L198" i="2"/>
  <c r="AH198" i="2" s="1"/>
  <c r="AG198" i="2"/>
  <c r="L260" i="2"/>
  <c r="AH260" i="2" s="1"/>
  <c r="AG260" i="2"/>
  <c r="AH187" i="2"/>
  <c r="AG187" i="2"/>
  <c r="L194" i="2"/>
  <c r="AH194" i="2" s="1"/>
  <c r="AG194" i="2"/>
  <c r="L256" i="2"/>
  <c r="AH256" i="2" s="1"/>
  <c r="AG256" i="2"/>
  <c r="AH176" i="2"/>
  <c r="AG176" i="2"/>
  <c r="L195" i="2"/>
  <c r="AH195" i="2" s="1"/>
  <c r="AG195" i="2"/>
  <c r="L257" i="2"/>
  <c r="AH257" i="2" s="1"/>
  <c r="AG257" i="2"/>
  <c r="L181" i="2"/>
  <c r="AH181" i="2" s="1"/>
  <c r="AG181" i="2"/>
  <c r="L191" i="2"/>
  <c r="AH191" i="2" s="1"/>
  <c r="AG191" i="2"/>
  <c r="L199" i="2"/>
  <c r="AH199" i="2" s="1"/>
  <c r="AG199" i="2"/>
  <c r="L261" i="2"/>
  <c r="AH261" i="2" s="1"/>
  <c r="AG261" i="2"/>
  <c r="AH189" i="2"/>
  <c r="AG189" i="2"/>
  <c r="L182" i="2"/>
  <c r="AH182" i="2" s="1"/>
  <c r="AG182" i="2"/>
  <c r="L192" i="2"/>
  <c r="AH192" i="2" s="1"/>
  <c r="AG192" i="2"/>
  <c r="L200" i="2"/>
  <c r="AH200" i="2" s="1"/>
  <c r="AG200" i="2"/>
  <c r="L262" i="2"/>
  <c r="AH262" i="2" s="1"/>
  <c r="AG262" i="2"/>
  <c r="L183" i="2"/>
  <c r="AH183" i="2" s="1"/>
  <c r="AG183" i="2"/>
  <c r="L193" i="2"/>
  <c r="AH193" i="2" s="1"/>
  <c r="AG193" i="2"/>
  <c r="L201" i="2"/>
  <c r="AH201" i="2" s="1"/>
  <c r="AG201" i="2"/>
  <c r="L263" i="2"/>
  <c r="AH263" i="2" s="1"/>
  <c r="AG263" i="2"/>
  <c r="L149" i="2"/>
  <c r="L150" i="2"/>
  <c r="L171" i="2"/>
  <c r="L275" i="2"/>
  <c r="L276" i="2"/>
  <c r="L172" i="2"/>
  <c r="L280" i="2"/>
  <c r="L151" i="2"/>
  <c r="L282" i="2"/>
  <c r="L170" i="2"/>
  <c r="L279" i="2"/>
  <c r="L281" i="2"/>
  <c r="L283" i="2"/>
  <c r="L166" i="2"/>
  <c r="L163" i="2"/>
  <c r="L164" i="2"/>
  <c r="L165" i="2"/>
  <c r="L278" i="2"/>
  <c r="L161" i="2"/>
  <c r="L162" i="2"/>
  <c r="L147" i="2"/>
  <c r="L167" i="2"/>
  <c r="L148" i="2"/>
  <c r="L169" i="2"/>
  <c r="L277" i="2"/>
  <c r="E1211" i="2"/>
  <c r="E1212" i="2"/>
  <c r="E1213" i="2"/>
  <c r="B664" i="13"/>
  <c r="E664" i="13" s="1"/>
  <c r="B665" i="13"/>
  <c r="E665" i="13" s="1"/>
  <c r="B666" i="13"/>
  <c r="E666" i="13" s="1"/>
  <c r="B667" i="13"/>
  <c r="E667" i="13" s="1"/>
  <c r="B668" i="13"/>
  <c r="E668" i="13" s="1"/>
  <c r="B669" i="13"/>
  <c r="E669" i="13" s="1"/>
  <c r="B655" i="13"/>
  <c r="E655" i="13" s="1"/>
  <c r="B656" i="13"/>
  <c r="E656" i="13" s="1"/>
  <c r="B657" i="13"/>
  <c r="E657" i="13" s="1"/>
  <c r="B658" i="13"/>
  <c r="E658" i="13" s="1"/>
  <c r="B659" i="13"/>
  <c r="E659" i="13" s="1"/>
  <c r="B660" i="13"/>
  <c r="E660" i="13" s="1"/>
  <c r="B661" i="13"/>
  <c r="E661" i="13" s="1"/>
  <c r="B662" i="13"/>
  <c r="E662" i="13" s="1"/>
  <c r="B663" i="13"/>
  <c r="E663" i="13" s="1"/>
  <c r="E202" i="2"/>
  <c r="E201" i="2"/>
  <c r="E200" i="2"/>
  <c r="E199" i="2"/>
  <c r="E198" i="2"/>
  <c r="E197" i="2"/>
  <c r="E196" i="2"/>
  <c r="E195" i="2"/>
  <c r="E194" i="2"/>
  <c r="E193" i="2"/>
  <c r="E192" i="2"/>
  <c r="E191" i="2"/>
  <c r="E173" i="2"/>
  <c r="E172" i="2"/>
  <c r="E171" i="2"/>
  <c r="E184" i="2"/>
  <c r="E152" i="2"/>
  <c r="E190" i="2"/>
  <c r="E189" i="2"/>
  <c r="E187" i="2"/>
  <c r="E183" i="2"/>
  <c r="E182" i="2"/>
  <c r="E181" i="2"/>
  <c r="E180" i="2"/>
  <c r="E179" i="2"/>
  <c r="E178" i="2"/>
  <c r="E176" i="2"/>
  <c r="E170" i="2"/>
  <c r="E169" i="2"/>
  <c r="E167" i="2"/>
  <c r="E166" i="2"/>
  <c r="E165" i="2"/>
  <c r="E164" i="2"/>
  <c r="E163" i="2"/>
  <c r="E162" i="2"/>
  <c r="E161" i="2"/>
  <c r="E160" i="2"/>
  <c r="E159" i="2"/>
  <c r="E156" i="2"/>
  <c r="E151" i="2"/>
  <c r="E150" i="2"/>
  <c r="E149" i="2"/>
  <c r="E148" i="2"/>
  <c r="E147" i="2"/>
  <c r="E146" i="2"/>
  <c r="E144" i="2"/>
  <c r="L1087" i="2"/>
  <c r="AH1087" i="2" s="1"/>
  <c r="L1088" i="2"/>
  <c r="AH1088" i="2" s="1"/>
  <c r="L1089" i="2"/>
  <c r="AH1089" i="2" s="1"/>
  <c r="L1090" i="2"/>
  <c r="AH1090" i="2" s="1"/>
  <c r="L1091" i="2"/>
  <c r="AH1091" i="2" s="1"/>
  <c r="L1092" i="2"/>
  <c r="AH1092" i="2" s="1"/>
  <c r="L1093" i="2"/>
  <c r="AH1093" i="2" s="1"/>
  <c r="L1094" i="2"/>
  <c r="AH1094" i="2" s="1"/>
  <c r="L1095" i="2"/>
  <c r="AH1095" i="2" s="1"/>
  <c r="L1096" i="2"/>
  <c r="AH1096" i="2" s="1"/>
  <c r="L1097" i="2"/>
  <c r="AH1097" i="2" s="1"/>
  <c r="L1098" i="2"/>
  <c r="AH1098" i="2" s="1"/>
  <c r="L1099" i="2"/>
  <c r="AH1099" i="2" s="1"/>
  <c r="L1100" i="2"/>
  <c r="AH1100" i="2" s="1"/>
  <c r="L1101" i="2"/>
  <c r="AH1101" i="2" s="1"/>
  <c r="L1102" i="2"/>
  <c r="AH1102" i="2" s="1"/>
  <c r="L1103" i="2"/>
  <c r="AH1103" i="2" s="1"/>
  <c r="L1104" i="2"/>
  <c r="AH1104" i="2" s="1"/>
  <c r="L1105" i="2"/>
  <c r="AH1105" i="2" s="1"/>
  <c r="L1106" i="2"/>
  <c r="AH1106" i="2" s="1"/>
  <c r="L1107" i="2"/>
  <c r="AH1107" i="2" s="1"/>
  <c r="L1108" i="2"/>
  <c r="AH1108" i="2" s="1"/>
  <c r="L1109" i="2"/>
  <c r="AH1109" i="2" s="1"/>
  <c r="L1110" i="2"/>
  <c r="AH1110" i="2" s="1"/>
  <c r="L1111" i="2"/>
  <c r="AH1111" i="2" s="1"/>
  <c r="L1112" i="2"/>
  <c r="AH1112" i="2" s="1"/>
  <c r="L1113" i="2"/>
  <c r="AH1113" i="2" s="1"/>
  <c r="L1114" i="2"/>
  <c r="AH1114" i="2" s="1"/>
  <c r="L1115" i="2"/>
  <c r="AH1115" i="2" s="1"/>
  <c r="L1116" i="2"/>
  <c r="AH1116" i="2" s="1"/>
  <c r="L1117" i="2"/>
  <c r="AH1117" i="2" s="1"/>
  <c r="L1118" i="2"/>
  <c r="AH1118" i="2" s="1"/>
  <c r="L1119" i="2"/>
  <c r="AH1119" i="2" s="1"/>
  <c r="L1120" i="2"/>
  <c r="AH1120" i="2" s="1"/>
  <c r="L1121" i="2"/>
  <c r="AH1121" i="2" s="1"/>
  <c r="L1122" i="2"/>
  <c r="AH1122" i="2" s="1"/>
  <c r="L1123" i="2"/>
  <c r="AH1123" i="2" s="1"/>
  <c r="L1124" i="2"/>
  <c r="AH1124" i="2" s="1"/>
  <c r="L1125" i="2"/>
  <c r="AH1125" i="2" s="1"/>
  <c r="L1126" i="2"/>
  <c r="AH1126" i="2" s="1"/>
  <c r="L1127" i="2"/>
  <c r="AH1127" i="2" s="1"/>
  <c r="L1128" i="2"/>
  <c r="AH1128" i="2" s="1"/>
  <c r="L1129" i="2"/>
  <c r="AH1129" i="2" s="1"/>
  <c r="L1130" i="2"/>
  <c r="AH1130" i="2" s="1"/>
  <c r="L1131" i="2"/>
  <c r="AH1131" i="2" s="1"/>
  <c r="L1132" i="2"/>
  <c r="AH1132" i="2" s="1"/>
  <c r="L1133" i="2"/>
  <c r="AH1133" i="2" s="1"/>
  <c r="L1134" i="2"/>
  <c r="AH1134" i="2" s="1"/>
  <c r="L1135" i="2"/>
  <c r="AH1135" i="2" s="1"/>
  <c r="L1136" i="2"/>
  <c r="AH1136" i="2" s="1"/>
  <c r="L1137" i="2"/>
  <c r="AH1137" i="2" s="1"/>
  <c r="L1138" i="2"/>
  <c r="AH1138" i="2" s="1"/>
  <c r="L1139" i="2"/>
  <c r="AH1139" i="2" s="1"/>
  <c r="L1140" i="2"/>
  <c r="AH1140" i="2" s="1"/>
  <c r="L1141" i="2"/>
  <c r="AH1141" i="2" s="1"/>
  <c r="L1142" i="2"/>
  <c r="AH1142" i="2" s="1"/>
  <c r="L1143" i="2"/>
  <c r="AH1143" i="2" s="1"/>
  <c r="L1144" i="2"/>
  <c r="AH1144" i="2" s="1"/>
  <c r="L1145" i="2"/>
  <c r="AH1145" i="2" s="1"/>
  <c r="L1146" i="2"/>
  <c r="AH1146" i="2" s="1"/>
  <c r="L1147" i="2"/>
  <c r="AH1147" i="2" s="1"/>
  <c r="L1148" i="2"/>
  <c r="AH1148" i="2" s="1"/>
  <c r="L1149" i="2"/>
  <c r="AH1149" i="2" s="1"/>
  <c r="L1150" i="2"/>
  <c r="AH1150" i="2" s="1"/>
  <c r="L1151" i="2"/>
  <c r="AH1151" i="2" s="1"/>
  <c r="L1152" i="2"/>
  <c r="AH1152" i="2" s="1"/>
  <c r="L1153" i="2"/>
  <c r="AH1153" i="2" s="1"/>
  <c r="L1154" i="2"/>
  <c r="AH1154" i="2" s="1"/>
  <c r="L1155" i="2"/>
  <c r="AH1155" i="2" s="1"/>
  <c r="L1156" i="2"/>
  <c r="AH1156" i="2" s="1"/>
  <c r="L1157" i="2"/>
  <c r="AH1157" i="2" s="1"/>
  <c r="L1158" i="2"/>
  <c r="AH1158" i="2" s="1"/>
  <c r="L1159" i="2"/>
  <c r="AH1159" i="2" s="1"/>
  <c r="L1160" i="2"/>
  <c r="AH1160" i="2" s="1"/>
  <c r="L1161" i="2"/>
  <c r="AH1161" i="2" s="1"/>
  <c r="L1162" i="2"/>
  <c r="AH1162" i="2" s="1"/>
  <c r="L1163" i="2"/>
  <c r="AH1163" i="2" s="1"/>
  <c r="L1164" i="2"/>
  <c r="AH1164" i="2" s="1"/>
  <c r="L1165" i="2"/>
  <c r="AH1165" i="2" s="1"/>
  <c r="L1166" i="2"/>
  <c r="AH1166" i="2" s="1"/>
  <c r="L1167" i="2"/>
  <c r="AH1167" i="2" s="1"/>
  <c r="L1168" i="2"/>
  <c r="AH1168" i="2" s="1"/>
  <c r="L1169" i="2"/>
  <c r="AH1169" i="2" s="1"/>
  <c r="L1170" i="2"/>
  <c r="AH1170" i="2" s="1"/>
  <c r="L1171" i="2"/>
  <c r="AH1171" i="2" s="1"/>
  <c r="L1172" i="2"/>
  <c r="AH1172" i="2" s="1"/>
  <c r="L1173" i="2"/>
  <c r="AH1173" i="2" s="1"/>
  <c r="L1174" i="2"/>
  <c r="AH1174" i="2" s="1"/>
  <c r="L886" i="2"/>
  <c r="L887" i="2"/>
  <c r="L888" i="2"/>
  <c r="L889" i="2"/>
  <c r="L890" i="2"/>
  <c r="L891" i="2"/>
  <c r="L892" i="2"/>
  <c r="L893" i="2"/>
  <c r="L894" i="2"/>
  <c r="L895" i="2"/>
  <c r="L899" i="2"/>
  <c r="L900" i="2"/>
  <c r="L903" i="2"/>
  <c r="L904" i="2"/>
  <c r="L905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AH926" i="2" s="1"/>
  <c r="L927" i="2"/>
  <c r="AH927" i="2" s="1"/>
  <c r="L928" i="2"/>
  <c r="AH928" i="2" s="1"/>
  <c r="L929" i="2"/>
  <c r="AH929" i="2" s="1"/>
  <c r="L930" i="2"/>
  <c r="AH930" i="2" s="1"/>
  <c r="L931" i="2"/>
  <c r="AH931" i="2" s="1"/>
  <c r="L932" i="2"/>
  <c r="AH932" i="2" s="1"/>
  <c r="L933" i="2"/>
  <c r="AH933" i="2" s="1"/>
  <c r="L934" i="2"/>
  <c r="AH934" i="2" s="1"/>
  <c r="L935" i="2"/>
  <c r="AH935" i="2" s="1"/>
  <c r="L936" i="2"/>
  <c r="AH936" i="2" s="1"/>
  <c r="L937" i="2"/>
  <c r="AH937" i="2" s="1"/>
  <c r="L938" i="2"/>
  <c r="AH938" i="2" s="1"/>
  <c r="L939" i="2"/>
  <c r="AH939" i="2" s="1"/>
  <c r="L940" i="2"/>
  <c r="AH940" i="2" s="1"/>
  <c r="L941" i="2"/>
  <c r="AH941" i="2" s="1"/>
  <c r="L942" i="2"/>
  <c r="AH942" i="2" s="1"/>
  <c r="L943" i="2"/>
  <c r="AH943" i="2" s="1"/>
  <c r="L944" i="2"/>
  <c r="AH944" i="2" s="1"/>
  <c r="L945" i="2"/>
  <c r="AH945" i="2" s="1"/>
  <c r="L946" i="2"/>
  <c r="AH946" i="2" s="1"/>
  <c r="L947" i="2"/>
  <c r="AH947" i="2" s="1"/>
  <c r="L948" i="2"/>
  <c r="AH948" i="2" s="1"/>
  <c r="L949" i="2"/>
  <c r="AH949" i="2" s="1"/>
  <c r="L950" i="2"/>
  <c r="AH950" i="2" s="1"/>
  <c r="L951" i="2"/>
  <c r="AH951" i="2" s="1"/>
  <c r="L952" i="2"/>
  <c r="AH952" i="2" s="1"/>
  <c r="L953" i="2"/>
  <c r="AH953" i="2" s="1"/>
  <c r="L954" i="2"/>
  <c r="AH954" i="2" s="1"/>
  <c r="L955" i="2"/>
  <c r="AH955" i="2" s="1"/>
  <c r="L956" i="2"/>
  <c r="AH956" i="2" s="1"/>
  <c r="L957" i="2"/>
  <c r="AH957" i="2" s="1"/>
  <c r="L958" i="2"/>
  <c r="AH958" i="2" s="1"/>
  <c r="L959" i="2"/>
  <c r="AH959" i="2" s="1"/>
  <c r="L960" i="2"/>
  <c r="AH960" i="2" s="1"/>
  <c r="L961" i="2"/>
  <c r="AH961" i="2" s="1"/>
  <c r="L962" i="2"/>
  <c r="AH962" i="2" s="1"/>
  <c r="L963" i="2"/>
  <c r="AH963" i="2" s="1"/>
  <c r="L964" i="2"/>
  <c r="AH964" i="2" s="1"/>
  <c r="L965" i="2"/>
  <c r="AH965" i="2" s="1"/>
  <c r="L966" i="2"/>
  <c r="AH966" i="2" s="1"/>
  <c r="L967" i="2"/>
  <c r="AH967" i="2" s="1"/>
  <c r="L968" i="2"/>
  <c r="AH968" i="2" s="1"/>
  <c r="L969" i="2"/>
  <c r="AH969" i="2" s="1"/>
  <c r="L970" i="2"/>
  <c r="AH970" i="2" s="1"/>
  <c r="L971" i="2"/>
  <c r="AH971" i="2" s="1"/>
  <c r="L972" i="2"/>
  <c r="AH972" i="2" s="1"/>
  <c r="L973" i="2"/>
  <c r="AH973" i="2" s="1"/>
  <c r="L974" i="2"/>
  <c r="AH974" i="2" s="1"/>
  <c r="L975" i="2"/>
  <c r="AH975" i="2" s="1"/>
  <c r="L976" i="2"/>
  <c r="AH976" i="2" s="1"/>
  <c r="L977" i="2"/>
  <c r="AH977" i="2" s="1"/>
  <c r="L978" i="2"/>
  <c r="AH978" i="2" s="1"/>
  <c r="L979" i="2"/>
  <c r="AH979" i="2" s="1"/>
  <c r="L980" i="2"/>
  <c r="AH980" i="2" s="1"/>
  <c r="L981" i="2"/>
  <c r="AH981" i="2" s="1"/>
  <c r="L982" i="2"/>
  <c r="AH982" i="2" s="1"/>
  <c r="L983" i="2"/>
  <c r="AH983" i="2" s="1"/>
  <c r="L984" i="2"/>
  <c r="AH984" i="2" s="1"/>
  <c r="L985" i="2"/>
  <c r="AH985" i="2" s="1"/>
  <c r="L986" i="2"/>
  <c r="AH986" i="2" s="1"/>
  <c r="L987" i="2"/>
  <c r="AH987" i="2" s="1"/>
  <c r="L988" i="2"/>
  <c r="AH988" i="2" s="1"/>
  <c r="L989" i="2"/>
  <c r="AH989" i="2" s="1"/>
  <c r="L990" i="2"/>
  <c r="AH990" i="2" s="1"/>
  <c r="L991" i="2"/>
  <c r="AH991" i="2" s="1"/>
  <c r="L992" i="2"/>
  <c r="AH992" i="2" s="1"/>
  <c r="L993" i="2"/>
  <c r="AH993" i="2" s="1"/>
  <c r="L994" i="2"/>
  <c r="AH994" i="2" s="1"/>
  <c r="L995" i="2"/>
  <c r="AH995" i="2" s="1"/>
  <c r="L996" i="2"/>
  <c r="AH996" i="2" s="1"/>
  <c r="L997" i="2"/>
  <c r="AH997" i="2" s="1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N1082" i="2"/>
  <c r="AE1082" i="2" s="1"/>
  <c r="N1071" i="2"/>
  <c r="AE1071" i="2" s="1"/>
  <c r="N1079" i="2"/>
  <c r="AE1079" i="2" s="1"/>
  <c r="N1068" i="2"/>
  <c r="AE1068" i="2" s="1"/>
  <c r="N1078" i="2"/>
  <c r="AE1078" i="2" s="1"/>
  <c r="N1067" i="2"/>
  <c r="AE1067" i="2" s="1"/>
  <c r="E1076" i="2"/>
  <c r="E1077" i="2"/>
  <c r="E1078" i="2"/>
  <c r="E1079" i="2"/>
  <c r="E1080" i="2"/>
  <c r="E1081" i="2"/>
  <c r="E1082" i="2"/>
  <c r="E1083" i="2"/>
  <c r="E1084" i="2"/>
  <c r="E1085" i="2"/>
  <c r="E1086" i="2"/>
  <c r="E1066" i="2"/>
  <c r="E1067" i="2"/>
  <c r="E1068" i="2"/>
  <c r="E1069" i="2"/>
  <c r="E1070" i="2"/>
  <c r="E1071" i="2"/>
  <c r="E1072" i="2"/>
  <c r="E1073" i="2"/>
  <c r="E1074" i="2"/>
  <c r="E1075" i="2"/>
  <c r="E1065" i="2"/>
  <c r="L1045" i="2"/>
  <c r="AH1045" i="2" s="1"/>
  <c r="L1046" i="2"/>
  <c r="AH1046" i="2" s="1"/>
  <c r="L1047" i="2"/>
  <c r="AH1047" i="2" s="1"/>
  <c r="L1048" i="2"/>
  <c r="AH1048" i="2" s="1"/>
  <c r="L1049" i="2"/>
  <c r="AH1049" i="2" s="1"/>
  <c r="L1050" i="2"/>
  <c r="AH1050" i="2" s="1"/>
  <c r="L1051" i="2"/>
  <c r="AH1051" i="2" s="1"/>
  <c r="L1052" i="2"/>
  <c r="AH1052" i="2" s="1"/>
  <c r="L1053" i="2"/>
  <c r="AH1053" i="2" s="1"/>
  <c r="L1054" i="2"/>
  <c r="AH1054" i="2" s="1"/>
  <c r="L1055" i="2"/>
  <c r="AH1055" i="2" s="1"/>
  <c r="L1056" i="2"/>
  <c r="AH1056" i="2" s="1"/>
  <c r="L1057" i="2"/>
  <c r="AH1057" i="2" s="1"/>
  <c r="L1058" i="2"/>
  <c r="AH1058" i="2" s="1"/>
  <c r="E1045" i="2"/>
  <c r="N1045" i="2"/>
  <c r="AE1045" i="2" s="1"/>
  <c r="E1046" i="2"/>
  <c r="N1046" i="2"/>
  <c r="AE1046" i="2" s="1"/>
  <c r="E1047" i="2"/>
  <c r="N1047" i="2"/>
  <c r="AE1047" i="2" s="1"/>
  <c r="E1048" i="2"/>
  <c r="N1048" i="2"/>
  <c r="AE1048" i="2" s="1"/>
  <c r="E1049" i="2"/>
  <c r="N1049" i="2"/>
  <c r="AE1049" i="2" s="1"/>
  <c r="E1050" i="2"/>
  <c r="N1050" i="2"/>
  <c r="AE1050" i="2" s="1"/>
  <c r="E1051" i="2"/>
  <c r="N1051" i="2"/>
  <c r="AE1051" i="2" s="1"/>
  <c r="E1052" i="2"/>
  <c r="N1052" i="2"/>
  <c r="AE1052" i="2" s="1"/>
  <c r="E1053" i="2"/>
  <c r="N1053" i="2"/>
  <c r="AE1053" i="2" s="1"/>
  <c r="E1054" i="2"/>
  <c r="N1054" i="2"/>
  <c r="AE1054" i="2" s="1"/>
  <c r="E1055" i="2"/>
  <c r="N1055" i="2"/>
  <c r="AE1055" i="2" s="1"/>
  <c r="E1056" i="2"/>
  <c r="N1056" i="2"/>
  <c r="AE1056" i="2" s="1"/>
  <c r="E1057" i="2"/>
  <c r="N1057" i="2"/>
  <c r="AE1057" i="2" s="1"/>
  <c r="E1058" i="2"/>
  <c r="N1058" i="2"/>
  <c r="AE1058" i="2" s="1"/>
  <c r="E1059" i="2"/>
  <c r="E1060" i="2"/>
  <c r="E1061" i="2"/>
  <c r="E1062" i="2"/>
  <c r="E1063" i="2"/>
  <c r="E1064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26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AH170" i="2" l="1"/>
  <c r="AH925" i="2"/>
  <c r="AH913" i="2"/>
  <c r="AH894" i="2"/>
  <c r="AH147" i="2"/>
  <c r="AH282" i="2"/>
  <c r="AH924" i="2"/>
  <c r="AH912" i="2"/>
  <c r="AH893" i="2"/>
  <c r="AH162" i="2"/>
  <c r="AH151" i="2"/>
  <c r="AH923" i="2"/>
  <c r="AH911" i="2"/>
  <c r="AH892" i="2"/>
  <c r="AH161" i="2"/>
  <c r="AH922" i="2"/>
  <c r="AH910" i="2"/>
  <c r="AH891" i="2"/>
  <c r="AH921" i="2"/>
  <c r="AH909" i="2"/>
  <c r="AH920" i="2"/>
  <c r="AH889" i="2"/>
  <c r="AH275" i="2"/>
  <c r="AH905" i="2"/>
  <c r="AH888" i="2"/>
  <c r="AH163" i="2"/>
  <c r="AH171" i="2"/>
  <c r="AH918" i="2"/>
  <c r="AH904" i="2"/>
  <c r="AH887" i="2"/>
  <c r="AH166" i="2"/>
  <c r="AH150" i="2"/>
  <c r="AH915" i="2"/>
  <c r="AH899" i="2"/>
  <c r="AH148" i="2"/>
  <c r="AH279" i="2"/>
  <c r="AH914" i="2"/>
  <c r="AH895" i="2"/>
  <c r="AH167" i="2"/>
  <c r="AH280" i="2"/>
  <c r="AH278" i="2"/>
  <c r="AH172" i="2"/>
  <c r="AH165" i="2"/>
  <c r="AH276" i="2"/>
  <c r="AH908" i="2"/>
  <c r="AH919" i="2"/>
  <c r="AH917" i="2"/>
  <c r="AH903" i="2"/>
  <c r="AH886" i="2"/>
  <c r="AH277" i="2"/>
  <c r="AH283" i="2"/>
  <c r="AH149" i="2"/>
  <c r="AH890" i="2"/>
  <c r="AH164" i="2"/>
  <c r="AH916" i="2"/>
  <c r="AH900" i="2"/>
  <c r="AH169" i="2"/>
  <c r="AH281" i="2"/>
  <c r="E65" i="2"/>
  <c r="E63" i="2"/>
  <c r="E61" i="2"/>
  <c r="E58" i="2"/>
  <c r="E56" i="2"/>
  <c r="E53" i="2"/>
  <c r="E51" i="2"/>
  <c r="E49" i="2"/>
  <c r="E47" i="2"/>
  <c r="E46" i="2"/>
  <c r="E45" i="2"/>
  <c r="E43" i="2"/>
  <c r="E42" i="2"/>
  <c r="E40" i="2"/>
  <c r="E39" i="2"/>
  <c r="E38" i="2"/>
  <c r="E28" i="2"/>
  <c r="E27" i="2"/>
  <c r="E26" i="2"/>
  <c r="E24" i="2"/>
  <c r="E21" i="2"/>
  <c r="E18" i="2"/>
  <c r="E17" i="2"/>
  <c r="E865" i="2"/>
  <c r="E866" i="2"/>
  <c r="E867" i="2"/>
  <c r="E868" i="2"/>
  <c r="E869" i="2"/>
  <c r="E877" i="2"/>
  <c r="E878" i="2"/>
  <c r="E879" i="2"/>
  <c r="E880" i="2"/>
  <c r="E881" i="2"/>
  <c r="E882" i="2"/>
  <c r="E883" i="2"/>
  <c r="E884" i="2"/>
  <c r="E885" i="2"/>
  <c r="E864" i="2" l="1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58" i="2"/>
  <c r="E925" i="2"/>
  <c r="E917" i="2"/>
  <c r="E918" i="2"/>
  <c r="E919" i="2"/>
  <c r="E920" i="2"/>
  <c r="E921" i="2"/>
  <c r="E922" i="2"/>
  <c r="E923" i="2"/>
  <c r="E924" i="2"/>
  <c r="E895" i="2"/>
  <c r="E897" i="2"/>
  <c r="E899" i="2"/>
  <c r="E900" i="2"/>
  <c r="E902" i="2"/>
  <c r="E903" i="2"/>
  <c r="E904" i="2"/>
  <c r="E905" i="2"/>
  <c r="E907" i="2"/>
  <c r="E908" i="2"/>
  <c r="E909" i="2"/>
  <c r="E910" i="2"/>
  <c r="E911" i="2"/>
  <c r="E912" i="2"/>
  <c r="E913" i="2"/>
  <c r="E914" i="2"/>
  <c r="E915" i="2"/>
  <c r="E916" i="2"/>
  <c r="E887" i="2"/>
  <c r="E888" i="2"/>
  <c r="E889" i="2"/>
  <c r="E890" i="2"/>
  <c r="E891" i="2"/>
  <c r="E892" i="2"/>
  <c r="E893" i="2"/>
  <c r="E894" i="2"/>
  <c r="E886" i="2"/>
  <c r="E755" i="2" l="1"/>
  <c r="E756" i="2"/>
  <c r="E757" i="2"/>
  <c r="E749" i="2"/>
  <c r="E750" i="2"/>
  <c r="E751" i="2"/>
  <c r="E752" i="2"/>
  <c r="E753" i="2"/>
  <c r="E745" i="2"/>
  <c r="E746" i="2"/>
  <c r="E747" i="2"/>
  <c r="E748" i="2"/>
  <c r="E744" i="2"/>
  <c r="K700" i="2"/>
  <c r="K701" i="2"/>
  <c r="K702" i="2"/>
  <c r="K703" i="2"/>
  <c r="K704" i="2"/>
  <c r="K705" i="2"/>
  <c r="K706" i="2"/>
  <c r="K707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699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24" i="2"/>
  <c r="E725" i="2"/>
  <c r="E726" i="2"/>
  <c r="E727" i="2"/>
  <c r="E728" i="2"/>
  <c r="E723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00" i="2"/>
  <c r="E701" i="2"/>
  <c r="E702" i="2"/>
  <c r="E703" i="2"/>
  <c r="E704" i="2"/>
  <c r="E705" i="2"/>
  <c r="E706" i="2"/>
  <c r="E707" i="2"/>
  <c r="E709" i="2"/>
  <c r="AG738" i="2" l="1"/>
  <c r="AG726" i="2"/>
  <c r="AG714" i="2"/>
  <c r="AG700" i="2"/>
  <c r="AG739" i="2"/>
  <c r="AG727" i="2"/>
  <c r="AG715" i="2"/>
  <c r="AG701" i="2"/>
  <c r="AG737" i="2"/>
  <c r="AG711" i="2"/>
  <c r="AG736" i="2"/>
  <c r="AG724" i="2"/>
  <c r="AG712" i="2"/>
  <c r="AG735" i="2"/>
  <c r="AG723" i="2"/>
  <c r="AG734" i="2"/>
  <c r="AG722" i="2"/>
  <c r="AG710" i="2"/>
  <c r="AG699" i="2"/>
  <c r="AG732" i="2"/>
  <c r="AG720" i="2"/>
  <c r="AG706" i="2"/>
  <c r="AG733" i="2"/>
  <c r="AG721" i="2"/>
  <c r="AG707" i="2"/>
  <c r="AG743" i="2"/>
  <c r="AG731" i="2"/>
  <c r="AG719" i="2"/>
  <c r="AG705" i="2"/>
  <c r="AG742" i="2"/>
  <c r="AG730" i="2"/>
  <c r="AG718" i="2"/>
  <c r="AG704" i="2"/>
  <c r="AG725" i="2"/>
  <c r="AG741" i="2"/>
  <c r="AG729" i="2"/>
  <c r="AG717" i="2"/>
  <c r="AG703" i="2"/>
  <c r="AG713" i="2"/>
  <c r="AG740" i="2"/>
  <c r="AG728" i="2"/>
  <c r="AG716" i="2"/>
  <c r="AG702" i="2"/>
  <c r="L733" i="2"/>
  <c r="L729" i="2"/>
  <c r="L707" i="2"/>
  <c r="L704" i="2"/>
  <c r="AH704" i="2" s="1"/>
  <c r="L728" i="2"/>
  <c r="L712" i="2"/>
  <c r="L720" i="2"/>
  <c r="L732" i="2"/>
  <c r="L716" i="2"/>
  <c r="L731" i="2"/>
  <c r="L715" i="2"/>
  <c r="L713" i="2"/>
  <c r="L741" i="2"/>
  <c r="L725" i="2"/>
  <c r="L743" i="2"/>
  <c r="L727" i="2"/>
  <c r="L711" i="2"/>
  <c r="L740" i="2"/>
  <c r="L724" i="2"/>
  <c r="L699" i="2"/>
  <c r="L739" i="2"/>
  <c r="L723" i="2"/>
  <c r="L706" i="2"/>
  <c r="L730" i="2"/>
  <c r="L714" i="2"/>
  <c r="L742" i="2"/>
  <c r="L726" i="2"/>
  <c r="L710" i="2"/>
  <c r="L738" i="2"/>
  <c r="L722" i="2"/>
  <c r="L705" i="2"/>
  <c r="L721" i="2"/>
  <c r="L736" i="2"/>
  <c r="L703" i="2"/>
  <c r="L735" i="2"/>
  <c r="L719" i="2"/>
  <c r="L702" i="2"/>
  <c r="L734" i="2"/>
  <c r="L718" i="2"/>
  <c r="L701" i="2"/>
  <c r="L737" i="2"/>
  <c r="L717" i="2"/>
  <c r="L700" i="2"/>
  <c r="AH703" i="2" l="1"/>
  <c r="AH731" i="2"/>
  <c r="AH736" i="2"/>
  <c r="AH735" i="2"/>
  <c r="AH715" i="2"/>
  <c r="AH739" i="2"/>
  <c r="AH721" i="2"/>
  <c r="AH699" i="2"/>
  <c r="AH732" i="2"/>
  <c r="AH700" i="2"/>
  <c r="AH705" i="2"/>
  <c r="AH724" i="2"/>
  <c r="AH720" i="2"/>
  <c r="AH722" i="2"/>
  <c r="AH737" i="2"/>
  <c r="AH738" i="2"/>
  <c r="AH711" i="2"/>
  <c r="AH728" i="2"/>
  <c r="AH719" i="2"/>
  <c r="AH730" i="2"/>
  <c r="AH713" i="2"/>
  <c r="AH706" i="2"/>
  <c r="AH716" i="2"/>
  <c r="AH717" i="2"/>
  <c r="AH740" i="2"/>
  <c r="AH712" i="2"/>
  <c r="AH701" i="2"/>
  <c r="AH710" i="2"/>
  <c r="AH727" i="2"/>
  <c r="AH718" i="2"/>
  <c r="AH726" i="2"/>
  <c r="AH743" i="2"/>
  <c r="AH707" i="2"/>
  <c r="AH723" i="2"/>
  <c r="AH734" i="2"/>
  <c r="AH742" i="2"/>
  <c r="AH725" i="2"/>
  <c r="AH729" i="2"/>
  <c r="AH702" i="2"/>
  <c r="AH714" i="2"/>
  <c r="AH741" i="2"/>
  <c r="AH733" i="2"/>
  <c r="E699" i="2"/>
  <c r="E647" i="13" l="1"/>
  <c r="E648" i="13"/>
  <c r="E649" i="13"/>
  <c r="E650" i="13"/>
  <c r="E651" i="13"/>
  <c r="E652" i="13"/>
  <c r="E653" i="13"/>
  <c r="E654" i="13"/>
  <c r="E646" i="13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3" i="2"/>
  <c r="E632" i="2"/>
  <c r="E631" i="2"/>
  <c r="E630" i="2"/>
  <c r="E629" i="2"/>
  <c r="E628" i="2"/>
  <c r="E627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7" i="2"/>
  <c r="E426" i="2"/>
  <c r="E425" i="2"/>
  <c r="E424" i="2"/>
  <c r="E423" i="2"/>
  <c r="E422" i="2"/>
  <c r="E421" i="2"/>
  <c r="E420" i="2"/>
  <c r="E419" i="2"/>
  <c r="E418" i="2"/>
  <c r="E380" i="2"/>
  <c r="E398" i="2" l="1"/>
  <c r="E399" i="2"/>
  <c r="E400" i="2"/>
  <c r="E401" i="2"/>
  <c r="E402" i="2"/>
  <c r="E403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4" i="2"/>
  <c r="E383" i="2"/>
  <c r="E382" i="2" l="1"/>
  <c r="E381" i="2"/>
  <c r="E379" i="2"/>
  <c r="E378" i="2"/>
  <c r="E377" i="2"/>
  <c r="E376" i="2"/>
  <c r="E375" i="2"/>
  <c r="E374" i="2"/>
  <c r="E37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37" i="2"/>
  <c r="E36" i="2"/>
  <c r="E35" i="2"/>
  <c r="E34" i="2"/>
  <c r="E33" i="2"/>
  <c r="E32" i="2"/>
  <c r="E31" i="2"/>
  <c r="E30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Z1309" i="2" l="1"/>
  <c r="Y530" i="2"/>
  <c r="Y991" i="2"/>
  <c r="Z952" i="2"/>
  <c r="Y401" i="2"/>
  <c r="Y674" i="2"/>
  <c r="Z819" i="2"/>
  <c r="Y949" i="2"/>
  <c r="Z1053" i="2"/>
  <c r="Z537" i="2"/>
  <c r="Z1063" i="2"/>
  <c r="Z1052" i="2"/>
  <c r="Y796" i="2"/>
  <c r="Z822" i="2"/>
  <c r="Z607" i="2"/>
  <c r="Y1317" i="2"/>
  <c r="Z443" i="2"/>
  <c r="Z1059" i="2"/>
  <c r="Z583" i="2"/>
  <c r="Y1060" i="2"/>
  <c r="Z17" i="2"/>
  <c r="Z1314" i="2"/>
  <c r="Z797" i="2"/>
  <c r="Y202" i="2"/>
  <c r="Z449" i="2"/>
  <c r="Z796" i="2"/>
  <c r="Y1057" i="2"/>
  <c r="Y395" i="2"/>
  <c r="Z545" i="2"/>
  <c r="Z825" i="2"/>
  <c r="Y947" i="2"/>
  <c r="Z559" i="2"/>
  <c r="Z1108" i="2"/>
  <c r="Z198" i="2"/>
  <c r="Z401" i="2"/>
  <c r="Y193" i="2"/>
  <c r="Z1302" i="2"/>
  <c r="Y1092" i="2"/>
  <c r="Y805" i="2"/>
  <c r="Y301" i="2"/>
  <c r="Z433" i="2"/>
  <c r="Z803" i="2"/>
  <c r="Z1225" i="2"/>
  <c r="Y926" i="2"/>
  <c r="Y663" i="2"/>
  <c r="Y1303" i="2"/>
  <c r="Y795" i="2"/>
  <c r="Y952" i="2"/>
  <c r="Y399" i="2"/>
  <c r="Z425" i="2"/>
  <c r="Z1308" i="2"/>
  <c r="Y423" i="2"/>
  <c r="Z676" i="2"/>
  <c r="Z1130" i="2"/>
  <c r="Z203" i="2"/>
  <c r="Z1304" i="2"/>
  <c r="Z1116" i="2"/>
  <c r="Z817" i="2"/>
  <c r="Z611" i="2"/>
  <c r="Z1219" i="2"/>
  <c r="Y662" i="2"/>
  <c r="Z403" i="2"/>
  <c r="Z615" i="2"/>
  <c r="Y1313" i="2"/>
  <c r="Z827" i="2"/>
  <c r="Y302" i="2"/>
  <c r="Z664" i="2"/>
  <c r="Z194" i="2"/>
  <c r="Z679" i="2"/>
  <c r="Z421" i="2"/>
  <c r="Z794" i="2"/>
  <c r="Z1231" i="2"/>
  <c r="Z603" i="2"/>
  <c r="Z804" i="2"/>
  <c r="Z1094" i="2"/>
  <c r="Z575" i="2"/>
  <c r="Z1311" i="2"/>
  <c r="Y433" i="2"/>
  <c r="Y403" i="2"/>
  <c r="Y1058" i="2"/>
  <c r="Y673" i="2"/>
  <c r="Z176" i="2"/>
  <c r="Y1080" i="2"/>
  <c r="Y1305" i="2"/>
  <c r="Z299" i="2"/>
  <c r="Z1056" i="2"/>
  <c r="Z635" i="2"/>
  <c r="Z807" i="2"/>
  <c r="Z453" i="2"/>
  <c r="Z533" i="2"/>
  <c r="Y1082" i="2"/>
  <c r="Y199" i="2"/>
  <c r="Z1100" i="2"/>
  <c r="Z1124" i="2"/>
  <c r="Y431" i="2"/>
  <c r="Z389" i="2"/>
  <c r="Y934" i="2"/>
  <c r="Y1122" i="2"/>
  <c r="Y1226" i="2"/>
  <c r="Y1077" i="2"/>
  <c r="Z417" i="2"/>
  <c r="Y1107" i="2"/>
  <c r="Y555" i="2"/>
  <c r="Z485" i="2"/>
  <c r="Y1223" i="2"/>
  <c r="Z677" i="2"/>
  <c r="Y419" i="2"/>
  <c r="Y1306" i="2"/>
  <c r="Z200" i="2"/>
  <c r="Z931" i="2"/>
  <c r="Y1217" i="2"/>
  <c r="Z193" i="2"/>
  <c r="Z178" i="2"/>
  <c r="Z457" i="2"/>
  <c r="Z813" i="2"/>
  <c r="Z439" i="2"/>
  <c r="Y1307" i="2"/>
  <c r="Z935" i="2"/>
  <c r="Z826" i="2"/>
  <c r="Z1103" i="2"/>
  <c r="Z1097" i="2"/>
  <c r="Y1101" i="2"/>
  <c r="Z1096" i="2"/>
  <c r="Z795" i="2"/>
  <c r="Z662" i="2"/>
  <c r="Z180" i="2"/>
  <c r="Z1230" i="2"/>
  <c r="Z305" i="2"/>
  <c r="Z1117" i="2"/>
  <c r="Y1055" i="2"/>
  <c r="Z1115" i="2"/>
  <c r="Z940" i="2"/>
  <c r="Z1120" i="2"/>
  <c r="Y180" i="2"/>
  <c r="Y497" i="2"/>
  <c r="Z678" i="2"/>
  <c r="Z431" i="2"/>
  <c r="Z661" i="2"/>
  <c r="Z1220" i="2"/>
  <c r="Z1313" i="2"/>
  <c r="Z806" i="2"/>
  <c r="Y1104" i="2"/>
  <c r="Z936" i="2"/>
  <c r="Z307" i="2"/>
  <c r="Z799" i="2"/>
  <c r="Z1119" i="2"/>
  <c r="Z1234" i="2"/>
  <c r="Z1113" i="2"/>
  <c r="Z477" i="2"/>
  <c r="Z481" i="2"/>
  <c r="Z300" i="2"/>
  <c r="Y200" i="2"/>
  <c r="Z1088" i="2"/>
  <c r="Y797" i="2"/>
  <c r="Z187" i="2"/>
  <c r="Z1317" i="2"/>
  <c r="Z302" i="2"/>
  <c r="Z465" i="2"/>
  <c r="Z824" i="2"/>
  <c r="Z1118" i="2"/>
  <c r="Z497" i="2"/>
  <c r="Y678" i="2"/>
  <c r="Y1218" i="2"/>
  <c r="Y1089" i="2"/>
  <c r="Y809" i="2"/>
  <c r="Z397" i="2"/>
  <c r="Y819" i="2"/>
  <c r="Z675" i="2"/>
  <c r="Z663" i="2"/>
  <c r="Z665" i="2"/>
  <c r="Y427" i="2"/>
  <c r="Y1232" i="2"/>
  <c r="Z405" i="2"/>
  <c r="Z304" i="2"/>
  <c r="Y198" i="2"/>
  <c r="Y304" i="2"/>
  <c r="Z945" i="2"/>
  <c r="Z295" i="2"/>
  <c r="Z951" i="2"/>
  <c r="Z1227" i="2"/>
  <c r="Z1126" i="2"/>
  <c r="Z1092" i="2"/>
  <c r="Z186" i="2"/>
  <c r="Z311" i="2"/>
  <c r="Z1223" i="2"/>
  <c r="Y196" i="2"/>
  <c r="Y1098" i="2"/>
  <c r="Y194" i="2"/>
  <c r="Z1303" i="2"/>
  <c r="Z1106" i="2"/>
  <c r="Z1111" i="2"/>
  <c r="Z201" i="2"/>
  <c r="Z927" i="2"/>
  <c r="Z571" i="2"/>
  <c r="Y665" i="2"/>
  <c r="Y1301" i="2"/>
  <c r="Y184" i="2"/>
  <c r="Y298" i="2"/>
  <c r="Y393" i="2"/>
  <c r="Y587" i="2"/>
  <c r="Y1093" i="2"/>
  <c r="Y182" i="2"/>
  <c r="Y181" i="2"/>
  <c r="Y407" i="2"/>
  <c r="Y1062" i="2"/>
  <c r="Y1148" i="2"/>
  <c r="Z415" i="2"/>
  <c r="Z427" i="2"/>
  <c r="Z659" i="2"/>
  <c r="Z435" i="2"/>
  <c r="Z755" i="2"/>
  <c r="Z1104" i="2"/>
  <c r="Z619" i="2"/>
  <c r="Z1107" i="2"/>
  <c r="Z429" i="2"/>
  <c r="Z939" i="2"/>
  <c r="Z1310" i="2"/>
  <c r="Z303" i="2"/>
  <c r="Y799" i="2"/>
  <c r="Z587" i="2"/>
  <c r="Z937" i="2"/>
  <c r="Z312" i="2"/>
  <c r="Z196" i="2"/>
  <c r="Z810" i="2"/>
  <c r="Z567" i="2"/>
  <c r="Z1060" i="2"/>
  <c r="Z1312" i="2"/>
  <c r="Y465" i="2"/>
  <c r="Y943" i="2"/>
  <c r="Y1230" i="2"/>
  <c r="Y950" i="2"/>
  <c r="Z493" i="2"/>
  <c r="Y1229" i="2"/>
  <c r="Z185" i="2"/>
  <c r="Y670" i="2"/>
  <c r="Y806" i="2"/>
  <c r="Y929" i="2"/>
  <c r="Y1096" i="2"/>
  <c r="Y391" i="2"/>
  <c r="Y1318" i="2"/>
  <c r="Y553" i="2"/>
  <c r="Y415" i="2"/>
  <c r="Z674" i="2"/>
  <c r="Z666" i="2"/>
  <c r="Z671" i="2"/>
  <c r="Z461" i="2"/>
  <c r="Z1084" i="2"/>
  <c r="Z957" i="2"/>
  <c r="Z1061" i="2"/>
  <c r="Z509" i="2"/>
  <c r="Y1083" i="2"/>
  <c r="Z1315" i="2"/>
  <c r="Z1105" i="2"/>
  <c r="Y951" i="2"/>
  <c r="Z623" i="2"/>
  <c r="Z805" i="2"/>
  <c r="Y798" i="2"/>
  <c r="Z1090" i="2"/>
  <c r="Z1076" i="2"/>
  <c r="Z521" i="2"/>
  <c r="Z192" i="2"/>
  <c r="Z555" i="2"/>
  <c r="Z928" i="2"/>
  <c r="Z296" i="2"/>
  <c r="Y299" i="2"/>
  <c r="Y948" i="2"/>
  <c r="Z188" i="2"/>
  <c r="Y191" i="2"/>
  <c r="Z384" i="2"/>
  <c r="Y668" i="2"/>
  <c r="Y807" i="2"/>
  <c r="Y1076" i="2"/>
  <c r="Y1225" i="2"/>
  <c r="Z413" i="2"/>
  <c r="Y940" i="2"/>
  <c r="Y1111" i="2"/>
  <c r="Y1085" i="2"/>
  <c r="Z669" i="2"/>
  <c r="Z306" i="2"/>
  <c r="Z473" i="2"/>
  <c r="Z1128" i="2"/>
  <c r="Z1079" i="2"/>
  <c r="Z309" i="2"/>
  <c r="Y1315" i="2"/>
  <c r="Y1090" i="2"/>
  <c r="Y1310" i="2"/>
  <c r="Z469" i="2"/>
  <c r="Z525" i="2"/>
  <c r="Z818" i="2"/>
  <c r="Z1049" i="2"/>
  <c r="Z1089" i="2"/>
  <c r="Z815" i="2"/>
  <c r="Z1320" i="2"/>
  <c r="Y793" i="2"/>
  <c r="Z1098" i="2"/>
  <c r="Z944" i="2"/>
  <c r="Y1311" i="2"/>
  <c r="Z1099" i="2"/>
  <c r="Z809" i="2"/>
  <c r="Z197" i="2"/>
  <c r="Z1319" i="2"/>
  <c r="Z202" i="2"/>
  <c r="Z308" i="2"/>
  <c r="Z1122" i="2"/>
  <c r="Y677" i="2"/>
  <c r="Y667" i="2"/>
  <c r="Y295" i="2"/>
  <c r="Y932" i="2"/>
  <c r="Y959" i="2"/>
  <c r="Y389" i="2"/>
  <c r="Y1051" i="2"/>
  <c r="Z1085" i="2"/>
  <c r="Y1312" i="2"/>
  <c r="Z823" i="2"/>
  <c r="Z1109" i="2"/>
  <c r="Z947" i="2"/>
  <c r="Y1088" i="2"/>
  <c r="Z672" i="2"/>
  <c r="Z195" i="2"/>
  <c r="Z668" i="2"/>
  <c r="Z1093" i="2"/>
  <c r="Z179" i="2"/>
  <c r="Z1091" i="2"/>
  <c r="Z1307" i="2"/>
  <c r="Z1101" i="2"/>
  <c r="Z1125" i="2"/>
  <c r="Y473" i="2"/>
  <c r="Z943" i="2"/>
  <c r="Z1045" i="2"/>
  <c r="Z183" i="2"/>
  <c r="Z1318" i="2"/>
  <c r="Z1121" i="2"/>
  <c r="Z959" i="2"/>
  <c r="Y946" i="2"/>
  <c r="Y679" i="2"/>
  <c r="Y1304" i="2"/>
  <c r="Y802" i="2"/>
  <c r="Y1224" i="2"/>
  <c r="Y185" i="2"/>
  <c r="Y1127" i="2"/>
  <c r="Y956" i="2"/>
  <c r="Y417" i="2"/>
  <c r="Z631" i="2"/>
  <c r="Y631" i="2"/>
  <c r="Z189" i="2"/>
  <c r="Z1083" i="2"/>
  <c r="Z177" i="2"/>
  <c r="Z793" i="2"/>
  <c r="Y485" i="2"/>
  <c r="Z811" i="2"/>
  <c r="Z1229" i="2"/>
  <c r="Z1050" i="2"/>
  <c r="Y1105" i="2"/>
  <c r="Z956" i="2"/>
  <c r="Z930" i="2"/>
  <c r="Y201" i="2"/>
  <c r="Y441" i="2"/>
  <c r="Y443" i="2"/>
  <c r="Y800" i="2"/>
  <c r="Y425" i="2"/>
  <c r="Z673" i="2"/>
  <c r="Z660" i="2"/>
  <c r="Z812" i="2"/>
  <c r="Y1228" i="2"/>
  <c r="Z808" i="2"/>
  <c r="Z441" i="2"/>
  <c r="Y672" i="2"/>
  <c r="Y671" i="2"/>
  <c r="Z1222" i="2"/>
  <c r="Z814" i="2"/>
  <c r="Y1309" i="2"/>
  <c r="Z1086" i="2"/>
  <c r="Z549" i="2"/>
  <c r="Z182" i="2"/>
  <c r="Z798" i="2"/>
  <c r="Z1082" i="2"/>
  <c r="Y1081" i="2"/>
  <c r="Z423" i="2"/>
  <c r="Z437" i="2"/>
  <c r="Z419" i="2"/>
  <c r="Z667" i="2"/>
  <c r="Y945" i="2"/>
  <c r="Z1226" i="2"/>
  <c r="Z1047" i="2"/>
  <c r="Y1108" i="2"/>
  <c r="Y195" i="2"/>
  <c r="Z1064" i="2"/>
  <c r="Z563" i="2"/>
  <c r="Z1081" i="2"/>
  <c r="Z802" i="2"/>
  <c r="Z184" i="2"/>
  <c r="Z820" i="2"/>
  <c r="Z501" i="2"/>
  <c r="Y489" i="2"/>
  <c r="Z1102" i="2"/>
  <c r="Z1127" i="2"/>
  <c r="Z1055" i="2"/>
  <c r="Z1051" i="2"/>
  <c r="Z1232" i="2"/>
  <c r="Z950" i="2"/>
  <c r="Z513" i="2"/>
  <c r="Z942" i="2"/>
  <c r="Z1078" i="2"/>
  <c r="Z1221" i="2"/>
  <c r="Y669" i="2"/>
  <c r="Y179" i="2"/>
  <c r="Y931" i="2"/>
  <c r="Y928" i="2"/>
  <c r="Y387" i="2"/>
  <c r="Y312" i="2"/>
  <c r="Y1113" i="2"/>
  <c r="Y303" i="2"/>
  <c r="Y803" i="2"/>
  <c r="Y1129" i="2"/>
  <c r="Y175" i="2"/>
  <c r="Y1078" i="2"/>
  <c r="Z411" i="2"/>
  <c r="Z409" i="2"/>
  <c r="Y1128" i="2"/>
  <c r="Y1086" i="2"/>
  <c r="Y421" i="2"/>
  <c r="Z445" i="2"/>
  <c r="Z670" i="2"/>
  <c r="Z627" i="2"/>
  <c r="Y461" i="2"/>
  <c r="Z954" i="2"/>
  <c r="Z1123" i="2"/>
  <c r="Z301" i="2"/>
  <c r="Z1305" i="2"/>
  <c r="Y794" i="2"/>
  <c r="Z958" i="2"/>
  <c r="Z199" i="2"/>
  <c r="Z1046" i="2"/>
  <c r="Z801" i="2"/>
  <c r="Z294" i="2"/>
  <c r="Z926" i="2"/>
  <c r="Z1224" i="2"/>
  <c r="Y1103" i="2"/>
  <c r="Z929" i="2"/>
  <c r="Z1217" i="2"/>
  <c r="Z1077" i="2"/>
  <c r="Z1301" i="2"/>
  <c r="Y1102" i="2"/>
  <c r="Y944" i="2"/>
  <c r="Z816" i="2"/>
  <c r="Z541" i="2"/>
  <c r="Z1080" i="2"/>
  <c r="Y1314" i="2"/>
  <c r="Z529" i="2"/>
  <c r="Y1106" i="2"/>
  <c r="Z946" i="2"/>
  <c r="Z1112" i="2"/>
  <c r="Y203" i="2"/>
  <c r="Z1316" i="2"/>
  <c r="Y384" i="2"/>
  <c r="Y445" i="2"/>
  <c r="Y435" i="2"/>
  <c r="Y1233" i="2"/>
  <c r="Y1049" i="2"/>
  <c r="Y177" i="2"/>
  <c r="Y1094" i="2"/>
  <c r="Y296" i="2"/>
  <c r="Y1095" i="2"/>
  <c r="Y411" i="2"/>
  <c r="Y409" i="2"/>
  <c r="Y823" i="2"/>
  <c r="Z636" i="2"/>
  <c r="Y451" i="2"/>
  <c r="Y550" i="2"/>
  <c r="Z961" i="2"/>
  <c r="Y469" i="2"/>
  <c r="Z297" i="2"/>
  <c r="Y1227" i="2"/>
  <c r="Z1233" i="2"/>
  <c r="Z800" i="2"/>
  <c r="Z599" i="2"/>
  <c r="Z579" i="2"/>
  <c r="Z399" i="2"/>
  <c r="Y437" i="2"/>
  <c r="Y660" i="2"/>
  <c r="Y957" i="2"/>
  <c r="Y801" i="2"/>
  <c r="Y804" i="2"/>
  <c r="Y930" i="2"/>
  <c r="Y183" i="2"/>
  <c r="Y927" i="2"/>
  <c r="Z407" i="2"/>
  <c r="Y607" i="2"/>
  <c r="Y954" i="2"/>
  <c r="Y1115" i="2"/>
  <c r="Y190" i="2"/>
  <c r="Z932" i="2"/>
  <c r="Z1062" i="2"/>
  <c r="Z1228" i="2"/>
  <c r="Z933" i="2"/>
  <c r="Z941" i="2"/>
  <c r="Y1099" i="2"/>
  <c r="Z948" i="2"/>
  <c r="Y1109" i="2"/>
  <c r="Z955" i="2"/>
  <c r="Z191" i="2"/>
  <c r="Z1306" i="2"/>
  <c r="Z190" i="2"/>
  <c r="Y1316" i="2"/>
  <c r="Z505" i="2"/>
  <c r="Y676" i="2"/>
  <c r="Y439" i="2"/>
  <c r="Y661" i="2"/>
  <c r="Y1047" i="2"/>
  <c r="Y1087" i="2"/>
  <c r="Y1046" i="2"/>
  <c r="Y933" i="2"/>
  <c r="Y1048" i="2"/>
  <c r="Z387" i="2"/>
  <c r="Z391" i="2"/>
  <c r="Y549" i="2"/>
  <c r="Y529" i="2"/>
  <c r="Y1220" i="2"/>
  <c r="Z489" i="2"/>
  <c r="Y1308" i="2"/>
  <c r="Z310" i="2"/>
  <c r="Z1087" i="2"/>
  <c r="Z1129" i="2"/>
  <c r="Y300" i="2"/>
  <c r="Z175" i="2"/>
  <c r="Z938" i="2"/>
  <c r="Z960" i="2"/>
  <c r="Z1057" i="2"/>
  <c r="Z181" i="2"/>
  <c r="Z1110" i="2"/>
  <c r="Y1100" i="2"/>
  <c r="Z953" i="2"/>
  <c r="Z595" i="2"/>
  <c r="Z1095" i="2"/>
  <c r="Y942" i="2"/>
  <c r="Z934" i="2"/>
  <c r="Y675" i="2"/>
  <c r="Y666" i="2"/>
  <c r="Y178" i="2"/>
  <c r="Y1222" i="2"/>
  <c r="Y294" i="2"/>
  <c r="Y1079" i="2"/>
  <c r="Y1045" i="2"/>
  <c r="Y1231" i="2"/>
  <c r="Y397" i="2"/>
  <c r="Y413" i="2"/>
  <c r="Y541" i="2"/>
  <c r="Y939" i="2"/>
  <c r="Y429" i="2"/>
  <c r="Y1056" i="2"/>
  <c r="Z949" i="2"/>
  <c r="Y1097" i="2"/>
  <c r="Z517" i="2"/>
  <c r="Y192" i="2"/>
  <c r="Z298" i="2"/>
  <c r="Z1058" i="2"/>
  <c r="Z1048" i="2"/>
  <c r="Z1218" i="2"/>
  <c r="Y197" i="2"/>
  <c r="Z821" i="2"/>
  <c r="Z591" i="2"/>
  <c r="Z1054" i="2"/>
  <c r="Z1114" i="2"/>
  <c r="Y1054" i="2"/>
  <c r="Y664" i="2"/>
  <c r="Y449" i="2"/>
  <c r="Y808" i="2"/>
  <c r="Y176" i="2"/>
  <c r="Y1091" i="2"/>
  <c r="Y1302" i="2"/>
  <c r="Y960" i="2"/>
  <c r="Y1219" i="2"/>
  <c r="Z393" i="2"/>
  <c r="Z395" i="2"/>
  <c r="Y1116" i="2"/>
  <c r="Y815" i="2"/>
  <c r="Y1319" i="2"/>
  <c r="Z1145" i="2"/>
  <c r="Y560" i="2"/>
  <c r="Y1050" i="2"/>
  <c r="Y189" i="2"/>
  <c r="Y1135" i="2"/>
  <c r="Z835" i="2"/>
  <c r="Y624" i="2"/>
  <c r="Z450" i="2"/>
  <c r="Z756" i="2"/>
  <c r="Y853" i="2"/>
  <c r="Y632" i="2"/>
  <c r="Y1171" i="2"/>
  <c r="Y467" i="2"/>
  <c r="Z593" i="2"/>
  <c r="Y856" i="2"/>
  <c r="Z503" i="2"/>
  <c r="Y1165" i="2"/>
  <c r="Z573" i="2"/>
  <c r="Y989" i="2"/>
  <c r="Y494" i="2"/>
  <c r="Y859" i="2"/>
  <c r="Z494" i="2"/>
  <c r="Y1145" i="2"/>
  <c r="Y599" i="2"/>
  <c r="Y604" i="2"/>
  <c r="Y857" i="2"/>
  <c r="Y755" i="2"/>
  <c r="Z1171" i="2"/>
  <c r="Y625" i="2"/>
  <c r="Y1119" i="2"/>
  <c r="Z993" i="2"/>
  <c r="Z447" i="2"/>
  <c r="Y545" i="2"/>
  <c r="Y858" i="2"/>
  <c r="Y501" i="2"/>
  <c r="Z1143" i="2"/>
  <c r="Z483" i="2"/>
  <c r="Y457" i="2"/>
  <c r="Y1160" i="2"/>
  <c r="Y513" i="2"/>
  <c r="Z849" i="2"/>
  <c r="Z621" i="2"/>
  <c r="Y636" i="2"/>
  <c r="Y983" i="2"/>
  <c r="Y615" i="2"/>
  <c r="Y498" i="2"/>
  <c r="Y1163" i="2"/>
  <c r="Y1053" i="2"/>
  <c r="Y988" i="2"/>
  <c r="Y825" i="2"/>
  <c r="Y592" i="2"/>
  <c r="Y990" i="2"/>
  <c r="Y521" i="2"/>
  <c r="Z510" i="2"/>
  <c r="Z986" i="2"/>
  <c r="Y585" i="2"/>
  <c r="Y627" i="2"/>
  <c r="Y827" i="2"/>
  <c r="Y584" i="2"/>
  <c r="Y855" i="2"/>
  <c r="Y1110" i="2"/>
  <c r="Y450" i="2"/>
  <c r="Z556" i="2"/>
  <c r="Z1153" i="2"/>
  <c r="Y605" i="2"/>
  <c r="Y567" i="2"/>
  <c r="Y559" i="2"/>
  <c r="Z502" i="2"/>
  <c r="Z843" i="2"/>
  <c r="Y609" i="2"/>
  <c r="Y821" i="2"/>
  <c r="Y307" i="2"/>
  <c r="Y542" i="2"/>
  <c r="Y997" i="2"/>
  <c r="Y533" i="2"/>
  <c r="Z546" i="2"/>
  <c r="Z977" i="2"/>
  <c r="Y479" i="2"/>
  <c r="Y955" i="2"/>
  <c r="Y837" i="2"/>
  <c r="Y1150" i="2"/>
  <c r="Z479" i="2"/>
  <c r="Y493" i="2"/>
  <c r="Y580" i="2"/>
  <c r="Y1167" i="2"/>
  <c r="Y941" i="2"/>
  <c r="Y1084" i="2"/>
  <c r="Y535" i="2"/>
  <c r="Y962" i="2"/>
  <c r="Z978" i="2"/>
  <c r="Z1149" i="2"/>
  <c r="Y1152" i="2"/>
  <c r="Y495" i="2"/>
  <c r="Y633" i="2"/>
  <c r="Y575" i="2"/>
  <c r="Y537" i="2"/>
  <c r="Y572" i="2"/>
  <c r="Y576" i="2"/>
  <c r="Y861" i="2"/>
  <c r="Y659" i="2"/>
  <c r="Y810" i="2"/>
  <c r="Y936" i="2"/>
  <c r="Y531" i="2"/>
  <c r="Z1132" i="2"/>
  <c r="Z838" i="2"/>
  <c r="Y1132" i="2"/>
  <c r="Y515" i="2"/>
  <c r="Z973" i="2"/>
  <c r="Z1147" i="2"/>
  <c r="Z1140" i="2"/>
  <c r="Y1147" i="2"/>
  <c r="Z617" i="2"/>
  <c r="Y475" i="2"/>
  <c r="Y817" i="2"/>
  <c r="Y1061" i="2"/>
  <c r="Y568" i="2"/>
  <c r="Y458" i="2"/>
  <c r="Y1172" i="2"/>
  <c r="Y509" i="2"/>
  <c r="Y405" i="2"/>
  <c r="Y1221" i="2"/>
  <c r="Z572" i="2"/>
  <c r="Z845" i="2"/>
  <c r="Z966" i="2"/>
  <c r="Y1139" i="2"/>
  <c r="Y979" i="2"/>
  <c r="Z601" i="2"/>
  <c r="Z637" i="2"/>
  <c r="Y310" i="2"/>
  <c r="Y306" i="2"/>
  <c r="Y600" i="2"/>
  <c r="Y616" i="2"/>
  <c r="Y1174" i="2"/>
  <c r="Y1112" i="2"/>
  <c r="Z534" i="2"/>
  <c r="Z1138" i="2"/>
  <c r="Z454" i="2"/>
  <c r="Z1160" i="2"/>
  <c r="Z855" i="2"/>
  <c r="Z854" i="2"/>
  <c r="Y831" i="2"/>
  <c r="Z523" i="2"/>
  <c r="Y1120" i="2"/>
  <c r="Y311" i="2"/>
  <c r="Y619" i="2"/>
  <c r="Y588" i="2"/>
  <c r="Y538" i="2"/>
  <c r="Z550" i="2"/>
  <c r="Z1167" i="2"/>
  <c r="Z989" i="2"/>
  <c r="Z837" i="2"/>
  <c r="Y551" i="2"/>
  <c r="Z585" i="2"/>
  <c r="Y481" i="2"/>
  <c r="Y1117" i="2"/>
  <c r="Y595" i="2"/>
  <c r="Y514" i="2"/>
  <c r="Z462" i="2"/>
  <c r="Y836" i="2"/>
  <c r="Z982" i="2"/>
  <c r="Y1173" i="2"/>
  <c r="Y849" i="2"/>
  <c r="Z466" i="2"/>
  <c r="Z840" i="2"/>
  <c r="Z1163" i="2"/>
  <c r="Z963" i="2"/>
  <c r="Z979" i="2"/>
  <c r="Y466" i="2"/>
  <c r="Y561" i="2"/>
  <c r="Z539" i="2"/>
  <c r="Z463" i="2"/>
  <c r="Y953" i="2"/>
  <c r="Y623" i="2"/>
  <c r="Y583" i="2"/>
  <c r="Z451" i="2"/>
  <c r="Y482" i="2"/>
  <c r="Y612" i="2"/>
  <c r="Y994" i="2"/>
  <c r="Y854" i="2"/>
  <c r="Y816" i="2"/>
  <c r="Y1052" i="2"/>
  <c r="Y935" i="2"/>
  <c r="Y1158" i="2"/>
  <c r="Z470" i="2"/>
  <c r="Z962" i="2"/>
  <c r="Y841" i="2"/>
  <c r="Z1170" i="2"/>
  <c r="Z1151" i="2"/>
  <c r="Y470" i="2"/>
  <c r="Y539" i="2"/>
  <c r="Z455" i="2"/>
  <c r="Z581" i="2"/>
  <c r="Y1121" i="2"/>
  <c r="Y603" i="2"/>
  <c r="Y453" i="2"/>
  <c r="Y628" i="2"/>
  <c r="Y608" i="2"/>
  <c r="Y478" i="2"/>
  <c r="Y1164" i="2"/>
  <c r="Y1161" i="2"/>
  <c r="Y187" i="2"/>
  <c r="Y937" i="2"/>
  <c r="Y813" i="2"/>
  <c r="Y523" i="2"/>
  <c r="Z580" i="2"/>
  <c r="Z839" i="2"/>
  <c r="Z991" i="2"/>
  <c r="Z992" i="2"/>
  <c r="Y965" i="2"/>
  <c r="Y830" i="2"/>
  <c r="Y593" i="2"/>
  <c r="Z475" i="2"/>
  <c r="Z757" i="2"/>
  <c r="Y1320" i="2"/>
  <c r="Y1059" i="2"/>
  <c r="Y826" i="2"/>
  <c r="Z628" i="2"/>
  <c r="Y620" i="2"/>
  <c r="Y862" i="2"/>
  <c r="Y992" i="2"/>
  <c r="Y1162" i="2"/>
  <c r="Y188" i="2"/>
  <c r="Y505" i="2"/>
  <c r="Y525" i="2"/>
  <c r="Z600" i="2"/>
  <c r="Y840" i="2"/>
  <c r="Z987" i="2"/>
  <c r="Y963" i="2"/>
  <c r="Z847" i="2"/>
  <c r="Y975" i="2"/>
  <c r="Y973" i="2"/>
  <c r="Y507" i="2"/>
  <c r="Z568" i="2"/>
  <c r="Z564" i="2"/>
  <c r="Z592" i="2"/>
  <c r="Z616" i="2"/>
  <c r="Y1138" i="2"/>
  <c r="Z981" i="2"/>
  <c r="Z983" i="2"/>
  <c r="Z861" i="2"/>
  <c r="Z975" i="2"/>
  <c r="Y968" i="2"/>
  <c r="Z1148" i="2"/>
  <c r="Z1165" i="2"/>
  <c r="Z1166" i="2"/>
  <c r="Z1156" i="2"/>
  <c r="Z851" i="2"/>
  <c r="Z831" i="2"/>
  <c r="Y490" i="2"/>
  <c r="Y834" i="2"/>
  <c r="Y1141" i="2"/>
  <c r="Y629" i="2"/>
  <c r="Y573" i="2"/>
  <c r="Y581" i="2"/>
  <c r="Z561" i="2"/>
  <c r="Z613" i="2"/>
  <c r="Z515" i="2"/>
  <c r="Z471" i="2"/>
  <c r="Y463" i="2"/>
  <c r="Y822" i="2"/>
  <c r="Y591" i="2"/>
  <c r="Y1125" i="2"/>
  <c r="Y820" i="2"/>
  <c r="Y506" i="2"/>
  <c r="Y522" i="2"/>
  <c r="Y519" i="2"/>
  <c r="Z474" i="2"/>
  <c r="Z478" i="2"/>
  <c r="Z604" i="2"/>
  <c r="Z584" i="2"/>
  <c r="Y1137" i="2"/>
  <c r="Z858" i="2"/>
  <c r="Z853" i="2"/>
  <c r="Z1136" i="2"/>
  <c r="Z1159" i="2"/>
  <c r="Y964" i="2"/>
  <c r="Z829" i="2"/>
  <c r="Y966" i="2"/>
  <c r="Z1152" i="2"/>
  <c r="Y1140" i="2"/>
  <c r="Z985" i="2"/>
  <c r="Z965" i="2"/>
  <c r="Y462" i="2"/>
  <c r="Y1143" i="2"/>
  <c r="Y986" i="2"/>
  <c r="Z629" i="2"/>
  <c r="Y483" i="2"/>
  <c r="Y547" i="2"/>
  <c r="Z467" i="2"/>
  <c r="Z543" i="2"/>
  <c r="Z569" i="2"/>
  <c r="Z605" i="2"/>
  <c r="Y637" i="2"/>
  <c r="Y824" i="2"/>
  <c r="Y1234" i="2"/>
  <c r="Y1155" i="2"/>
  <c r="Y1156" i="2"/>
  <c r="Y1159" i="2"/>
  <c r="Y971" i="2"/>
  <c r="Y635" i="2"/>
  <c r="Z612" i="2"/>
  <c r="Z624" i="2"/>
  <c r="Z620" i="2"/>
  <c r="Y1134" i="2"/>
  <c r="Z1134" i="2"/>
  <c r="Z1137" i="2"/>
  <c r="Z828" i="2"/>
  <c r="Y995" i="2"/>
  <c r="Z994" i="2"/>
  <c r="Y1133" i="2"/>
  <c r="Z1133" i="2"/>
  <c r="Z1173" i="2"/>
  <c r="Z968" i="2"/>
  <c r="Y835" i="2"/>
  <c r="Z860" i="2"/>
  <c r="Y844" i="2"/>
  <c r="Y556" i="2"/>
  <c r="Y832" i="2"/>
  <c r="Y1151" i="2"/>
  <c r="Y455" i="2"/>
  <c r="Y621" i="2"/>
  <c r="Y577" i="2"/>
  <c r="Z511" i="2"/>
  <c r="Z625" i="2"/>
  <c r="Y526" i="2"/>
  <c r="Y850" i="2"/>
  <c r="Y446" i="2"/>
  <c r="Z530" i="2"/>
  <c r="Z514" i="2"/>
  <c r="Z518" i="2"/>
  <c r="Y839" i="2"/>
  <c r="Z862" i="2"/>
  <c r="Z1144" i="2"/>
  <c r="Z1157" i="2"/>
  <c r="Y838" i="2"/>
  <c r="Z995" i="2"/>
  <c r="Z1155" i="2"/>
  <c r="Z980" i="2"/>
  <c r="Z996" i="2"/>
  <c r="Z1162" i="2"/>
  <c r="Y970" i="2"/>
  <c r="Z857" i="2"/>
  <c r="Y843" i="2"/>
  <c r="Y981" i="2"/>
  <c r="Y978" i="2"/>
  <c r="Y1146" i="2"/>
  <c r="Y565" i="2"/>
  <c r="Y589" i="2"/>
  <c r="Y757" i="2"/>
  <c r="Z499" i="2"/>
  <c r="Z535" i="2"/>
  <c r="Z547" i="2"/>
  <c r="Z633" i="2"/>
  <c r="Y1118" i="2"/>
  <c r="Y477" i="2"/>
  <c r="Y309" i="2"/>
  <c r="Y818" i="2"/>
  <c r="Y579" i="2"/>
  <c r="Y1130" i="2"/>
  <c r="Y1064" i="2"/>
  <c r="Y454" i="2"/>
  <c r="Y564" i="2"/>
  <c r="Y852" i="2"/>
  <c r="Y1168" i="2"/>
  <c r="Y1166" i="2"/>
  <c r="Y297" i="2"/>
  <c r="Y517" i="2"/>
  <c r="Y811" i="2"/>
  <c r="Y814" i="2"/>
  <c r="Y974" i="2"/>
  <c r="Y502" i="2"/>
  <c r="Z446" i="2"/>
  <c r="Z608" i="2"/>
  <c r="Z498" i="2"/>
  <c r="Z538" i="2"/>
  <c r="Z984" i="2"/>
  <c r="Z852" i="2"/>
  <c r="Z830" i="2"/>
  <c r="Z848" i="2"/>
  <c r="Z850" i="2"/>
  <c r="Z832" i="2"/>
  <c r="Z990" i="2"/>
  <c r="Z1164" i="2"/>
  <c r="Z1131" i="2"/>
  <c r="Z844" i="2"/>
  <c r="Y969" i="2"/>
  <c r="Y967" i="2"/>
  <c r="Y756" i="2"/>
  <c r="Y1144" i="2"/>
  <c r="Y1153" i="2"/>
  <c r="Y985" i="2"/>
  <c r="Y617" i="2"/>
  <c r="Y597" i="2"/>
  <c r="Y447" i="2"/>
  <c r="Z551" i="2"/>
  <c r="Z491" i="2"/>
  <c r="Z565" i="2"/>
  <c r="Y487" i="2"/>
  <c r="Y571" i="2"/>
  <c r="Y611" i="2"/>
  <c r="Y1063" i="2"/>
  <c r="Y305" i="2"/>
  <c r="Y1126" i="2"/>
  <c r="Y563" i="2"/>
  <c r="Y958" i="2"/>
  <c r="Y596" i="2"/>
  <c r="Y546" i="2"/>
  <c r="Y1169" i="2"/>
  <c r="Y1170" i="2"/>
  <c r="Y860" i="2"/>
  <c r="Y1114" i="2"/>
  <c r="Y938" i="2"/>
  <c r="Y186" i="2"/>
  <c r="Y812" i="2"/>
  <c r="Y518" i="2"/>
  <c r="Y503" i="2"/>
  <c r="Z560" i="2"/>
  <c r="Z526" i="2"/>
  <c r="Z482" i="2"/>
  <c r="Z576" i="2"/>
  <c r="Z833" i="2"/>
  <c r="Z1169" i="2"/>
  <c r="Y993" i="2"/>
  <c r="Z834" i="2"/>
  <c r="Z988" i="2"/>
  <c r="Z971" i="2"/>
  <c r="Y996" i="2"/>
  <c r="Z1142" i="2"/>
  <c r="Z1158" i="2"/>
  <c r="Z1161" i="2"/>
  <c r="Z842" i="2"/>
  <c r="Z1150" i="2"/>
  <c r="Z632" i="2"/>
  <c r="Y987" i="2"/>
  <c r="Y829" i="2"/>
  <c r="Y984" i="2"/>
  <c r="Y601" i="2"/>
  <c r="Y569" i="2"/>
  <c r="Z609" i="2"/>
  <c r="Z507" i="2"/>
  <c r="Z527" i="2"/>
  <c r="Z495" i="2"/>
  <c r="Y557" i="2"/>
  <c r="Y308" i="2"/>
  <c r="Y851" i="2"/>
  <c r="Y527" i="2"/>
  <c r="Z486" i="2"/>
  <c r="Z588" i="2"/>
  <c r="Z490" i="2"/>
  <c r="Z542" i="2"/>
  <c r="Z967" i="2"/>
  <c r="Z859" i="2"/>
  <c r="Z846" i="2"/>
  <c r="Z856" i="2"/>
  <c r="Z1172" i="2"/>
  <c r="Z976" i="2"/>
  <c r="Y1131" i="2"/>
  <c r="Z1141" i="2"/>
  <c r="Z1168" i="2"/>
  <c r="Z972" i="2"/>
  <c r="Z974" i="2"/>
  <c r="Z970" i="2"/>
  <c r="Y486" i="2"/>
  <c r="Y828" i="2"/>
  <c r="Y980" i="2"/>
  <c r="Y833" i="2"/>
  <c r="Y613" i="2"/>
  <c r="Y459" i="2"/>
  <c r="Z459" i="2"/>
  <c r="Z557" i="2"/>
  <c r="Z589" i="2"/>
  <c r="Z577" i="2"/>
  <c r="Y491" i="2"/>
  <c r="Y1124" i="2"/>
  <c r="Y961" i="2"/>
  <c r="Y510" i="2"/>
  <c r="Y511" i="2"/>
  <c r="Z506" i="2"/>
  <c r="Z596" i="2"/>
  <c r="Z522" i="2"/>
  <c r="Z458" i="2"/>
  <c r="Z1139" i="2"/>
  <c r="Z836" i="2"/>
  <c r="Y1136" i="2"/>
  <c r="Z1154" i="2"/>
  <c r="Z841" i="2"/>
  <c r="Z1135" i="2"/>
  <c r="Z964" i="2"/>
  <c r="Z1174" i="2"/>
  <c r="Z997" i="2"/>
  <c r="Y842" i="2"/>
  <c r="Z1146" i="2"/>
  <c r="Z969" i="2"/>
  <c r="Y474" i="2"/>
  <c r="Y982" i="2"/>
  <c r="Y1142" i="2"/>
  <c r="Y1149" i="2"/>
  <c r="Y543" i="2"/>
  <c r="Y499" i="2"/>
  <c r="Z487" i="2"/>
  <c r="Z531" i="2"/>
  <c r="Z597" i="2"/>
  <c r="Z519" i="2"/>
  <c r="Y471" i="2"/>
  <c r="Y1123" i="2"/>
  <c r="Y590" i="2"/>
  <c r="Y558" i="2"/>
  <c r="Y1157" i="2"/>
  <c r="Y848" i="2"/>
  <c r="Y847" i="2"/>
  <c r="Y845" i="2"/>
  <c r="Y534" i="2"/>
  <c r="Y1154" i="2"/>
  <c r="Y846" i="2"/>
  <c r="Y977" i="2"/>
  <c r="Y972" i="2"/>
  <c r="Y976" i="2"/>
  <c r="Y552" i="2"/>
  <c r="Y606" i="2"/>
  <c r="Y520" i="2"/>
  <c r="Z582" i="2"/>
  <c r="Y512" i="2"/>
  <c r="Z578" i="2"/>
  <c r="Y598" i="2"/>
  <c r="Y468" i="2"/>
  <c r="Z574" i="2"/>
  <c r="Y594" i="2"/>
  <c r="Y456" i="2"/>
  <c r="Z540" i="2"/>
  <c r="Y452" i="2"/>
  <c r="Z536" i="2"/>
  <c r="Y586" i="2"/>
  <c r="Z634" i="2"/>
  <c r="Z520" i="2"/>
  <c r="Y562" i="2"/>
  <c r="Z626" i="2"/>
  <c r="Z516" i="2"/>
  <c r="Y602" i="2"/>
  <c r="Z622" i="2"/>
  <c r="Z512" i="2"/>
  <c r="Y548" i="2"/>
  <c r="Z606" i="2"/>
  <c r="Z496" i="2"/>
  <c r="Y544" i="2"/>
  <c r="Z594" i="2"/>
  <c r="Z452" i="2"/>
  <c r="Y540" i="2"/>
  <c r="Z590" i="2"/>
  <c r="Y536" i="2"/>
  <c r="Z586" i="2"/>
  <c r="Y634" i="2"/>
  <c r="Y582" i="2"/>
  <c r="Y516" i="2"/>
  <c r="Z618" i="2"/>
  <c r="Z570" i="2"/>
  <c r="Z492" i="2"/>
  <c r="Z614" i="2"/>
  <c r="Z566" i="2"/>
  <c r="Z480" i="2"/>
  <c r="Z558" i="2"/>
  <c r="Z468" i="2"/>
  <c r="Y614" i="2"/>
  <c r="Y566" i="2"/>
  <c r="Y480" i="2"/>
  <c r="Z548" i="2"/>
  <c r="Y626" i="2"/>
  <c r="Y578" i="2"/>
  <c r="Y622" i="2"/>
  <c r="Y574" i="2"/>
  <c r="Y496" i="2"/>
  <c r="Z610" i="2"/>
  <c r="Z562" i="2"/>
  <c r="Z476" i="2"/>
  <c r="Y618" i="2"/>
  <c r="Y570" i="2"/>
  <c r="Y492" i="2"/>
  <c r="Z602" i="2"/>
  <c r="Z456" i="2"/>
  <c r="Y610" i="2"/>
  <c r="Y476" i="2"/>
  <c r="Z598" i="2"/>
  <c r="Z544" i="2"/>
  <c r="Y690" i="2"/>
  <c r="Z400" i="2"/>
  <c r="Y402" i="2"/>
  <c r="Y1488" i="2"/>
  <c r="Y6" i="2"/>
  <c r="Z6" i="2"/>
  <c r="Y689" i="2"/>
  <c r="Y73" i="2"/>
  <c r="Z73" i="2"/>
  <c r="Y109" i="2"/>
  <c r="Z109" i="2"/>
  <c r="Y133" i="2"/>
  <c r="Z133" i="2"/>
  <c r="Y206" i="2"/>
  <c r="Z206" i="2"/>
  <c r="Y230" i="2"/>
  <c r="Z230" i="2"/>
  <c r="Y285" i="2"/>
  <c r="Z285" i="2"/>
  <c r="Y328" i="2"/>
  <c r="Z328" i="2"/>
  <c r="Y340" i="2"/>
  <c r="Z340" i="2"/>
  <c r="Y374" i="2"/>
  <c r="Z374" i="2"/>
  <c r="Y9" i="2"/>
  <c r="Z9" i="2"/>
  <c r="Y76" i="2"/>
  <c r="Z76" i="2"/>
  <c r="Y112" i="2"/>
  <c r="Z112" i="2"/>
  <c r="Y124" i="2"/>
  <c r="Z124" i="2"/>
  <c r="Y209" i="2"/>
  <c r="Z209" i="2"/>
  <c r="Y233" i="2"/>
  <c r="Z233" i="2"/>
  <c r="Y245" i="2"/>
  <c r="Z245" i="2"/>
  <c r="Y288" i="2"/>
  <c r="Z288" i="2"/>
  <c r="Y319" i="2"/>
  <c r="Z319" i="2"/>
  <c r="Y331" i="2"/>
  <c r="Z331" i="2"/>
  <c r="Y343" i="2"/>
  <c r="Z343" i="2"/>
  <c r="Y355" i="2"/>
  <c r="Z355" i="2"/>
  <c r="Y377" i="2"/>
  <c r="Z377" i="2"/>
  <c r="Y10" i="2"/>
  <c r="Z10" i="2"/>
  <c r="Z1245" i="2"/>
  <c r="Z1251" i="2"/>
  <c r="Z1249" i="2"/>
  <c r="Z1237" i="2"/>
  <c r="Z1250" i="2"/>
  <c r="Z1248" i="2"/>
  <c r="Z1246" i="2"/>
  <c r="Z1243" i="2"/>
  <c r="Z1242" i="2"/>
  <c r="Z1252" i="2"/>
  <c r="Z1241" i="2"/>
  <c r="Y1238" i="2"/>
  <c r="Y1237" i="2"/>
  <c r="Z1254" i="2"/>
  <c r="Z1238" i="2"/>
  <c r="Z1247" i="2"/>
  <c r="Z1236" i="2"/>
  <c r="Y1236" i="2"/>
  <c r="Z1240" i="2"/>
  <c r="Z1253" i="2"/>
  <c r="Z1239" i="2"/>
  <c r="Z1244" i="2"/>
  <c r="Y1235" i="2"/>
  <c r="Z1235" i="2"/>
  <c r="Z41" i="2"/>
  <c r="Z48" i="2"/>
  <c r="Y41" i="2"/>
  <c r="Z44" i="2"/>
  <c r="Y265" i="2"/>
  <c r="Z258" i="2"/>
  <c r="Z265" i="2"/>
  <c r="Y258" i="2"/>
  <c r="Z272" i="2"/>
  <c r="Z262" i="2"/>
  <c r="Y256" i="2"/>
  <c r="Z266" i="2"/>
  <c r="Z256" i="2"/>
  <c r="Z259" i="2"/>
  <c r="Z261" i="2"/>
  <c r="Z264" i="2"/>
  <c r="Z263" i="2"/>
  <c r="Z268" i="2"/>
  <c r="Z271" i="2"/>
  <c r="Z273" i="2"/>
  <c r="Z257" i="2"/>
  <c r="Z270" i="2"/>
  <c r="Z274" i="2"/>
  <c r="Y260" i="2"/>
  <c r="Z267" i="2"/>
  <c r="Z269" i="2"/>
  <c r="Z260" i="2"/>
  <c r="Y257" i="2"/>
  <c r="Z39" i="2"/>
  <c r="Y40" i="2"/>
  <c r="Z40" i="2"/>
  <c r="Y38" i="2"/>
  <c r="Z43" i="2"/>
  <c r="Y42" i="2"/>
  <c r="Z38" i="2"/>
  <c r="Z45" i="2"/>
  <c r="Z46" i="2"/>
  <c r="Z42" i="2"/>
  <c r="Z47" i="2"/>
  <c r="Y39" i="2"/>
  <c r="Y35" i="2"/>
  <c r="Z35" i="2"/>
  <c r="Y89" i="2"/>
  <c r="Z89" i="2"/>
  <c r="Y101" i="2"/>
  <c r="Z101" i="2"/>
  <c r="Z113" i="2"/>
  <c r="Y113" i="2"/>
  <c r="Y125" i="2"/>
  <c r="Z125" i="2"/>
  <c r="Y137" i="2"/>
  <c r="Z137" i="2"/>
  <c r="Y210" i="2"/>
  <c r="Z210" i="2"/>
  <c r="Y222" i="2"/>
  <c r="Z222" i="2"/>
  <c r="Y234" i="2"/>
  <c r="Z234" i="2"/>
  <c r="Y246" i="2"/>
  <c r="Z246" i="2"/>
  <c r="Y289" i="2"/>
  <c r="Z289" i="2"/>
  <c r="Y320" i="2"/>
  <c r="Z320" i="2"/>
  <c r="Y332" i="2"/>
  <c r="Z332" i="2"/>
  <c r="Y344" i="2"/>
  <c r="Z344" i="2"/>
  <c r="Y356" i="2"/>
  <c r="Z356" i="2"/>
  <c r="Y378" i="2"/>
  <c r="Z378" i="2"/>
  <c r="Y11" i="2"/>
  <c r="Z11" i="2"/>
  <c r="Y36" i="2"/>
  <c r="Z36" i="2"/>
  <c r="Y78" i="2"/>
  <c r="Z78" i="2"/>
  <c r="Y90" i="2"/>
  <c r="Z90" i="2"/>
  <c r="Z102" i="2"/>
  <c r="Y102" i="2"/>
  <c r="Y114" i="2"/>
  <c r="Z114" i="2"/>
  <c r="Y126" i="2"/>
  <c r="Z126" i="2"/>
  <c r="Y138" i="2"/>
  <c r="Z138" i="2"/>
  <c r="Y211" i="2"/>
  <c r="Z211" i="2"/>
  <c r="Y223" i="2"/>
  <c r="Z223" i="2"/>
  <c r="Y235" i="2"/>
  <c r="Z235" i="2"/>
  <c r="Y247" i="2"/>
  <c r="Z247" i="2"/>
  <c r="Y278" i="2"/>
  <c r="Z278" i="2"/>
  <c r="Y156" i="2"/>
  <c r="Y901" i="2"/>
  <c r="Y504" i="2"/>
  <c r="Y870" i="2"/>
  <c r="Y1407" i="2"/>
  <c r="Y1015" i="2"/>
  <c r="Y1433" i="2"/>
  <c r="Y59" i="2"/>
  <c r="Y1213" i="2"/>
  <c r="Y754" i="2"/>
  <c r="Y1018" i="2"/>
  <c r="Y57" i="2"/>
  <c r="Y404" i="2"/>
  <c r="Y1476" i="2"/>
  <c r="Y876" i="2"/>
  <c r="Y1212" i="2"/>
  <c r="Y1415" i="2"/>
  <c r="Y1215" i="2"/>
  <c r="Y1447" i="2"/>
  <c r="Y1014" i="2"/>
  <c r="Y1487" i="2"/>
  <c r="Y1409" i="2"/>
  <c r="Y500" i="2"/>
  <c r="Y1016" i="2"/>
  <c r="Y1074" i="2"/>
  <c r="Y24" i="2"/>
  <c r="Y1484" i="2"/>
  <c r="Y368" i="2"/>
  <c r="Y1483" i="2"/>
  <c r="Y896" i="2"/>
  <c r="Y1406" i="2"/>
  <c r="Y157" i="2"/>
  <c r="Y1017" i="2"/>
  <c r="Y367" i="2"/>
  <c r="Y1209" i="2"/>
  <c r="Y1205" i="2"/>
  <c r="Y159" i="2"/>
  <c r="Y160" i="2"/>
  <c r="Y1403" i="2"/>
  <c r="Y532" i="2"/>
  <c r="Y874" i="2"/>
  <c r="Y1491" i="2"/>
  <c r="Y1440" i="2"/>
  <c r="Y1012" i="2"/>
  <c r="Y1020" i="2"/>
  <c r="Y1479" i="2"/>
  <c r="Y1397" i="2"/>
  <c r="Y869" i="2"/>
  <c r="Y385" i="2"/>
  <c r="Y1211" i="2"/>
  <c r="Y155" i="2"/>
  <c r="Y524" i="2"/>
  <c r="Y871" i="2"/>
  <c r="Y428" i="2"/>
  <c r="Y1414" i="2"/>
  <c r="Y528" i="2"/>
  <c r="Y1210" i="2"/>
  <c r="Y1401" i="2"/>
  <c r="Y1413" i="2"/>
  <c r="Y1404" i="2"/>
  <c r="Y1208" i="2"/>
  <c r="Y1475" i="2"/>
  <c r="Y154" i="2"/>
  <c r="Y1400" i="2"/>
  <c r="Y1019" i="2"/>
  <c r="Y1402" i="2"/>
  <c r="Y1298" i="2"/>
  <c r="Y1416" i="2"/>
  <c r="Y60" i="2"/>
  <c r="Y872" i="2"/>
  <c r="Y158" i="2"/>
  <c r="Y58" i="2"/>
  <c r="Y877" i="2"/>
  <c r="Y1011" i="2"/>
  <c r="Y1445" i="2"/>
  <c r="Y1206" i="2"/>
  <c r="Y1430" i="2"/>
  <c r="Y898" i="2"/>
  <c r="Y873" i="2"/>
  <c r="Y25" i="2"/>
  <c r="Y875" i="2"/>
  <c r="Y508" i="2"/>
  <c r="Y1073" i="2"/>
  <c r="Y1207" i="2"/>
  <c r="Y23" i="2"/>
  <c r="Y1411" i="2"/>
  <c r="Y1412" i="2"/>
  <c r="Y1418" i="2"/>
  <c r="Y1013" i="2"/>
  <c r="Y1299" i="2"/>
  <c r="Y1214" i="2"/>
  <c r="Y1399" i="2"/>
  <c r="Y785" i="2"/>
  <c r="Y784" i="2"/>
  <c r="Y777" i="2"/>
  <c r="Y779" i="2"/>
  <c r="Y899" i="2"/>
  <c r="Y776" i="2"/>
  <c r="Y902" i="2"/>
  <c r="Y778" i="2"/>
  <c r="Y775" i="2"/>
  <c r="Y900" i="2"/>
  <c r="Y781" i="2"/>
  <c r="Y903" i="2"/>
  <c r="Y904" i="2"/>
  <c r="Y897" i="2"/>
  <c r="Y895" i="2"/>
  <c r="Y780" i="2"/>
  <c r="Y727" i="2"/>
  <c r="Y728" i="2"/>
  <c r="Y726" i="2"/>
  <c r="Y724" i="2"/>
  <c r="Y725" i="2"/>
  <c r="Y732" i="2"/>
  <c r="Y723" i="2"/>
  <c r="Y638" i="2"/>
  <c r="Y687" i="2"/>
  <c r="Y647" i="2"/>
  <c r="Y290" i="2"/>
  <c r="Z290" i="2"/>
  <c r="Y321" i="2"/>
  <c r="Z321" i="2"/>
  <c r="Z333" i="2"/>
  <c r="Y333" i="2"/>
  <c r="Y345" i="2"/>
  <c r="Z345" i="2"/>
  <c r="Y357" i="2"/>
  <c r="Z357" i="2"/>
  <c r="Z383" i="2"/>
  <c r="Z414" i="2"/>
  <c r="Y32" i="2"/>
  <c r="Z32" i="2"/>
  <c r="Y219" i="2"/>
  <c r="Z219" i="2"/>
  <c r="Y341" i="2"/>
  <c r="Z341" i="2"/>
  <c r="Y79" i="2"/>
  <c r="Z79" i="2"/>
  <c r="Y127" i="2"/>
  <c r="Z127" i="2"/>
  <c r="Y248" i="2"/>
  <c r="Z248" i="2"/>
  <c r="Y291" i="2"/>
  <c r="Z291" i="2"/>
  <c r="Y322" i="2"/>
  <c r="Z322" i="2"/>
  <c r="Y346" i="2"/>
  <c r="Z346" i="2"/>
  <c r="Y358" i="2"/>
  <c r="Z358" i="2"/>
  <c r="Y383" i="2"/>
  <c r="Y414" i="2"/>
  <c r="Y132" i="2"/>
  <c r="Z132" i="2"/>
  <c r="Y86" i="2"/>
  <c r="Z86" i="2"/>
  <c r="Y231" i="2"/>
  <c r="Z231" i="2"/>
  <c r="Y103" i="2"/>
  <c r="Z103" i="2"/>
  <c r="Z402" i="2"/>
  <c r="Z408" i="2"/>
  <c r="Z412" i="2"/>
  <c r="Y30" i="2"/>
  <c r="Z30" i="2"/>
  <c r="Y120" i="2"/>
  <c r="Z120" i="2"/>
  <c r="Y253" i="2"/>
  <c r="Z253" i="2"/>
  <c r="Y14" i="2"/>
  <c r="Z14" i="2"/>
  <c r="Y1251" i="2"/>
  <c r="Y1249" i="2"/>
  <c r="Y1243" i="2"/>
  <c r="Y1250" i="2"/>
  <c r="Y1248" i="2"/>
  <c r="Y1246" i="2"/>
  <c r="Y1242" i="2"/>
  <c r="Y1241" i="2"/>
  <c r="Y1247" i="2"/>
  <c r="Y1245" i="2"/>
  <c r="Y1240" i="2"/>
  <c r="Y1244" i="2"/>
  <c r="Y1239" i="2"/>
  <c r="Y48" i="2"/>
  <c r="Y266" i="2"/>
  <c r="Y261" i="2"/>
  <c r="Y263" i="2"/>
  <c r="Y264" i="2"/>
  <c r="Y262" i="2"/>
  <c r="Y47" i="2"/>
  <c r="Y45" i="2"/>
  <c r="Y46" i="2"/>
  <c r="Y408" i="2"/>
  <c r="Y412" i="2"/>
  <c r="Y97" i="2"/>
  <c r="Z97" i="2"/>
  <c r="Y242" i="2"/>
  <c r="Z242" i="2"/>
  <c r="Y1254" i="2"/>
  <c r="Y272" i="2"/>
  <c r="Y270" i="2"/>
  <c r="Y274" i="2"/>
  <c r="Y268" i="2"/>
  <c r="Y271" i="2"/>
  <c r="Y273" i="2"/>
  <c r="Y267" i="2"/>
  <c r="Y269" i="2"/>
  <c r="Y7" i="2"/>
  <c r="Z7" i="2"/>
  <c r="Y696" i="2"/>
  <c r="Y380" i="2"/>
  <c r="Y697" i="2"/>
  <c r="Y693" i="2"/>
  <c r="Y110" i="2"/>
  <c r="Z110" i="2"/>
  <c r="Y243" i="2"/>
  <c r="Z243" i="2"/>
  <c r="Y353" i="2"/>
  <c r="Z353" i="2"/>
  <c r="Y37" i="2"/>
  <c r="Z37" i="2"/>
  <c r="Y212" i="2"/>
  <c r="Z212" i="2"/>
  <c r="Y68" i="2"/>
  <c r="Z68" i="2"/>
  <c r="Y104" i="2"/>
  <c r="Z104" i="2"/>
  <c r="Y128" i="2"/>
  <c r="Z128" i="2"/>
  <c r="Y225" i="2"/>
  <c r="Z225" i="2"/>
  <c r="Y249" i="2"/>
  <c r="Z249" i="2"/>
  <c r="Y323" i="2"/>
  <c r="Z323" i="2"/>
  <c r="Y359" i="2"/>
  <c r="Z359" i="2"/>
  <c r="Z406" i="2"/>
  <c r="Y81" i="2"/>
  <c r="Z81" i="2"/>
  <c r="Y117" i="2"/>
  <c r="Z117" i="2"/>
  <c r="Y214" i="2"/>
  <c r="Z214" i="2"/>
  <c r="Y238" i="2"/>
  <c r="Z238" i="2"/>
  <c r="Y281" i="2"/>
  <c r="Z281" i="2"/>
  <c r="Y336" i="2"/>
  <c r="Z336" i="2"/>
  <c r="Y70" i="2"/>
  <c r="Z70" i="2"/>
  <c r="Y416" i="2"/>
  <c r="Y31" i="2"/>
  <c r="Z31" i="2"/>
  <c r="Y85" i="2"/>
  <c r="Z85" i="2"/>
  <c r="Y121" i="2"/>
  <c r="Z121" i="2"/>
  <c r="Y218" i="2"/>
  <c r="Z218" i="2"/>
  <c r="Y254" i="2"/>
  <c r="Z254" i="2"/>
  <c r="Y316" i="2"/>
  <c r="Z316" i="2"/>
  <c r="Y352" i="2"/>
  <c r="Z352" i="2"/>
  <c r="Y98" i="2"/>
  <c r="Z98" i="2"/>
  <c r="Y207" i="2"/>
  <c r="Z207" i="2"/>
  <c r="Y255" i="2"/>
  <c r="Z255" i="2"/>
  <c r="Y317" i="2"/>
  <c r="Z317" i="2"/>
  <c r="Y12" i="2"/>
  <c r="Z12" i="2"/>
  <c r="Y91" i="2"/>
  <c r="Z91" i="2"/>
  <c r="Y115" i="2"/>
  <c r="Z115" i="2"/>
  <c r="Y139" i="2"/>
  <c r="Z139" i="2"/>
  <c r="Y224" i="2"/>
  <c r="Z224" i="2"/>
  <c r="Y236" i="2"/>
  <c r="Z236" i="2"/>
  <c r="Y279" i="2"/>
  <c r="Z279" i="2"/>
  <c r="Y334" i="2"/>
  <c r="Z334" i="2"/>
  <c r="Y13" i="2"/>
  <c r="Z13" i="2"/>
  <c r="Y1252" i="2"/>
  <c r="Y1253" i="2"/>
  <c r="Y44" i="2"/>
  <c r="Y259" i="2"/>
  <c r="Y43" i="2"/>
  <c r="Y80" i="2"/>
  <c r="Z80" i="2"/>
  <c r="Y92" i="2"/>
  <c r="Z92" i="2"/>
  <c r="Y116" i="2"/>
  <c r="Z116" i="2"/>
  <c r="Y140" i="2"/>
  <c r="Z140" i="2"/>
  <c r="Y213" i="2"/>
  <c r="Z213" i="2"/>
  <c r="Y237" i="2"/>
  <c r="Z237" i="2"/>
  <c r="Y280" i="2"/>
  <c r="Z280" i="2"/>
  <c r="Y27" i="2"/>
  <c r="Y1038" i="2"/>
  <c r="Y1467" i="2"/>
  <c r="Y1474" i="2"/>
  <c r="Y1382" i="2"/>
  <c r="Y1363" i="2"/>
  <c r="Y1349" i="2"/>
  <c r="Y371" i="2"/>
  <c r="Y1022" i="2"/>
  <c r="Y1272" i="2"/>
  <c r="Y1175" i="2"/>
  <c r="Y1280" i="2"/>
  <c r="Y174" i="2"/>
  <c r="Y28" i="2"/>
  <c r="Y883" i="2"/>
  <c r="Y1437" i="2"/>
  <c r="Y1071" i="2"/>
  <c r="Y1471" i="2"/>
  <c r="Y1385" i="2"/>
  <c r="Y1438" i="2"/>
  <c r="Y1353" i="2"/>
  <c r="Y1472" i="2"/>
  <c r="Y1373" i="2"/>
  <c r="Y369" i="2"/>
  <c r="Y1294" i="2"/>
  <c r="Y1267" i="2"/>
  <c r="Y1182" i="2"/>
  <c r="Y1287" i="2"/>
  <c r="Y166" i="2"/>
  <c r="Y61" i="2"/>
  <c r="Y1026" i="2"/>
  <c r="Y1034" i="2"/>
  <c r="Y1069" i="2"/>
  <c r="Y880" i="2"/>
  <c r="Y879" i="2"/>
  <c r="Y169" i="2"/>
  <c r="Y1269" i="2"/>
  <c r="Y1371" i="2"/>
  <c r="Y1390" i="2"/>
  <c r="Y1443" i="2"/>
  <c r="Y1395" i="2"/>
  <c r="Y1367" i="2"/>
  <c r="Y372" i="2"/>
  <c r="Y1297" i="2"/>
  <c r="Y1266" i="2"/>
  <c r="Y1181" i="2"/>
  <c r="Y1279" i="2"/>
  <c r="Y173" i="2"/>
  <c r="Y63" i="2"/>
  <c r="Y1466" i="2"/>
  <c r="Y882" i="2"/>
  <c r="Y1350" i="2"/>
  <c r="Y167" i="2"/>
  <c r="Y1356" i="2"/>
  <c r="Y1376" i="2"/>
  <c r="Y1380" i="2"/>
  <c r="Y1394" i="2"/>
  <c r="Y1366" i="2"/>
  <c r="Y1288" i="2"/>
  <c r="Y1295" i="2"/>
  <c r="Y1268" i="2"/>
  <c r="Y906" i="2"/>
  <c r="Y1278" i="2"/>
  <c r="Y1036" i="2"/>
  <c r="Y1032" i="2"/>
  <c r="Y1037" i="2"/>
  <c r="Y1276" i="2"/>
  <c r="Y1284" i="2"/>
  <c r="Y881" i="2"/>
  <c r="Y1023" i="2"/>
  <c r="Y67" i="2"/>
  <c r="Y1028" i="2"/>
  <c r="Y1428" i="2"/>
  <c r="Y29" i="2"/>
  <c r="Y1486" i="2"/>
  <c r="Y1361" i="2"/>
  <c r="Y1352" i="2"/>
  <c r="Y1388" i="2"/>
  <c r="Y1293" i="2"/>
  <c r="Y1289" i="2"/>
  <c r="Y1274" i="2"/>
  <c r="Y168" i="2"/>
  <c r="Y1285" i="2"/>
  <c r="Y172" i="2"/>
  <c r="Y885" i="2"/>
  <c r="Y1029" i="2"/>
  <c r="Y1473" i="2"/>
  <c r="Y1365" i="2"/>
  <c r="Y1291" i="2"/>
  <c r="Y64" i="2"/>
  <c r="Y164" i="2"/>
  <c r="Y1436" i="2"/>
  <c r="Y1283" i="2"/>
  <c r="Y1184" i="2"/>
  <c r="Y171" i="2"/>
  <c r="Y161" i="2"/>
  <c r="Y1384" i="2"/>
  <c r="Y1348" i="2"/>
  <c r="Y1379" i="2"/>
  <c r="Y1439" i="2"/>
  <c r="Y488" i="2"/>
  <c r="Y1292" i="2"/>
  <c r="Y1271" i="2"/>
  <c r="Y1177" i="2"/>
  <c r="Y62" i="2"/>
  <c r="Y1281" i="2"/>
  <c r="Y1030" i="2"/>
  <c r="Y878" i="2"/>
  <c r="Y1370" i="2"/>
  <c r="Y1351" i="2"/>
  <c r="Y460" i="2"/>
  <c r="Y1180" i="2"/>
  <c r="Y1031" i="2"/>
  <c r="Y484" i="2"/>
  <c r="Y1183" i="2"/>
  <c r="Y554" i="2"/>
  <c r="Y1277" i="2"/>
  <c r="Y165" i="2"/>
  <c r="Y1387" i="2"/>
  <c r="Y1383" i="2"/>
  <c r="Y1375" i="2"/>
  <c r="Y1392" i="2"/>
  <c r="Y26" i="2"/>
  <c r="Y472" i="2"/>
  <c r="Y1025" i="2"/>
  <c r="Y1290" i="2"/>
  <c r="Y1179" i="2"/>
  <c r="Y1264" i="2"/>
  <c r="Y1286" i="2"/>
  <c r="Y1072" i="2"/>
  <c r="Y1027" i="2"/>
  <c r="Y162" i="2"/>
  <c r="Y1273" i="2"/>
  <c r="Y170" i="2"/>
  <c r="Y1389" i="2"/>
  <c r="Y1372" i="2"/>
  <c r="Y1368" i="2"/>
  <c r="Y1360" i="2"/>
  <c r="Y1364" i="2"/>
  <c r="Y1377" i="2"/>
  <c r="Y464" i="2"/>
  <c r="Y1296" i="2"/>
  <c r="Y1275" i="2"/>
  <c r="Y1176" i="2"/>
  <c r="Y1265" i="2"/>
  <c r="Y1263" i="2"/>
  <c r="Y65" i="2"/>
  <c r="Y1033" i="2"/>
  <c r="Y1355" i="2"/>
  <c r="Y1024" i="2"/>
  <c r="Y1035" i="2"/>
  <c r="Y1358" i="2"/>
  <c r="Y1354" i="2"/>
  <c r="Y1347" i="2"/>
  <c r="Y1391" i="2"/>
  <c r="Y1359" i="2"/>
  <c r="Y370" i="2"/>
  <c r="Y1021" i="2"/>
  <c r="Y1270" i="2"/>
  <c r="Y1178" i="2"/>
  <c r="Y1282" i="2"/>
  <c r="Y66" i="2"/>
  <c r="Y884" i="2"/>
  <c r="Y1070" i="2"/>
  <c r="Y1378" i="2"/>
  <c r="Y1485" i="2"/>
  <c r="Y163" i="2"/>
  <c r="Y759" i="2"/>
  <c r="Y788" i="2"/>
  <c r="Y907" i="2"/>
  <c r="Y915" i="2"/>
  <c r="Y912" i="2"/>
  <c r="Y761" i="2"/>
  <c r="Y760" i="2"/>
  <c r="Y914" i="2"/>
  <c r="Y913" i="2"/>
  <c r="Y758" i="2"/>
  <c r="Y764" i="2"/>
  <c r="Y783" i="2"/>
  <c r="Y916" i="2"/>
  <c r="Y905" i="2"/>
  <c r="Y909" i="2"/>
  <c r="Y911" i="2"/>
  <c r="Y763" i="2"/>
  <c r="Y786" i="2"/>
  <c r="Y908" i="2"/>
  <c r="Y762" i="2"/>
  <c r="Y782" i="2"/>
  <c r="Y910" i="2"/>
  <c r="Y720" i="2"/>
  <c r="Y718" i="2"/>
  <c r="Y716" i="2"/>
  <c r="Y731" i="2"/>
  <c r="Y711" i="2"/>
  <c r="Y750" i="2"/>
  <c r="Y734" i="2"/>
  <c r="Y722" i="2"/>
  <c r="Y721" i="2"/>
  <c r="Y749" i="2"/>
  <c r="Y717" i="2"/>
  <c r="Y715" i="2"/>
  <c r="Y710" i="2"/>
  <c r="Y712" i="2"/>
  <c r="Y752" i="2"/>
  <c r="Y713" i="2"/>
  <c r="Y719" i="2"/>
  <c r="Y733" i="2"/>
  <c r="Y714" i="2"/>
  <c r="Y751" i="2"/>
  <c r="Y753" i="2"/>
  <c r="Y650" i="2"/>
  <c r="Y422" i="2"/>
  <c r="Y420" i="2"/>
  <c r="Y684" i="2"/>
  <c r="Y426" i="2"/>
  <c r="Y653" i="2"/>
  <c r="Y652" i="2"/>
  <c r="Y418" i="2"/>
  <c r="Y651" i="2"/>
  <c r="Y424" i="2"/>
  <c r="Y630" i="2"/>
  <c r="Y292" i="2"/>
  <c r="Z292" i="2"/>
  <c r="Z335" i="2"/>
  <c r="Y335" i="2"/>
  <c r="Y347" i="2"/>
  <c r="Z347" i="2"/>
  <c r="Y379" i="2"/>
  <c r="Z379" i="2"/>
  <c r="Y69" i="2"/>
  <c r="Z69" i="2"/>
  <c r="Y93" i="2"/>
  <c r="Z93" i="2"/>
  <c r="Y105" i="2"/>
  <c r="Z105" i="2"/>
  <c r="Y129" i="2"/>
  <c r="Z129" i="2"/>
  <c r="Y141" i="2"/>
  <c r="Z141" i="2"/>
  <c r="Y226" i="2"/>
  <c r="Z226" i="2"/>
  <c r="Y250" i="2"/>
  <c r="Z250" i="2"/>
  <c r="Y293" i="2"/>
  <c r="Z293" i="2"/>
  <c r="Y324" i="2"/>
  <c r="Z324" i="2"/>
  <c r="Y348" i="2"/>
  <c r="Z348" i="2"/>
  <c r="Y360" i="2"/>
  <c r="Z360" i="2"/>
  <c r="Y406" i="2"/>
  <c r="Y1492" i="2"/>
  <c r="Y1480" i="2"/>
  <c r="Y1468" i="2"/>
  <c r="Y1456" i="2"/>
  <c r="Y1444" i="2"/>
  <c r="Y1432" i="2"/>
  <c r="Y1420" i="2"/>
  <c r="Y1408" i="2"/>
  <c r="Y1396" i="2"/>
  <c r="Y1490" i="2"/>
  <c r="Y1478" i="2"/>
  <c r="Y1489" i="2"/>
  <c r="Y1477" i="2"/>
  <c r="Y1465" i="2"/>
  <c r="Y1453" i="2"/>
  <c r="Y1441" i="2"/>
  <c r="Y1429" i="2"/>
  <c r="Y1417" i="2"/>
  <c r="Y1405" i="2"/>
  <c r="Y1393" i="2"/>
  <c r="Y1381" i="2"/>
  <c r="Y1369" i="2"/>
  <c r="Y1357" i="2"/>
  <c r="Y1345" i="2"/>
  <c r="Y1333" i="2"/>
  <c r="Y1321" i="2"/>
  <c r="Y1482" i="2"/>
  <c r="Y1470" i="2"/>
  <c r="Y1458" i="2"/>
  <c r="Y1446" i="2"/>
  <c r="Y1434" i="2"/>
  <c r="Y1422" i="2"/>
  <c r="Y1410" i="2"/>
  <c r="Y1398" i="2"/>
  <c r="Y1386" i="2"/>
  <c r="Y1374" i="2"/>
  <c r="Y1362" i="2"/>
  <c r="Y1481" i="2"/>
  <c r="Y1469" i="2"/>
  <c r="Y1457" i="2"/>
  <c r="Y3" i="2"/>
  <c r="Z3" i="2"/>
  <c r="Z693" i="2"/>
  <c r="Z689" i="2"/>
  <c r="Z696" i="2"/>
  <c r="Y688" i="2"/>
  <c r="Y691" i="2"/>
  <c r="Z688" i="2"/>
  <c r="Z691" i="2"/>
  <c r="Y695" i="2"/>
  <c r="Z695" i="2"/>
  <c r="Z380" i="2"/>
  <c r="Y692" i="2"/>
  <c r="Y694" i="2"/>
  <c r="Z692" i="2"/>
  <c r="Z694" i="2"/>
  <c r="Z690" i="2"/>
  <c r="Y698" i="2"/>
  <c r="Z697" i="2"/>
  <c r="Z698" i="2"/>
  <c r="Y15" i="2"/>
  <c r="Z15" i="2"/>
  <c r="Y82" i="2"/>
  <c r="Z82" i="2"/>
  <c r="Y94" i="2"/>
  <c r="Z94" i="2"/>
  <c r="Y106" i="2"/>
  <c r="Z106" i="2"/>
  <c r="Y118" i="2"/>
  <c r="Z118" i="2"/>
  <c r="Y130" i="2"/>
  <c r="Z130" i="2"/>
  <c r="Y142" i="2"/>
  <c r="Z142" i="2"/>
  <c r="Y215" i="2"/>
  <c r="Z215" i="2"/>
  <c r="Y227" i="2"/>
  <c r="Z227" i="2"/>
  <c r="Y239" i="2"/>
  <c r="Z239" i="2"/>
  <c r="Y251" i="2"/>
  <c r="Z251" i="2"/>
  <c r="Y282" i="2"/>
  <c r="Z282" i="2"/>
  <c r="Y313" i="2"/>
  <c r="Z313" i="2"/>
  <c r="Y325" i="2"/>
  <c r="Z325" i="2"/>
  <c r="Y337" i="2"/>
  <c r="Z337" i="2"/>
  <c r="Y349" i="2"/>
  <c r="Z349" i="2"/>
  <c r="Y361" i="2"/>
  <c r="Z361" i="2"/>
  <c r="Y381" i="2"/>
  <c r="Z381" i="2"/>
  <c r="Y4" i="2"/>
  <c r="Z4" i="2"/>
  <c r="Y16" i="2"/>
  <c r="Z16" i="2"/>
  <c r="Y71" i="2"/>
  <c r="Z71" i="2"/>
  <c r="Y83" i="2"/>
  <c r="Z83" i="2"/>
  <c r="Y95" i="2"/>
  <c r="Z95" i="2"/>
  <c r="Y107" i="2"/>
  <c r="Z107" i="2"/>
  <c r="Y119" i="2"/>
  <c r="Z119" i="2"/>
  <c r="Y131" i="2"/>
  <c r="Z131" i="2"/>
  <c r="Y204" i="2"/>
  <c r="Z204" i="2"/>
  <c r="Y216" i="2"/>
  <c r="Z216" i="2"/>
  <c r="Y228" i="2"/>
  <c r="Z228" i="2"/>
  <c r="Y240" i="2"/>
  <c r="Z240" i="2"/>
  <c r="Y252" i="2"/>
  <c r="Z252" i="2"/>
  <c r="Y283" i="2"/>
  <c r="Z283" i="2"/>
  <c r="Y314" i="2"/>
  <c r="Z314" i="2"/>
  <c r="Y326" i="2"/>
  <c r="Z326" i="2"/>
  <c r="Y338" i="2"/>
  <c r="Z338" i="2"/>
  <c r="Y350" i="2"/>
  <c r="Z350" i="2"/>
  <c r="Y362" i="2"/>
  <c r="Z362" i="2"/>
  <c r="Y382" i="2"/>
  <c r="Z382" i="2"/>
  <c r="Z416" i="2"/>
  <c r="Y84" i="2"/>
  <c r="Z84" i="2"/>
  <c r="Y217" i="2"/>
  <c r="Z217" i="2"/>
  <c r="Y339" i="2"/>
  <c r="Z339" i="2"/>
  <c r="Z392" i="2"/>
  <c r="Z394" i="2"/>
  <c r="Y392" i="2"/>
  <c r="Y394" i="2"/>
  <c r="Y74" i="2"/>
  <c r="Z74" i="2"/>
  <c r="Y286" i="2"/>
  <c r="Z286" i="2"/>
  <c r="Y1300" i="2"/>
  <c r="Y1216" i="2"/>
  <c r="Y1041" i="2"/>
  <c r="Y1039" i="2"/>
  <c r="Y1044" i="2"/>
  <c r="Y1042" i="2"/>
  <c r="Y1043" i="2"/>
  <c r="Y1040" i="2"/>
  <c r="Y1075" i="2"/>
  <c r="Y792" i="2"/>
  <c r="Y919" i="2"/>
  <c r="Y790" i="2"/>
  <c r="Y925" i="2"/>
  <c r="Y917" i="2"/>
  <c r="Y791" i="2"/>
  <c r="Y789" i="2"/>
  <c r="Y918" i="2"/>
  <c r="Y729" i="2"/>
  <c r="Y743" i="2"/>
  <c r="Y737" i="2"/>
  <c r="Y740" i="2"/>
  <c r="Y735" i="2"/>
  <c r="Y730" i="2"/>
  <c r="Y736" i="2"/>
  <c r="Y739" i="2"/>
  <c r="Y741" i="2"/>
  <c r="Y738" i="2"/>
  <c r="Z375" i="2"/>
  <c r="Y375" i="2"/>
  <c r="Y396" i="2"/>
  <c r="Z386" i="2"/>
  <c r="Z398" i="2"/>
  <c r="Z390" i="2"/>
  <c r="Y72" i="2"/>
  <c r="Z72" i="2"/>
  <c r="Y96" i="2"/>
  <c r="Z96" i="2"/>
  <c r="Y108" i="2"/>
  <c r="Z108" i="2"/>
  <c r="Y205" i="2"/>
  <c r="Z205" i="2"/>
  <c r="Y229" i="2"/>
  <c r="Z229" i="2"/>
  <c r="Y241" i="2"/>
  <c r="Z241" i="2"/>
  <c r="Y284" i="2"/>
  <c r="Z284" i="2"/>
  <c r="Y315" i="2"/>
  <c r="Z315" i="2"/>
  <c r="Y327" i="2"/>
  <c r="Z327" i="2"/>
  <c r="Y351" i="2"/>
  <c r="Z351" i="2"/>
  <c r="Y373" i="2"/>
  <c r="Z373" i="2"/>
  <c r="Y122" i="2"/>
  <c r="Z122" i="2"/>
  <c r="Y8" i="2"/>
  <c r="Z8" i="2"/>
  <c r="Y111" i="2"/>
  <c r="Z111" i="2"/>
  <c r="Y232" i="2"/>
  <c r="Z232" i="2"/>
  <c r="Y342" i="2"/>
  <c r="Z342" i="2"/>
  <c r="Z396" i="2"/>
  <c r="Y386" i="2"/>
  <c r="Y398" i="2"/>
  <c r="Y390" i="2"/>
  <c r="Y5" i="2"/>
  <c r="Z5" i="2"/>
  <c r="Y88" i="2"/>
  <c r="Z88" i="2"/>
  <c r="Z388" i="2"/>
  <c r="Z410" i="2"/>
  <c r="Y134" i="2"/>
  <c r="Z134" i="2"/>
  <c r="Y329" i="2"/>
  <c r="Z329" i="2"/>
  <c r="Y33" i="2"/>
  <c r="Z33" i="2"/>
  <c r="Y75" i="2"/>
  <c r="Z75" i="2"/>
  <c r="Y87" i="2"/>
  <c r="Z87" i="2"/>
  <c r="Y99" i="2"/>
  <c r="Z99" i="2"/>
  <c r="Y123" i="2"/>
  <c r="Z123" i="2"/>
  <c r="Y135" i="2"/>
  <c r="Z135" i="2"/>
  <c r="Y208" i="2"/>
  <c r="Z208" i="2"/>
  <c r="Y220" i="2"/>
  <c r="Z220" i="2"/>
  <c r="Y244" i="2"/>
  <c r="Z244" i="2"/>
  <c r="Y275" i="2"/>
  <c r="Z275" i="2"/>
  <c r="Z1043" i="2"/>
  <c r="Z1035" i="2"/>
  <c r="Z884" i="2"/>
  <c r="Y1342" i="2"/>
  <c r="Y1330" i="2"/>
  <c r="Y1346" i="2"/>
  <c r="Z1353" i="2"/>
  <c r="Z1388" i="2"/>
  <c r="Z1435" i="2"/>
  <c r="Y1338" i="2"/>
  <c r="Z1350" i="2"/>
  <c r="Z1409" i="2"/>
  <c r="Z1468" i="2"/>
  <c r="Z1390" i="2"/>
  <c r="Z1465" i="2"/>
  <c r="Z1395" i="2"/>
  <c r="Z1345" i="2"/>
  <c r="Z1337" i="2"/>
  <c r="Z1475" i="2"/>
  <c r="Z1382" i="2"/>
  <c r="Z1330" i="2"/>
  <c r="Z1331" i="2"/>
  <c r="Z460" i="2"/>
  <c r="Z404" i="2"/>
  <c r="Z365" i="2"/>
  <c r="Z1008" i="2"/>
  <c r="Z1003" i="2"/>
  <c r="Y1007" i="2"/>
  <c r="Y1258" i="2"/>
  <c r="Z1257" i="2"/>
  <c r="Y1260" i="2"/>
  <c r="Z1184" i="2"/>
  <c r="Y1192" i="2"/>
  <c r="Z1200" i="2"/>
  <c r="Z1178" i="2"/>
  <c r="Z1187" i="2"/>
  <c r="Z23" i="2"/>
  <c r="Y50" i="2"/>
  <c r="Y1261" i="2"/>
  <c r="Z1285" i="2"/>
  <c r="Z1216" i="2"/>
  <c r="Y148" i="2"/>
  <c r="Z1026" i="2"/>
  <c r="Z1041" i="2"/>
  <c r="Z21" i="2"/>
  <c r="Z1410" i="2"/>
  <c r="Z1440" i="2"/>
  <c r="Z1002" i="2"/>
  <c r="Z67" i="2"/>
  <c r="Z150" i="2"/>
  <c r="Z1436" i="2"/>
  <c r="Z1394" i="2"/>
  <c r="Z1193" i="2"/>
  <c r="Y151" i="2"/>
  <c r="Z27" i="2"/>
  <c r="Y144" i="2"/>
  <c r="Y51" i="2"/>
  <c r="Z146" i="2"/>
  <c r="Z28" i="2"/>
  <c r="Z170" i="2"/>
  <c r="Y865" i="2"/>
  <c r="Z883" i="2"/>
  <c r="Y1329" i="2"/>
  <c r="Y1327" i="2"/>
  <c r="Z1486" i="2"/>
  <c r="Z1341" i="2"/>
  <c r="Z1376" i="2"/>
  <c r="Z1423" i="2"/>
  <c r="Z1482" i="2"/>
  <c r="Z1338" i="2"/>
  <c r="Y1426" i="2"/>
  <c r="Z1451" i="2"/>
  <c r="Z1370" i="2"/>
  <c r="Z1443" i="2"/>
  <c r="Z1379" i="2"/>
  <c r="Z1323" i="2"/>
  <c r="Z1441" i="2"/>
  <c r="Z1419" i="2"/>
  <c r="Z1334" i="2"/>
  <c r="Z1325" i="2"/>
  <c r="Z1373" i="2"/>
  <c r="Z484" i="2"/>
  <c r="Y365" i="2"/>
  <c r="Z372" i="2"/>
  <c r="Z1009" i="2"/>
  <c r="Z1006" i="2"/>
  <c r="Y1006" i="2"/>
  <c r="Y998" i="2"/>
  <c r="Z1290" i="2"/>
  <c r="Z1268" i="2"/>
  <c r="Z1214" i="2"/>
  <c r="Y1195" i="2"/>
  <c r="Z1189" i="2"/>
  <c r="Z1207" i="2"/>
  <c r="Y863" i="2"/>
  <c r="Z168" i="2"/>
  <c r="Z50" i="2"/>
  <c r="Z1264" i="2"/>
  <c r="Z1283" i="2"/>
  <c r="Y153" i="2"/>
  <c r="Y49" i="2"/>
  <c r="Z1408" i="2"/>
  <c r="Y1010" i="2"/>
  <c r="Z165" i="2"/>
  <c r="Y1343" i="2"/>
  <c r="Z1393" i="2"/>
  <c r="Z1293" i="2"/>
  <c r="Y22" i="2"/>
  <c r="Y53" i="2"/>
  <c r="Z51" i="2"/>
  <c r="Y56" i="2"/>
  <c r="Z1036" i="2"/>
  <c r="Z61" i="2"/>
  <c r="Z1042" i="2"/>
  <c r="Z865" i="2"/>
  <c r="Y1463" i="2"/>
  <c r="Y1442" i="2"/>
  <c r="Z1473" i="2"/>
  <c r="Z1329" i="2"/>
  <c r="Z1364" i="2"/>
  <c r="Z1411" i="2"/>
  <c r="Z1470" i="2"/>
  <c r="Z1326" i="2"/>
  <c r="Y1324" i="2"/>
  <c r="Z1429" i="2"/>
  <c r="Y1419" i="2"/>
  <c r="Z1426" i="2"/>
  <c r="Z1359" i="2"/>
  <c r="Z1456" i="2"/>
  <c r="Z1396" i="2"/>
  <c r="Z1380" i="2"/>
  <c r="Z874" i="2"/>
  <c r="Z1381" i="2"/>
  <c r="Z488" i="2"/>
  <c r="Z504" i="2"/>
  <c r="Z368" i="2"/>
  <c r="Y366" i="2"/>
  <c r="Z1010" i="2"/>
  <c r="Z1005" i="2"/>
  <c r="Y1003" i="2"/>
  <c r="Y1004" i="2"/>
  <c r="Z1275" i="2"/>
  <c r="Z1260" i="2"/>
  <c r="Y1204" i="2"/>
  <c r="Y1200" i="2"/>
  <c r="Z1190" i="2"/>
  <c r="Y1187" i="2"/>
  <c r="Z863" i="2"/>
  <c r="Z57" i="2"/>
  <c r="Y52" i="2"/>
  <c r="Z1261" i="2"/>
  <c r="Z1278" i="2"/>
  <c r="Z153" i="2"/>
  <c r="Z1212" i="2"/>
  <c r="Y147" i="2"/>
  <c r="Z880" i="2"/>
  <c r="Z49" i="2"/>
  <c r="Z878" i="2"/>
  <c r="Z1040" i="2"/>
  <c r="Z1448" i="2"/>
  <c r="Z1415" i="2"/>
  <c r="Z363" i="2"/>
  <c r="Z1180" i="2"/>
  <c r="Z1030" i="2"/>
  <c r="Z1483" i="2"/>
  <c r="Y1326" i="2"/>
  <c r="Y1201" i="2"/>
  <c r="Z53" i="2"/>
  <c r="Z173" i="2"/>
  <c r="Y1065" i="2"/>
  <c r="Z56" i="2"/>
  <c r="Z160" i="2"/>
  <c r="Z63" i="2"/>
  <c r="Z1033" i="2"/>
  <c r="Y1450" i="2"/>
  <c r="Y1341" i="2"/>
  <c r="Y1325" i="2"/>
  <c r="Z1461" i="2"/>
  <c r="Y1340" i="2"/>
  <c r="Z1352" i="2"/>
  <c r="Z1399" i="2"/>
  <c r="Z1458" i="2"/>
  <c r="Z870" i="2"/>
  <c r="Z1492" i="2"/>
  <c r="Z1407" i="2"/>
  <c r="Z1489" i="2"/>
  <c r="Z1404" i="2"/>
  <c r="Z1343" i="2"/>
  <c r="Z1403" i="2"/>
  <c r="Z1358" i="2"/>
  <c r="Z1420" i="2"/>
  <c r="Z1463" i="2"/>
  <c r="Z1480" i="2"/>
  <c r="Z532" i="2"/>
  <c r="Z528" i="2"/>
  <c r="Z370" i="2"/>
  <c r="Z366" i="2"/>
  <c r="Z1014" i="2"/>
  <c r="Z1024" i="2"/>
  <c r="Y1002" i="2"/>
  <c r="Z1000" i="2"/>
  <c r="Z1267" i="2"/>
  <c r="Y1191" i="2"/>
  <c r="Z1191" i="2"/>
  <c r="Y1189" i="2"/>
  <c r="Z1197" i="2"/>
  <c r="Z1206" i="2"/>
  <c r="Z896" i="2"/>
  <c r="Z158" i="2"/>
  <c r="Y55" i="2"/>
  <c r="Y1262" i="2"/>
  <c r="Y1255" i="2"/>
  <c r="Z174" i="2"/>
  <c r="Z1034" i="2"/>
  <c r="Z882" i="2"/>
  <c r="Z1075" i="2"/>
  <c r="Y866" i="2"/>
  <c r="Y1331" i="2"/>
  <c r="Y1462" i="2"/>
  <c r="Z1430" i="2"/>
  <c r="Z1348" i="2"/>
  <c r="Z1361" i="2"/>
  <c r="Z1378" i="2"/>
  <c r="Z369" i="2"/>
  <c r="Y1009" i="2"/>
  <c r="Z1018" i="2"/>
  <c r="Z1186" i="2"/>
  <c r="Y1202" i="2"/>
  <c r="Z64" i="2"/>
  <c r="Z1067" i="2"/>
  <c r="Y1455" i="2"/>
  <c r="Z1490" i="2"/>
  <c r="Z1366" i="2"/>
  <c r="Z1294" i="2"/>
  <c r="Z1204" i="2"/>
  <c r="Z881" i="2"/>
  <c r="Z1072" i="2"/>
  <c r="Y1322" i="2"/>
  <c r="Z1467" i="2"/>
  <c r="Z1346" i="2"/>
  <c r="Z999" i="2"/>
  <c r="Z1196" i="2"/>
  <c r="Y152" i="2"/>
  <c r="Z26" i="2"/>
  <c r="Z1065" i="2"/>
  <c r="Z161" i="2"/>
  <c r="Z1044" i="2"/>
  <c r="Y1435" i="2"/>
  <c r="Y1328" i="2"/>
  <c r="Y1459" i="2"/>
  <c r="Z1449" i="2"/>
  <c r="Z1484" i="2"/>
  <c r="Z1340" i="2"/>
  <c r="Z1387" i="2"/>
  <c r="Z1446" i="2"/>
  <c r="Y1460" i="2"/>
  <c r="Z1474" i="2"/>
  <c r="Z1391" i="2"/>
  <c r="Z1466" i="2"/>
  <c r="Z1384" i="2"/>
  <c r="Z1476" i="2"/>
  <c r="Z1453" i="2"/>
  <c r="Z1336" i="2"/>
  <c r="Z1349" i="2"/>
  <c r="Z1356" i="2"/>
  <c r="Z1479" i="2"/>
  <c r="Z552" i="2"/>
  <c r="Z472" i="2"/>
  <c r="Z364" i="2"/>
  <c r="Z1292" i="2"/>
  <c r="Z1291" i="2"/>
  <c r="Z1025" i="2"/>
  <c r="Z1289" i="2"/>
  <c r="Z1001" i="2"/>
  <c r="Y1257" i="2"/>
  <c r="Z1183" i="2"/>
  <c r="Z1209" i="2"/>
  <c r="Y1190" i="2"/>
  <c r="Z1205" i="2"/>
  <c r="Y1203" i="2"/>
  <c r="Z708" i="2"/>
  <c r="Z62" i="2"/>
  <c r="Z55" i="2"/>
  <c r="Z1265" i="2"/>
  <c r="Z1277" i="2"/>
  <c r="Y1067" i="2"/>
  <c r="Y1068" i="2"/>
  <c r="Z24" i="2"/>
  <c r="Z879" i="2"/>
  <c r="Y1066" i="2"/>
  <c r="Z156" i="2"/>
  <c r="Z1073" i="2"/>
  <c r="Y1423" i="2"/>
  <c r="Z1425" i="2"/>
  <c r="Z1363" i="2"/>
  <c r="Y1427" i="2"/>
  <c r="Z1432" i="2"/>
  <c r="Z1347" i="2"/>
  <c r="Y143" i="2"/>
  <c r="Y1005" i="2"/>
  <c r="Z1015" i="2"/>
  <c r="Y1193" i="2"/>
  <c r="Z906" i="2"/>
  <c r="Z1282" i="2"/>
  <c r="Z1255" i="2"/>
  <c r="Z1071" i="2"/>
  <c r="Y1449" i="2"/>
  <c r="Z1351" i="2"/>
  <c r="Z1405" i="2"/>
  <c r="Z145" i="2"/>
  <c r="Z1016" i="2"/>
  <c r="Z20" i="2"/>
  <c r="Z1039" i="2"/>
  <c r="Z1339" i="2"/>
  <c r="Z1385" i="2"/>
  <c r="Z1478" i="2"/>
  <c r="Z1022" i="2"/>
  <c r="Z1215" i="2"/>
  <c r="Z172" i="2"/>
  <c r="Y150" i="2"/>
  <c r="Z1074" i="2"/>
  <c r="Z159" i="2"/>
  <c r="Z885" i="2"/>
  <c r="Z144" i="2"/>
  <c r="Z171" i="2"/>
  <c r="Y1344" i="2"/>
  <c r="Y1454" i="2"/>
  <c r="Y1425" i="2"/>
  <c r="Z1437" i="2"/>
  <c r="Z1472" i="2"/>
  <c r="Z1328" i="2"/>
  <c r="Z1375" i="2"/>
  <c r="Z1434" i="2"/>
  <c r="Y1332" i="2"/>
  <c r="Z1452" i="2"/>
  <c r="Z1371" i="2"/>
  <c r="Z1444" i="2"/>
  <c r="Z1368" i="2"/>
  <c r="Z1454" i="2"/>
  <c r="Z1402" i="2"/>
  <c r="Z876" i="2"/>
  <c r="Z1418" i="2"/>
  <c r="Z1324" i="2"/>
  <c r="Z1464" i="2"/>
  <c r="Z553" i="2"/>
  <c r="Z554" i="2"/>
  <c r="Y363" i="2"/>
  <c r="Y1008" i="2"/>
  <c r="Z1019" i="2"/>
  <c r="Z1296" i="2"/>
  <c r="Z1023" i="2"/>
  <c r="Z1258" i="2"/>
  <c r="Z1270" i="2"/>
  <c r="Y1199" i="2"/>
  <c r="Z1177" i="2"/>
  <c r="Y1197" i="2"/>
  <c r="Z1185" i="2"/>
  <c r="Z1181" i="2"/>
  <c r="Y708" i="2"/>
  <c r="Z60" i="2"/>
  <c r="Z52" i="2"/>
  <c r="Z1262" i="2"/>
  <c r="Z1286" i="2"/>
  <c r="Z164" i="2"/>
  <c r="Z1031" i="2"/>
  <c r="Z1213" i="2"/>
  <c r="Z1027" i="2"/>
  <c r="Y1337" i="2"/>
  <c r="Z1460" i="2"/>
  <c r="Z1422" i="2"/>
  <c r="Z1481" i="2"/>
  <c r="Z1427" i="2"/>
  <c r="Z1487" i="2"/>
  <c r="Z1439" i="2"/>
  <c r="Y145" i="2"/>
  <c r="Z1020" i="2"/>
  <c r="Z1272" i="2"/>
  <c r="Z1199" i="2"/>
  <c r="Y1196" i="2"/>
  <c r="Y19" i="2"/>
  <c r="Z1069" i="2"/>
  <c r="Z866" i="2"/>
  <c r="Y1335" i="2"/>
  <c r="Z1332" i="2"/>
  <c r="Z143" i="2"/>
  <c r="Z1021" i="2"/>
  <c r="Z1208" i="2"/>
  <c r="Z1263" i="2"/>
  <c r="Z1070" i="2"/>
  <c r="Z1398" i="2"/>
  <c r="Z1477" i="2"/>
  <c r="Z500" i="2"/>
  <c r="Z998" i="2"/>
  <c r="Y20" i="2"/>
  <c r="Z1401" i="2"/>
  <c r="Z1297" i="2"/>
  <c r="Y1256" i="2"/>
  <c r="Z869" i="2"/>
  <c r="Z1066" i="2"/>
  <c r="Y146" i="2"/>
  <c r="Z166" i="2"/>
  <c r="Z1211" i="2"/>
  <c r="Y868" i="2"/>
  <c r="Z148" i="2"/>
  <c r="Y1464" i="2"/>
  <c r="Y1452" i="2"/>
  <c r="Y1336" i="2"/>
  <c r="Z1389" i="2"/>
  <c r="Z1424" i="2"/>
  <c r="Z1471" i="2"/>
  <c r="Z1327" i="2"/>
  <c r="Z1386" i="2"/>
  <c r="Z1445" i="2"/>
  <c r="Z1372" i="2"/>
  <c r="Z1450" i="2"/>
  <c r="Z1369" i="2"/>
  <c r="Z1455" i="2"/>
  <c r="Z1462" i="2"/>
  <c r="Z1442" i="2"/>
  <c r="Z1357" i="2"/>
  <c r="Z1431" i="2"/>
  <c r="Z1333" i="2"/>
  <c r="Z154" i="2"/>
  <c r="Z464" i="2"/>
  <c r="Z371" i="2"/>
  <c r="Z1288" i="2"/>
  <c r="Z1295" i="2"/>
  <c r="Z1017" i="2"/>
  <c r="Z1004" i="2"/>
  <c r="Z1276" i="2"/>
  <c r="Z1266" i="2"/>
  <c r="Y1186" i="2"/>
  <c r="Z1210" i="2"/>
  <c r="Y1188" i="2"/>
  <c r="Z1188" i="2"/>
  <c r="Z1175" i="2"/>
  <c r="Z901" i="2"/>
  <c r="Z29" i="2"/>
  <c r="Z1300" i="2"/>
  <c r="Z1287" i="2"/>
  <c r="Y54" i="2"/>
  <c r="Z147" i="2"/>
  <c r="Y18" i="2"/>
  <c r="Z1469" i="2"/>
  <c r="Z1355" i="2"/>
  <c r="Z1182" i="2"/>
  <c r="Z1280" i="2"/>
  <c r="Z152" i="2"/>
  <c r="Y1424" i="2"/>
  <c r="Z508" i="2"/>
  <c r="Z1176" i="2"/>
  <c r="Z162" i="2"/>
  <c r="Z169" i="2"/>
  <c r="Z1028" i="2"/>
  <c r="Y149" i="2"/>
  <c r="Y867" i="2"/>
  <c r="Z868" i="2"/>
  <c r="Y1448" i="2"/>
  <c r="Y1421" i="2"/>
  <c r="Z1485" i="2"/>
  <c r="Z1377" i="2"/>
  <c r="Z1412" i="2"/>
  <c r="Z1459" i="2"/>
  <c r="Z871" i="2"/>
  <c r="Z1374" i="2"/>
  <c r="Z1433" i="2"/>
  <c r="Y1323" i="2"/>
  <c r="Z1428" i="2"/>
  <c r="Y17" i="2"/>
  <c r="Z1438" i="2"/>
  <c r="Z1414" i="2"/>
  <c r="Z1397" i="2"/>
  <c r="Z1335" i="2"/>
  <c r="Z1383" i="2"/>
  <c r="Z1354" i="2"/>
  <c r="Z873" i="2"/>
  <c r="Z157" i="2"/>
  <c r="Z428" i="2"/>
  <c r="Z367" i="2"/>
  <c r="Z1012" i="2"/>
  <c r="Z1298" i="2"/>
  <c r="Z1007" i="2"/>
  <c r="Y1000" i="2"/>
  <c r="Z1273" i="2"/>
  <c r="Y1259" i="2"/>
  <c r="Z1201" i="2"/>
  <c r="Y1194" i="2"/>
  <c r="Z1192" i="2"/>
  <c r="Z1198" i="2"/>
  <c r="Z1203" i="2"/>
  <c r="Z898" i="2"/>
  <c r="Z22" i="2"/>
  <c r="Z1256" i="2"/>
  <c r="Z1279" i="2"/>
  <c r="Z59" i="2"/>
  <c r="Z151" i="2"/>
  <c r="Z1032" i="2"/>
  <c r="Z1037" i="2"/>
  <c r="Z18" i="2"/>
  <c r="Z1038" i="2"/>
  <c r="Z1413" i="2"/>
  <c r="Z1342" i="2"/>
  <c r="Y1185" i="2"/>
  <c r="Z1457" i="2"/>
  <c r="Z754" i="2"/>
  <c r="Z1281" i="2"/>
  <c r="Z58" i="2"/>
  <c r="Z167" i="2"/>
  <c r="Z877" i="2"/>
  <c r="Z149" i="2"/>
  <c r="Z867" i="2"/>
  <c r="Z65" i="2"/>
  <c r="Y1431" i="2"/>
  <c r="Y1334" i="2"/>
  <c r="Y1451" i="2"/>
  <c r="Z1365" i="2"/>
  <c r="Z1400" i="2"/>
  <c r="Z1447" i="2"/>
  <c r="Y1461" i="2"/>
  <c r="Z1362" i="2"/>
  <c r="Z1421" i="2"/>
  <c r="Z1491" i="2"/>
  <c r="Z1406" i="2"/>
  <c r="Z1488" i="2"/>
  <c r="Z1416" i="2"/>
  <c r="Z1367" i="2"/>
  <c r="Z1360" i="2"/>
  <c r="Z875" i="2"/>
  <c r="Z1344" i="2"/>
  <c r="Z1321" i="2"/>
  <c r="Z872" i="2"/>
  <c r="Z524" i="2"/>
  <c r="Z385" i="2"/>
  <c r="Y364" i="2"/>
  <c r="Z1013" i="2"/>
  <c r="Y999" i="2"/>
  <c r="Z1011" i="2"/>
  <c r="Y1001" i="2"/>
  <c r="Z1271" i="2"/>
  <c r="Z1259" i="2"/>
  <c r="Z1194" i="2"/>
  <c r="Y1198" i="2"/>
  <c r="Z1195" i="2"/>
  <c r="Z1202" i="2"/>
  <c r="Z1179" i="2"/>
  <c r="Z155" i="2"/>
  <c r="Z25" i="2"/>
  <c r="Z1299" i="2"/>
  <c r="Z1284" i="2"/>
  <c r="Z54" i="2"/>
  <c r="Z1068" i="2"/>
  <c r="Z1029" i="2"/>
  <c r="Y21" i="2"/>
  <c r="Z163" i="2"/>
  <c r="Y1339" i="2"/>
  <c r="Z1417" i="2"/>
  <c r="Z1269" i="2"/>
  <c r="Z19" i="2"/>
  <c r="Z1392" i="2"/>
  <c r="Z1322" i="2"/>
  <c r="Z1274" i="2"/>
  <c r="Z66" i="2"/>
  <c r="Y886" i="2"/>
  <c r="Z919" i="2"/>
  <c r="Y770" i="2"/>
  <c r="Y924" i="2"/>
  <c r="Z907" i="2"/>
  <c r="Z886" i="2"/>
  <c r="Z785" i="2"/>
  <c r="Z784" i="2"/>
  <c r="Z759" i="2"/>
  <c r="Z770" i="2"/>
  <c r="Z924" i="2"/>
  <c r="Z792" i="2"/>
  <c r="Z777" i="2"/>
  <c r="Z788" i="2"/>
  <c r="Z779" i="2"/>
  <c r="Y888" i="2"/>
  <c r="Y773" i="2"/>
  <c r="Y772" i="2"/>
  <c r="Y864" i="2"/>
  <c r="Z768" i="2"/>
  <c r="Y765" i="2"/>
  <c r="Y921" i="2"/>
  <c r="Y889" i="2"/>
  <c r="Z888" i="2"/>
  <c r="Z773" i="2"/>
  <c r="Z772" i="2"/>
  <c r="Z915" i="2"/>
  <c r="Z899" i="2"/>
  <c r="Z864" i="2"/>
  <c r="Z790" i="2"/>
  <c r="Y768" i="2"/>
  <c r="Z765" i="2"/>
  <c r="Z776" i="2"/>
  <c r="Z921" i="2"/>
  <c r="Z889" i="2"/>
  <c r="Y887" i="2"/>
  <c r="Y893" i="2"/>
  <c r="Y920" i="2"/>
  <c r="Y891" i="2"/>
  <c r="Z787" i="2"/>
  <c r="Y923" i="2"/>
  <c r="Y894" i="2"/>
  <c r="Z920" i="2"/>
  <c r="Z761" i="2"/>
  <c r="Z760" i="2"/>
  <c r="Z902" i="2"/>
  <c r="Z914" i="2"/>
  <c r="Z913" i="2"/>
  <c r="Z778" i="2"/>
  <c r="Z891" i="2"/>
  <c r="Z758" i="2"/>
  <c r="Z764" i="2"/>
  <c r="Z775" i="2"/>
  <c r="Y787" i="2"/>
  <c r="Y892" i="2"/>
  <c r="Z762" i="2"/>
  <c r="Y769" i="2"/>
  <c r="Y766" i="2"/>
  <c r="Y890" i="2"/>
  <c r="Z916" i="2"/>
  <c r="Z905" i="2"/>
  <c r="Z917" i="2"/>
  <c r="Z900" i="2"/>
  <c r="Z769" i="2"/>
  <c r="Z766" i="2"/>
  <c r="Z909" i="2"/>
  <c r="Z890" i="2"/>
  <c r="Z911" i="2"/>
  <c r="Z763" i="2"/>
  <c r="Z781" i="2"/>
  <c r="Z887" i="2"/>
  <c r="Z903" i="2"/>
  <c r="Z786" i="2"/>
  <c r="Z783" i="2"/>
  <c r="Z925" i="2"/>
  <c r="Z892" i="2"/>
  <c r="Z912" i="2"/>
  <c r="Z923" i="2"/>
  <c r="Z908" i="2"/>
  <c r="Z791" i="2"/>
  <c r="Z893" i="2"/>
  <c r="Z894" i="2"/>
  <c r="Z918" i="2"/>
  <c r="Y774" i="2"/>
  <c r="Y771" i="2"/>
  <c r="Y922" i="2"/>
  <c r="Y767" i="2"/>
  <c r="Z904" i="2"/>
  <c r="Z774" i="2"/>
  <c r="Z771" i="2"/>
  <c r="Z782" i="2"/>
  <c r="Z910" i="2"/>
  <c r="Z897" i="2"/>
  <c r="Z789" i="2"/>
  <c r="Z922" i="2"/>
  <c r="Z767" i="2"/>
  <c r="Z895" i="2"/>
  <c r="Z780" i="2"/>
  <c r="Y744" i="2"/>
  <c r="Y742" i="2"/>
  <c r="Y705" i="2"/>
  <c r="Y700" i="2"/>
  <c r="Y703" i="2"/>
  <c r="Z720" i="2"/>
  <c r="Z727" i="2"/>
  <c r="Z718" i="2"/>
  <c r="Z744" i="2"/>
  <c r="Z742" i="2"/>
  <c r="Z729" i="2"/>
  <c r="Z705" i="2"/>
  <c r="Z743" i="2"/>
  <c r="Z700" i="2"/>
  <c r="Z737" i="2"/>
  <c r="Z728" i="2"/>
  <c r="Z734" i="2"/>
  <c r="Z730" i="2"/>
  <c r="Y745" i="2"/>
  <c r="Y709" i="2"/>
  <c r="Z735" i="2"/>
  <c r="Z745" i="2"/>
  <c r="Z716" i="2"/>
  <c r="Z731" i="2"/>
  <c r="Z711" i="2"/>
  <c r="Z750" i="2"/>
  <c r="Y706" i="2"/>
  <c r="Y747" i="2"/>
  <c r="Y746" i="2"/>
  <c r="Y701" i="2"/>
  <c r="Z736" i="2"/>
  <c r="Z706" i="2"/>
  <c r="Z747" i="2"/>
  <c r="Z746" i="2"/>
  <c r="Z722" i="2"/>
  <c r="Z724" i="2"/>
  <c r="Z701" i="2"/>
  <c r="Z739" i="2"/>
  <c r="Y707" i="2"/>
  <c r="Z702" i="2"/>
  <c r="Z749" i="2"/>
  <c r="Z707" i="2"/>
  <c r="Z717" i="2"/>
  <c r="Z715" i="2"/>
  <c r="Y702" i="2"/>
  <c r="Z710" i="2"/>
  <c r="Z732" i="2"/>
  <c r="Z712" i="2"/>
  <c r="Z752" i="2"/>
  <c r="Y748" i="2"/>
  <c r="Z709" i="2"/>
  <c r="Z726" i="2"/>
  <c r="Z725" i="2"/>
  <c r="Z703" i="2"/>
  <c r="Z713" i="2"/>
  <c r="Z738" i="2"/>
  <c r="Z748" i="2"/>
  <c r="Z740" i="2"/>
  <c r="Z721" i="2"/>
  <c r="Y704" i="2"/>
  <c r="Z719" i="2"/>
  <c r="Z733" i="2"/>
  <c r="Z714" i="2"/>
  <c r="Z741" i="2"/>
  <c r="Z751" i="2"/>
  <c r="Z704" i="2"/>
  <c r="Z753" i="2"/>
  <c r="Z723" i="2"/>
  <c r="Y699" i="2"/>
  <c r="Z699" i="2"/>
  <c r="Y656" i="2"/>
  <c r="Y438" i="2"/>
  <c r="Y655" i="2"/>
  <c r="Y658" i="2"/>
  <c r="Y440" i="2"/>
  <c r="Z430" i="2"/>
  <c r="Z656" i="2"/>
  <c r="Z438" i="2"/>
  <c r="Z655" i="2"/>
  <c r="Z658" i="2"/>
  <c r="Z440" i="2"/>
  <c r="Y442" i="2"/>
  <c r="Y448" i="2"/>
  <c r="Z651" i="2"/>
  <c r="Y649" i="2"/>
  <c r="Y639" i="2"/>
  <c r="Z650" i="2"/>
  <c r="Z442" i="2"/>
  <c r="Z448" i="2"/>
  <c r="Z643" i="2"/>
  <c r="Z424" i="2"/>
  <c r="Z649" i="2"/>
  <c r="Y645" i="2"/>
  <c r="Z639" i="2"/>
  <c r="Y686" i="2"/>
  <c r="Y641" i="2"/>
  <c r="Y654" i="2"/>
  <c r="Y680" i="2"/>
  <c r="Z645" i="2"/>
  <c r="Y682" i="2"/>
  <c r="Z686" i="2"/>
  <c r="Z641" i="2"/>
  <c r="Z654" i="2"/>
  <c r="Z680" i="2"/>
  <c r="Z420" i="2"/>
  <c r="Y657" i="2"/>
  <c r="Y432" i="2"/>
  <c r="Z682" i="2"/>
  <c r="Y640" i="2"/>
  <c r="Y642" i="2"/>
  <c r="Y434" i="2"/>
  <c r="Z657" i="2"/>
  <c r="Z684" i="2"/>
  <c r="Z432" i="2"/>
  <c r="Y436" i="2"/>
  <c r="Z640" i="2"/>
  <c r="Z426" i="2"/>
  <c r="Z653" i="2"/>
  <c r="Z687" i="2"/>
  <c r="Z642" i="2"/>
  <c r="Z434" i="2"/>
  <c r="Y685" i="2"/>
  <c r="Y643" i="2"/>
  <c r="Z436" i="2"/>
  <c r="Z638" i="2"/>
  <c r="Z418" i="2"/>
  <c r="Y681" i="2"/>
  <c r="Z422" i="2"/>
  <c r="Z647" i="2"/>
  <c r="Y644" i="2"/>
  <c r="Y648" i="2"/>
  <c r="Y444" i="2"/>
  <c r="Z681" i="2"/>
  <c r="Y646" i="2"/>
  <c r="Y683" i="2"/>
  <c r="Z630" i="2"/>
  <c r="Z644" i="2"/>
  <c r="Z648" i="2"/>
  <c r="Z444" i="2"/>
  <c r="Z646" i="2"/>
  <c r="Z683" i="2"/>
  <c r="Y430" i="2"/>
  <c r="Z685" i="2"/>
  <c r="Z652" i="2"/>
  <c r="Y287" i="2"/>
  <c r="Z287" i="2"/>
  <c r="Y318" i="2"/>
  <c r="Z318" i="2"/>
  <c r="Y330" i="2"/>
  <c r="Z330" i="2"/>
  <c r="Y354" i="2"/>
  <c r="Z354" i="2"/>
  <c r="Y34" i="2"/>
  <c r="Z34" i="2"/>
  <c r="Y100" i="2"/>
  <c r="Z100" i="2"/>
  <c r="Y136" i="2"/>
  <c r="Z136" i="2"/>
  <c r="Y221" i="2"/>
  <c r="Z221" i="2"/>
  <c r="Y276" i="2"/>
  <c r="Z276" i="2"/>
  <c r="Y77" i="2"/>
  <c r="Z77" i="2"/>
  <c r="Y277" i="2"/>
  <c r="Z277" i="2"/>
  <c r="Y388" i="2"/>
  <c r="Y410" i="2"/>
  <c r="Y400" i="2"/>
  <c r="O293" i="2"/>
  <c r="Q293" i="2"/>
  <c r="P293" i="2"/>
  <c r="P324" i="2"/>
  <c r="O324" i="2"/>
  <c r="Q347" i="2"/>
  <c r="O347" i="2"/>
  <c r="P325" i="2"/>
  <c r="O325" i="2"/>
  <c r="Q325" i="2"/>
  <c r="P349" i="2"/>
  <c r="P326" i="2"/>
  <c r="Q327" i="2"/>
  <c r="O327" i="2"/>
  <c r="P327" i="2"/>
  <c r="O278" i="2"/>
  <c r="P278" i="2"/>
  <c r="Q278" i="2"/>
  <c r="P345" i="2"/>
  <c r="O328" i="2"/>
  <c r="Q328" i="2"/>
  <c r="O374" i="2"/>
  <c r="Q374" i="2"/>
  <c r="P374" i="2"/>
  <c r="Q291" i="2"/>
  <c r="P291" i="2"/>
  <c r="O292" i="2"/>
  <c r="O286" i="2"/>
  <c r="P286" i="2"/>
  <c r="Q286" i="2"/>
  <c r="Q329" i="2"/>
  <c r="O329" i="2"/>
  <c r="P329" i="2"/>
  <c r="Q287" i="2"/>
  <c r="O330" i="2"/>
  <c r="P290" i="2"/>
  <c r="Q288" i="2"/>
  <c r="O288" i="2"/>
  <c r="P288" i="2"/>
  <c r="Q331" i="2"/>
  <c r="O331" i="2"/>
  <c r="P331" i="2"/>
  <c r="P343" i="2"/>
  <c r="Q344" i="2"/>
  <c r="P344" i="2"/>
  <c r="AC634" i="2"/>
  <c r="AC626" i="2"/>
  <c r="AC622" i="2"/>
  <c r="AC618" i="2"/>
  <c r="AC614" i="2"/>
  <c r="AC610" i="2"/>
  <c r="AC606" i="2"/>
  <c r="AC602" i="2"/>
  <c r="AC553" i="2"/>
  <c r="AC552" i="2"/>
  <c r="AC1404" i="2"/>
  <c r="AC1395" i="2"/>
  <c r="AC1453" i="2"/>
  <c r="AC1375" i="2"/>
  <c r="AC1418" i="2"/>
  <c r="AC1478" i="2"/>
  <c r="AC1335" i="2"/>
  <c r="AC1399" i="2"/>
  <c r="AC1385" i="2"/>
  <c r="AC1350" i="2"/>
  <c r="AC1322" i="2"/>
  <c r="AC1425" i="2"/>
  <c r="AC1386" i="2"/>
  <c r="AC1454" i="2"/>
  <c r="AC1442" i="2"/>
  <c r="AC1328" i="2"/>
  <c r="AC1486" i="2"/>
  <c r="AC1463" i="2"/>
  <c r="AC1471" i="2"/>
  <c r="AC1419" i="2"/>
  <c r="AC1343" i="2"/>
  <c r="AC1330" i="2"/>
  <c r="AC1393" i="2"/>
  <c r="AC1376" i="2"/>
  <c r="AC1357" i="2"/>
  <c r="AC1377" i="2"/>
  <c r="AC1345" i="2"/>
  <c r="AC1426" i="2"/>
  <c r="AC1349" i="2"/>
  <c r="AC1415" i="2"/>
  <c r="AC1422" i="2"/>
  <c r="AC1408" i="2"/>
  <c r="AC1487" i="2"/>
  <c r="AC1435" i="2"/>
  <c r="AC1398" i="2"/>
  <c r="AC1379" i="2"/>
  <c r="AC1424" i="2"/>
  <c r="AC1384" i="2"/>
  <c r="AC1358" i="2"/>
  <c r="AC1458" i="2"/>
  <c r="AC1421" i="2"/>
  <c r="AC1466" i="2"/>
  <c r="AC1396" i="2"/>
  <c r="AC1459" i="2"/>
  <c r="AC1444" i="2"/>
  <c r="AC1416" i="2"/>
  <c r="AC1489" i="2"/>
  <c r="AC1481" i="2"/>
  <c r="AC1443" i="2"/>
  <c r="AC1423" i="2"/>
  <c r="AC1378" i="2"/>
  <c r="AC1446" i="2"/>
  <c r="AC1473" i="2"/>
  <c r="AC1474" i="2"/>
  <c r="AC1411" i="2"/>
  <c r="AC1361" i="2"/>
  <c r="AC1433" i="2"/>
  <c r="AC1428" i="2"/>
  <c r="AC1467" i="2"/>
  <c r="AC1405" i="2"/>
  <c r="AC1460" i="2"/>
  <c r="AC1381" i="2"/>
  <c r="AC1403" i="2"/>
  <c r="AC1468" i="2"/>
  <c r="AC1342" i="2"/>
  <c r="AC1449" i="2"/>
  <c r="AC1333" i="2"/>
  <c r="AC1370" i="2"/>
  <c r="AC1447" i="2"/>
  <c r="AC1472" i="2"/>
  <c r="AC1430" i="2"/>
  <c r="AC1362" i="2"/>
  <c r="AC1434" i="2"/>
  <c r="AC1479" i="2"/>
  <c r="AC1406" i="2"/>
  <c r="AC1488" i="2"/>
  <c r="AC1401" i="2"/>
  <c r="AC1462" i="2"/>
  <c r="AC1366" i="2"/>
  <c r="AC1407" i="2"/>
  <c r="AC1484" i="2"/>
  <c r="AC1476" i="2"/>
  <c r="AC1469" i="2"/>
  <c r="AC1417" i="2"/>
  <c r="AC1485" i="2"/>
  <c r="AC1439" i="2"/>
  <c r="AC1397" i="2"/>
  <c r="AC1334" i="2"/>
  <c r="AC1351" i="2"/>
  <c r="AC1326" i="2"/>
  <c r="AC1477" i="2"/>
  <c r="AC1359" i="2"/>
  <c r="AC1363" i="2"/>
  <c r="AC1356" i="2"/>
  <c r="AC1475" i="2"/>
  <c r="AC1402" i="2"/>
  <c r="AC1420" i="2"/>
  <c r="AC1483" i="2"/>
  <c r="AC1391" i="2"/>
  <c r="AC1383" i="2"/>
  <c r="AC1470" i="2"/>
  <c r="AC1387" i="2"/>
  <c r="AC1344" i="2"/>
  <c r="AC1392" i="2"/>
  <c r="AC1346" i="2"/>
  <c r="AC1431" i="2"/>
  <c r="AC1490" i="2"/>
  <c r="AC1367" i="2"/>
  <c r="AC1373" i="2"/>
  <c r="AC1364" i="2"/>
  <c r="AC1441" i="2"/>
  <c r="AC1382" i="2"/>
  <c r="AC1353" i="2"/>
  <c r="AC1413" i="2"/>
  <c r="AC1389" i="2"/>
  <c r="AC1448" i="2"/>
  <c r="AC1325" i="2"/>
  <c r="AC1432" i="2"/>
  <c r="AC1368" i="2"/>
  <c r="AC1369" i="2"/>
  <c r="AC1388" i="2"/>
  <c r="AC1339" i="2"/>
  <c r="AC1409" i="2"/>
  <c r="AC1436" i="2"/>
  <c r="AC1340" i="2"/>
  <c r="AC1429" i="2"/>
  <c r="AC1445" i="2"/>
  <c r="AC1456" i="2"/>
  <c r="AC1390" i="2"/>
  <c r="AC1452" i="2"/>
  <c r="AC1414" i="2"/>
  <c r="AC1450" i="2"/>
  <c r="AC1327" i="2"/>
  <c r="AC1341" i="2"/>
  <c r="AC1360" i="2"/>
  <c r="AC1457" i="2"/>
  <c r="AC1491" i="2"/>
  <c r="AC1427" i="2"/>
  <c r="AC1451" i="2"/>
  <c r="AC1412" i="2"/>
  <c r="AC1329" i="2"/>
  <c r="AC1492" i="2"/>
  <c r="AC1438" i="2"/>
  <c r="AC1480" i="2"/>
  <c r="AC1394" i="2"/>
  <c r="AC1323" i="2"/>
  <c r="AC1321" i="2"/>
  <c r="AC1465" i="2"/>
  <c r="AC1455" i="2"/>
  <c r="AC1440" i="2"/>
  <c r="AC1372" i="2"/>
  <c r="AC1461" i="2"/>
  <c r="AC1437" i="2"/>
  <c r="AC1410" i="2"/>
  <c r="AC1464" i="2"/>
  <c r="AC1332" i="2"/>
  <c r="AC1352" i="2"/>
  <c r="AC1374" i="2"/>
  <c r="AC1482" i="2"/>
  <c r="AC1400" i="2"/>
  <c r="AC1380" i="2"/>
  <c r="AC1324" i="2"/>
  <c r="AC1336" i="2"/>
  <c r="AC1347" i="2"/>
  <c r="AC1348" i="2"/>
  <c r="AC1371" i="2"/>
  <c r="AC1331" i="2"/>
  <c r="AC1337" i="2"/>
  <c r="AC1338" i="2"/>
  <c r="AC1354" i="2"/>
  <c r="AC1355" i="2"/>
  <c r="AC1365" i="2"/>
  <c r="AC429" i="2"/>
  <c r="AC428" i="2"/>
  <c r="AC385" i="2"/>
  <c r="AC754" i="2"/>
  <c r="AC1016" i="2"/>
  <c r="AC1018" i="2"/>
  <c r="AC1020" i="2"/>
  <c r="AC1000" i="2"/>
  <c r="AC1019" i="2"/>
  <c r="AC1008" i="2"/>
  <c r="AC1011" i="2"/>
  <c r="AC1004" i="2"/>
  <c r="AC998" i="2"/>
  <c r="AC1025" i="2"/>
  <c r="AC1002" i="2"/>
  <c r="AC1003" i="2"/>
  <c r="AC1001" i="2"/>
  <c r="AC1015" i="2"/>
  <c r="AC1006" i="2"/>
  <c r="AC1005" i="2"/>
  <c r="AC1022" i="2"/>
  <c r="AC1007" i="2"/>
  <c r="AC1023" i="2"/>
  <c r="AC1012" i="2"/>
  <c r="AC1014" i="2"/>
  <c r="AC1013" i="2"/>
  <c r="AC1017" i="2"/>
  <c r="AC1024" i="2"/>
  <c r="AC999" i="2"/>
  <c r="AC1009" i="2"/>
  <c r="AC1010" i="2"/>
  <c r="AC1021" i="2"/>
  <c r="AC708" i="2"/>
  <c r="AC898" i="2"/>
  <c r="AC168" i="2"/>
  <c r="AC158" i="2"/>
  <c r="Q239" i="2"/>
  <c r="O239" i="2"/>
  <c r="Q96" i="2"/>
  <c r="P96" i="2"/>
  <c r="O96" i="2"/>
  <c r="Q358" i="2"/>
  <c r="O358" i="2"/>
  <c r="P100" i="2"/>
  <c r="P356" i="2"/>
  <c r="Q356" i="2"/>
  <c r="O356" i="2"/>
  <c r="Q97" i="2"/>
  <c r="P97" i="2"/>
  <c r="O97" i="2"/>
  <c r="Q99" i="2"/>
  <c r="Q240" i="2"/>
  <c r="O101" i="2"/>
  <c r="O242" i="2"/>
  <c r="Q242" i="2"/>
  <c r="P242" i="2"/>
  <c r="Q360" i="2"/>
  <c r="P360" i="2"/>
  <c r="O360" i="2"/>
  <c r="P102" i="2"/>
  <c r="Q103" i="2"/>
  <c r="O103" i="2"/>
  <c r="P244" i="2"/>
  <c r="Q244" i="2"/>
  <c r="O244" i="2"/>
  <c r="O362" i="2"/>
  <c r="Q362" i="2"/>
  <c r="P34" i="2"/>
  <c r="P246" i="2"/>
  <c r="Q246" i="2"/>
  <c r="O246" i="2"/>
  <c r="O13" i="2"/>
  <c r="Q13" i="2"/>
  <c r="P13" i="2"/>
  <c r="Q379" i="2"/>
  <c r="P355" i="2"/>
  <c r="Q247" i="2"/>
  <c r="Q127" i="2"/>
  <c r="P127" i="2"/>
  <c r="O127" i="2"/>
  <c r="Q248" i="2"/>
  <c r="O248" i="2"/>
  <c r="P248" i="2"/>
  <c r="P249" i="2"/>
  <c r="Q110" i="2"/>
  <c r="O110" i="2"/>
  <c r="Q69" i="2"/>
  <c r="P69" i="2"/>
  <c r="O69" i="2"/>
  <c r="P254" i="2"/>
  <c r="Q254" i="2"/>
  <c r="O108" i="2"/>
  <c r="Q6" i="2"/>
  <c r="O6" i="2"/>
  <c r="P6" i="2"/>
  <c r="O109" i="2"/>
  <c r="Q109" i="2"/>
  <c r="P109" i="2"/>
  <c r="P130" i="2"/>
  <c r="Q111" i="2"/>
  <c r="Q255" i="2"/>
  <c r="Q129" i="2"/>
  <c r="P129" i="2"/>
  <c r="O129" i="2"/>
  <c r="Q382" i="2"/>
  <c r="P382" i="2"/>
  <c r="O382" i="2"/>
  <c r="Q72" i="2"/>
  <c r="P95" i="2"/>
  <c r="O95" i="2"/>
  <c r="P354" i="2"/>
  <c r="Q354" i="2"/>
  <c r="O354" i="2"/>
  <c r="AC797" i="2"/>
  <c r="AC1235" i="2"/>
  <c r="AC664" i="2"/>
  <c r="A673" i="13"/>
  <c r="A671" i="13"/>
  <c r="A670" i="13"/>
  <c r="A672" i="13"/>
  <c r="A674" i="13"/>
  <c r="A675" i="13"/>
  <c r="AC571" i="2"/>
  <c r="AC1104" i="2"/>
  <c r="AC411" i="2"/>
  <c r="AC423" i="2"/>
  <c r="AC449" i="2"/>
  <c r="AC755" i="2"/>
  <c r="AC930" i="2"/>
  <c r="AC934" i="2"/>
  <c r="AC1079" i="2"/>
  <c r="AC812" i="2"/>
  <c r="AC184" i="2"/>
  <c r="AC948" i="2"/>
  <c r="AC798" i="2"/>
  <c r="AC1127" i="2"/>
  <c r="AC941" i="2"/>
  <c r="AC595" i="2"/>
  <c r="AC176" i="2"/>
  <c r="AC587" i="2"/>
  <c r="AC1119" i="2"/>
  <c r="AC439" i="2"/>
  <c r="AC193" i="2"/>
  <c r="AC513" i="2"/>
  <c r="AC311" i="2"/>
  <c r="AC435" i="2"/>
  <c r="AC413" i="2"/>
  <c r="AC1222" i="2"/>
  <c r="AC541" i="2"/>
  <c r="AC194" i="2"/>
  <c r="AC678" i="2"/>
  <c r="AC187" i="2"/>
  <c r="AC1123" i="2"/>
  <c r="AC607" i="2"/>
  <c r="AC203" i="2"/>
  <c r="AC957" i="2"/>
  <c r="AC946" i="2"/>
  <c r="AC1045" i="2"/>
  <c r="AC1097" i="2"/>
  <c r="AC199" i="2"/>
  <c r="AC952" i="2"/>
  <c r="AC305" i="2"/>
  <c r="AC1092" i="2"/>
  <c r="AC1217" i="2"/>
  <c r="AC1095" i="2"/>
  <c r="AC1085" i="2"/>
  <c r="AC1051" i="2"/>
  <c r="AC803" i="2"/>
  <c r="AC1080" i="2"/>
  <c r="AC815" i="2"/>
  <c r="AC936" i="2"/>
  <c r="AC961" i="2"/>
  <c r="AC481" i="2"/>
  <c r="AC665" i="2"/>
  <c r="AC529" i="2"/>
  <c r="AC1229" i="2"/>
  <c r="AC1218" i="2"/>
  <c r="AC943" i="2"/>
  <c r="AC1054" i="2"/>
  <c r="AC1107" i="2"/>
  <c r="AC300" i="2"/>
  <c r="AC306" i="2"/>
  <c r="AC1098" i="2"/>
  <c r="AC196" i="2"/>
  <c r="AC189" i="2"/>
  <c r="AC1113" i="2"/>
  <c r="AC931" i="2"/>
  <c r="AC443" i="2"/>
  <c r="AC312" i="2"/>
  <c r="AC1049" i="2"/>
  <c r="AC309" i="2"/>
  <c r="AC631" i="2"/>
  <c r="AC178" i="2"/>
  <c r="AC603" i="2"/>
  <c r="AC1128" i="2"/>
  <c r="AC949" i="2"/>
  <c r="AC296" i="2"/>
  <c r="AC1129" i="2"/>
  <c r="AC937" i="2"/>
  <c r="AC953" i="2"/>
  <c r="AC1089" i="2"/>
  <c r="AC1094" i="2"/>
  <c r="AC437" i="2"/>
  <c r="AC822" i="2"/>
  <c r="AC1105" i="2"/>
  <c r="AC619" i="2"/>
  <c r="AC668" i="2"/>
  <c r="AC501" i="2"/>
  <c r="AC198" i="2"/>
  <c r="AC421" i="2"/>
  <c r="AC676" i="2"/>
  <c r="AC517" i="2"/>
  <c r="AC509" i="2"/>
  <c r="AC1048" i="2"/>
  <c r="AC1111" i="2"/>
  <c r="AC1047" i="2"/>
  <c r="AC1234" i="2"/>
  <c r="AC195" i="2"/>
  <c r="AC1082" i="2"/>
  <c r="AC959" i="2"/>
  <c r="AC1099" i="2"/>
  <c r="AC1110" i="2"/>
  <c r="AC1083" i="2"/>
  <c r="AC818" i="2"/>
  <c r="AC794" i="2"/>
  <c r="AC433" i="2"/>
  <c r="AC1050" i="2"/>
  <c r="AC575" i="2"/>
  <c r="AC662" i="2"/>
  <c r="AC465" i="2"/>
  <c r="AC1226" i="2"/>
  <c r="AC599" i="2"/>
  <c r="AC944" i="2"/>
  <c r="AC1232" i="2"/>
  <c r="AC663" i="2"/>
  <c r="AC493" i="2"/>
  <c r="AC611" i="2"/>
  <c r="AC579" i="2"/>
  <c r="AC827" i="2"/>
  <c r="AC809" i="2"/>
  <c r="AC192" i="2"/>
  <c r="AC820" i="2"/>
  <c r="AC926" i="2"/>
  <c r="AC955" i="2"/>
  <c r="AC814" i="2"/>
  <c r="AC796" i="2"/>
  <c r="AC1116" i="2"/>
  <c r="AC1231" i="2"/>
  <c r="AC384" i="2"/>
  <c r="AC951" i="2"/>
  <c r="AC938" i="2"/>
  <c r="AC549" i="2"/>
  <c r="AC1056" i="2"/>
  <c r="AC521" i="2"/>
  <c r="AC669" i="2"/>
  <c r="AC1102" i="2"/>
  <c r="AC567" i="2"/>
  <c r="AC804" i="2"/>
  <c r="AC801" i="2"/>
  <c r="AC555" i="2"/>
  <c r="AC445" i="2"/>
  <c r="AC615" i="2"/>
  <c r="AC675" i="2"/>
  <c r="AC183" i="2"/>
  <c r="AC302" i="2"/>
  <c r="AC928" i="2"/>
  <c r="AC304" i="2"/>
  <c r="AC298" i="2"/>
  <c r="AC295" i="2"/>
  <c r="AC960" i="2"/>
  <c r="AC1121" i="2"/>
  <c r="AC947" i="2"/>
  <c r="AC1088" i="2"/>
  <c r="AC391" i="2"/>
  <c r="AC1224" i="2"/>
  <c r="AC810" i="2"/>
  <c r="AC425" i="2"/>
  <c r="AC441" i="2"/>
  <c r="AC525" i="2"/>
  <c r="AC431" i="2"/>
  <c r="AC956" i="2"/>
  <c r="AC1061" i="2"/>
  <c r="AC1228" i="2"/>
  <c r="AC1076" i="2"/>
  <c r="AC824" i="2"/>
  <c r="AC182" i="2"/>
  <c r="AC1055" i="2"/>
  <c r="AC795" i="2"/>
  <c r="AC825" i="2"/>
  <c r="AC1046" i="2"/>
  <c r="AC389" i="2"/>
  <c r="AC933" i="2"/>
  <c r="AC200" i="2"/>
  <c r="AC950" i="2"/>
  <c r="AC1064" i="2"/>
  <c r="AC1114" i="2"/>
  <c r="AC807" i="2"/>
  <c r="AC1086" i="2"/>
  <c r="AC1221" i="2"/>
  <c r="AC1126" i="2"/>
  <c r="AC942" i="2"/>
  <c r="AC299" i="2"/>
  <c r="AC407" i="2"/>
  <c r="AC816" i="2"/>
  <c r="AC181" i="2"/>
  <c r="AC667" i="2"/>
  <c r="AC197" i="2"/>
  <c r="AC294" i="2"/>
  <c r="AC1096" i="2"/>
  <c r="AC190" i="2"/>
  <c r="AC1233" i="2"/>
  <c r="AC1077" i="2"/>
  <c r="AC308" i="2"/>
  <c r="AC1078" i="2"/>
  <c r="AC1093" i="2"/>
  <c r="AC387" i="2"/>
  <c r="AC1108" i="2"/>
  <c r="AC583" i="2"/>
  <c r="AC419" i="2"/>
  <c r="AC954" i="2"/>
  <c r="AC545" i="2"/>
  <c r="AC473" i="2"/>
  <c r="AC679" i="2"/>
  <c r="AC559" i="2"/>
  <c r="AC1227" i="2"/>
  <c r="AC1120" i="2"/>
  <c r="AC939" i="2"/>
  <c r="AC185" i="2"/>
  <c r="AC793" i="2"/>
  <c r="AC307" i="2"/>
  <c r="AC802" i="2"/>
  <c r="AC1109" i="2"/>
  <c r="AC1081" i="2"/>
  <c r="AC1118" i="2"/>
  <c r="AC409" i="2"/>
  <c r="AC808" i="2"/>
  <c r="AC666" i="2"/>
  <c r="AC672" i="2"/>
  <c r="AC945" i="2"/>
  <c r="AC1053" i="2"/>
  <c r="AC817" i="2"/>
  <c r="AC1122" i="2"/>
  <c r="AC935" i="2"/>
  <c r="AC932" i="2"/>
  <c r="AC191" i="2"/>
  <c r="AC1090" i="2"/>
  <c r="AC1052" i="2"/>
  <c r="AC1059" i="2"/>
  <c r="AC415" i="2"/>
  <c r="AC673" i="2"/>
  <c r="AC940" i="2"/>
  <c r="AC660" i="2"/>
  <c r="AC457" i="2"/>
  <c r="AC533" i="2"/>
  <c r="AC399" i="2"/>
  <c r="AC469" i="2"/>
  <c r="AC179" i="2"/>
  <c r="AC1112" i="2"/>
  <c r="AC927" i="2"/>
  <c r="AC393" i="2"/>
  <c r="AC505" i="2"/>
  <c r="AC671" i="2"/>
  <c r="AC497" i="2"/>
  <c r="AC427" i="2"/>
  <c r="AC1062" i="2"/>
  <c r="AC1225" i="2"/>
  <c r="AC800" i="2"/>
  <c r="AC1087" i="2"/>
  <c r="AC201" i="2"/>
  <c r="AC929" i="2"/>
  <c r="AC1101" i="2"/>
  <c r="AC303" i="2"/>
  <c r="AC180" i="2"/>
  <c r="AC813" i="2"/>
  <c r="AC297" i="2"/>
  <c r="AC1100" i="2"/>
  <c r="AC958" i="2"/>
  <c r="AC661" i="2"/>
  <c r="AC591" i="2"/>
  <c r="AC670" i="2"/>
  <c r="AC485" i="2"/>
  <c r="AC1125" i="2"/>
  <c r="AC1103" i="2"/>
  <c r="AC1063" i="2"/>
  <c r="AC523" i="2"/>
  <c r="AC1160" i="2"/>
  <c r="AC756" i="2"/>
  <c r="AC401" i="2"/>
  <c r="AC461" i="2"/>
  <c r="AC627" i="2"/>
  <c r="AC659" i="2"/>
  <c r="AC537" i="2"/>
  <c r="AC826" i="2"/>
  <c r="AC1060" i="2"/>
  <c r="AC821" i="2"/>
  <c r="AC1220" i="2"/>
  <c r="AC1124" i="2"/>
  <c r="AC301" i="2"/>
  <c r="AC819" i="2"/>
  <c r="AC805" i="2"/>
  <c r="AC1223" i="2"/>
  <c r="AC202" i="2"/>
  <c r="AC397" i="2"/>
  <c r="AC677" i="2"/>
  <c r="AC806" i="2"/>
  <c r="AC489" i="2"/>
  <c r="AC395" i="2"/>
  <c r="AC563" i="2"/>
  <c r="AC453" i="2"/>
  <c r="AC1091" i="2"/>
  <c r="AC1230" i="2"/>
  <c r="AC811" i="2"/>
  <c r="AC403" i="2"/>
  <c r="AC623" i="2"/>
  <c r="AC477" i="2"/>
  <c r="AC674" i="2"/>
  <c r="AC635" i="2"/>
  <c r="AC1058" i="2"/>
  <c r="AC823" i="2"/>
  <c r="AC1057" i="2"/>
  <c r="AC799" i="2"/>
  <c r="AC310" i="2"/>
  <c r="AC1117" i="2"/>
  <c r="AC1106" i="2"/>
  <c r="AC1115" i="2"/>
  <c r="AC1130" i="2"/>
  <c r="AC1084" i="2"/>
  <c r="AC417" i="2"/>
  <c r="AC629" i="2"/>
  <c r="AC1155" i="2"/>
  <c r="AC632" i="2"/>
  <c r="AC1152" i="2"/>
  <c r="AC596" i="2"/>
  <c r="AC1132" i="2"/>
  <c r="AC616" i="2"/>
  <c r="AC851" i="2"/>
  <c r="AC515" i="2"/>
  <c r="AC830" i="2"/>
  <c r="AC620" i="2"/>
  <c r="AC831" i="2"/>
  <c r="AC479" i="2"/>
  <c r="AC976" i="2"/>
  <c r="AC561" i="2"/>
  <c r="AC1153" i="2"/>
  <c r="AC543" i="2"/>
  <c r="AC625" i="2"/>
  <c r="AC844" i="2"/>
  <c r="AC1139" i="2"/>
  <c r="AC1170" i="2"/>
  <c r="AC1163" i="2"/>
  <c r="AC835" i="2"/>
  <c r="AC1131" i="2"/>
  <c r="AC832" i="2"/>
  <c r="AC1134" i="2"/>
  <c r="AC547" i="2"/>
  <c r="AC447" i="2"/>
  <c r="AC636" i="2"/>
  <c r="AC499" i="2"/>
  <c r="AC565" i="2"/>
  <c r="AC838" i="2"/>
  <c r="AC1138" i="2"/>
  <c r="AC971" i="2"/>
  <c r="AC1133" i="2"/>
  <c r="AC995" i="2"/>
  <c r="AC1150" i="2"/>
  <c r="AC569" i="2"/>
  <c r="AC757" i="2"/>
  <c r="AC475" i="2"/>
  <c r="AC519" i="2"/>
  <c r="AC585" i="2"/>
  <c r="AC1141" i="2"/>
  <c r="AC1157" i="2"/>
  <c r="AC981" i="2"/>
  <c r="AC829" i="2"/>
  <c r="AC862" i="2"/>
  <c r="AC1148" i="2"/>
  <c r="AC589" i="2"/>
  <c r="AC612" i="2"/>
  <c r="AC495" i="2"/>
  <c r="AC539" i="2"/>
  <c r="AC605" i="2"/>
  <c r="AC1136" i="2"/>
  <c r="AC1174" i="2"/>
  <c r="AC965" i="2"/>
  <c r="AC1135" i="2"/>
  <c r="AC1144" i="2"/>
  <c r="AC966" i="2"/>
  <c r="AC487" i="2"/>
  <c r="AC451" i="2"/>
  <c r="AC550" i="2"/>
  <c r="AC471" i="2"/>
  <c r="AC535" i="2"/>
  <c r="AC581" i="2"/>
  <c r="AC462" i="2"/>
  <c r="AC994" i="2"/>
  <c r="AC1169" i="2"/>
  <c r="AC1165" i="2"/>
  <c r="AC828" i="2"/>
  <c r="AC975" i="2"/>
  <c r="AC466" i="2"/>
  <c r="AC530" i="2"/>
  <c r="AC491" i="2"/>
  <c r="AC557" i="2"/>
  <c r="AC601" i="2"/>
  <c r="AC455" i="2"/>
  <c r="AC977" i="2"/>
  <c r="AC861" i="2"/>
  <c r="AC987" i="2"/>
  <c r="AC860" i="2"/>
  <c r="AC843" i="2"/>
  <c r="AC486" i="2"/>
  <c r="AC490" i="2"/>
  <c r="AC511" i="2"/>
  <c r="AC577" i="2"/>
  <c r="AC621" i="2"/>
  <c r="AC459" i="2"/>
  <c r="AC985" i="2"/>
  <c r="AC1147" i="2"/>
  <c r="AC989" i="2"/>
  <c r="AC856" i="2"/>
  <c r="AC842" i="2"/>
  <c r="AC506" i="2"/>
  <c r="AC592" i="2"/>
  <c r="AC531" i="2"/>
  <c r="AC597" i="2"/>
  <c r="AC482" i="2"/>
  <c r="AC446" i="2"/>
  <c r="AC848" i="2"/>
  <c r="AC962" i="2"/>
  <c r="AC963" i="2"/>
  <c r="AC1146" i="2"/>
  <c r="AC845" i="2"/>
  <c r="AC526" i="2"/>
  <c r="AC454" i="2"/>
  <c r="AC551" i="2"/>
  <c r="AC617" i="2"/>
  <c r="AC502" i="2"/>
  <c r="AC1164" i="2"/>
  <c r="AC974" i="2"/>
  <c r="AC964" i="2"/>
  <c r="AC854" i="2"/>
  <c r="AC1162" i="2"/>
  <c r="AC1145" i="2"/>
  <c r="AC546" i="2"/>
  <c r="AC474" i="2"/>
  <c r="AC573" i="2"/>
  <c r="AC637" i="2"/>
  <c r="AC522" i="2"/>
  <c r="AC993" i="2"/>
  <c r="AC1171" i="2"/>
  <c r="AC1143" i="2"/>
  <c r="AC1140" i="2"/>
  <c r="AC857" i="2"/>
  <c r="AC996" i="2"/>
  <c r="AC568" i="2"/>
  <c r="AC527" i="2"/>
  <c r="AC593" i="2"/>
  <c r="AC458" i="2"/>
  <c r="AC542" i="2"/>
  <c r="AC968" i="2"/>
  <c r="AC855" i="2"/>
  <c r="AC837" i="2"/>
  <c r="AC978" i="2"/>
  <c r="AC850" i="2"/>
  <c r="AC1173" i="2"/>
  <c r="AC588" i="2"/>
  <c r="AC510" i="2"/>
  <c r="AC613" i="2"/>
  <c r="AC478" i="2"/>
  <c r="AC564" i="2"/>
  <c r="AC984" i="2"/>
  <c r="AC979" i="2"/>
  <c r="AC852" i="2"/>
  <c r="AC1172" i="2"/>
  <c r="AC992" i="2"/>
  <c r="AC969" i="2"/>
  <c r="AC608" i="2"/>
  <c r="AC572" i="2"/>
  <c r="AC633" i="2"/>
  <c r="AC498" i="2"/>
  <c r="AC584" i="2"/>
  <c r="AC853" i="2"/>
  <c r="AC1158" i="2"/>
  <c r="AC1137" i="2"/>
  <c r="AC847" i="2"/>
  <c r="AC846" i="2"/>
  <c r="AC1168" i="2"/>
  <c r="AC628" i="2"/>
  <c r="AC467" i="2"/>
  <c r="AC494" i="2"/>
  <c r="AC518" i="2"/>
  <c r="AC604" i="2"/>
  <c r="AC973" i="2"/>
  <c r="AC1151" i="2"/>
  <c r="AC1154" i="2"/>
  <c r="AC967" i="2"/>
  <c r="AC840" i="2"/>
  <c r="AC986" i="2"/>
  <c r="AC470" i="2"/>
  <c r="AC514" i="2"/>
  <c r="AC538" i="2"/>
  <c r="AC624" i="2"/>
  <c r="AC970" i="2"/>
  <c r="AC991" i="2"/>
  <c r="AC1149" i="2"/>
  <c r="AC983" i="2"/>
  <c r="AC836" i="2"/>
  <c r="AC982" i="2"/>
  <c r="AC507" i="2"/>
  <c r="AC534" i="2"/>
  <c r="AC560" i="2"/>
  <c r="AC463" i="2"/>
  <c r="AC1161" i="2"/>
  <c r="AC972" i="2"/>
  <c r="AC841" i="2"/>
  <c r="AC839" i="2"/>
  <c r="AC858" i="2"/>
  <c r="AC1166" i="2"/>
  <c r="AC450" i="2"/>
  <c r="AC556" i="2"/>
  <c r="AC580" i="2"/>
  <c r="AC483" i="2"/>
  <c r="AC833" i="2"/>
  <c r="AC1167" i="2"/>
  <c r="AC990" i="2"/>
  <c r="AC834" i="2"/>
  <c r="AC1142" i="2"/>
  <c r="AC1159" i="2"/>
  <c r="AC609" i="2"/>
  <c r="AC576" i="2"/>
  <c r="AC600" i="2"/>
  <c r="AC503" i="2"/>
  <c r="AC1156" i="2"/>
  <c r="AC988" i="2"/>
  <c r="AC859" i="2"/>
  <c r="AC849" i="2"/>
  <c r="AC980" i="2"/>
  <c r="AC997" i="2"/>
  <c r="AC698" i="2"/>
  <c r="AC95" i="2"/>
  <c r="AC75" i="2"/>
  <c r="AC314" i="2"/>
  <c r="AC115" i="2"/>
  <c r="AC334" i="2"/>
  <c r="AC12" i="2"/>
  <c r="AC410" i="2"/>
  <c r="AC280" i="2"/>
  <c r="AC96" i="2"/>
  <c r="AC237" i="2"/>
  <c r="AC355" i="2"/>
  <c r="AC76" i="2"/>
  <c r="AC217" i="2"/>
  <c r="AC335" i="2"/>
  <c r="AC14" i="2"/>
  <c r="AC77" i="2"/>
  <c r="AC97" i="2"/>
  <c r="AC117" i="2"/>
  <c r="AC137" i="2"/>
  <c r="AC218" i="2"/>
  <c r="AC238" i="2"/>
  <c r="AC277" i="2"/>
  <c r="AC316" i="2"/>
  <c r="AC336" i="2"/>
  <c r="AC356" i="2"/>
  <c r="AC136" i="2"/>
  <c r="AC315" i="2"/>
  <c r="AC15" i="2"/>
  <c r="AC78" i="2"/>
  <c r="AC98" i="2"/>
  <c r="AC118" i="2"/>
  <c r="AC138" i="2"/>
  <c r="AC219" i="2"/>
  <c r="AC239" i="2"/>
  <c r="AC278" i="2"/>
  <c r="AC317" i="2"/>
  <c r="AC337" i="2"/>
  <c r="AC357" i="2"/>
  <c r="AC13" i="2"/>
  <c r="AC116" i="2"/>
  <c r="AC276" i="2"/>
  <c r="AC379" i="2"/>
  <c r="AC16" i="2"/>
  <c r="AC79" i="2"/>
  <c r="AC99" i="2"/>
  <c r="AC119" i="2"/>
  <c r="AC139" i="2"/>
  <c r="AC220" i="2"/>
  <c r="AC240" i="2"/>
  <c r="AC279" i="2"/>
  <c r="AC318" i="2"/>
  <c r="AC338" i="2"/>
  <c r="AC358" i="2"/>
  <c r="AC216" i="2"/>
  <c r="AC31" i="2"/>
  <c r="AC81" i="2"/>
  <c r="AC101" i="2"/>
  <c r="AC121" i="2"/>
  <c r="AC141" i="2"/>
  <c r="AC222" i="2"/>
  <c r="AC242" i="2"/>
  <c r="AC281" i="2"/>
  <c r="AC320" i="2"/>
  <c r="AC340" i="2"/>
  <c r="AC360" i="2"/>
  <c r="AC32" i="2"/>
  <c r="AC82" i="2"/>
  <c r="AC102" i="2"/>
  <c r="AC122" i="2"/>
  <c r="AC142" i="2"/>
  <c r="AC223" i="2"/>
  <c r="AC243" i="2"/>
  <c r="AC282" i="2"/>
  <c r="AC321" i="2"/>
  <c r="AC341" i="2"/>
  <c r="AC361" i="2"/>
  <c r="AC244" i="2"/>
  <c r="AC283" i="2"/>
  <c r="AC322" i="2"/>
  <c r="AC342" i="2"/>
  <c r="AC362" i="2"/>
  <c r="AC241" i="2"/>
  <c r="AC104" i="2"/>
  <c r="AC245" i="2"/>
  <c r="AC284" i="2"/>
  <c r="AC323" i="2"/>
  <c r="AC343" i="2"/>
  <c r="AC373" i="2"/>
  <c r="AC398" i="2"/>
  <c r="AC339" i="2"/>
  <c r="AC225" i="2"/>
  <c r="AC285" i="2"/>
  <c r="AC324" i="2"/>
  <c r="AC344" i="2"/>
  <c r="AC374" i="2"/>
  <c r="AC34" i="2"/>
  <c r="AC86" i="2"/>
  <c r="AC227" i="2"/>
  <c r="AC247" i="2"/>
  <c r="AC286" i="2"/>
  <c r="AC325" i="2"/>
  <c r="AC345" i="2"/>
  <c r="AC383" i="2"/>
  <c r="AC30" i="2"/>
  <c r="AC33" i="2"/>
  <c r="AC35" i="2"/>
  <c r="AC106" i="2"/>
  <c r="AC127" i="2"/>
  <c r="AC208" i="2"/>
  <c r="AC228" i="2"/>
  <c r="AC248" i="2"/>
  <c r="AC287" i="2"/>
  <c r="AC326" i="2"/>
  <c r="AC346" i="2"/>
  <c r="AC394" i="2"/>
  <c r="AC406" i="2"/>
  <c r="AC100" i="2"/>
  <c r="AC103" i="2"/>
  <c r="AC85" i="2"/>
  <c r="AC5" i="2"/>
  <c r="AC229" i="2"/>
  <c r="AC249" i="2"/>
  <c r="AC288" i="2"/>
  <c r="AC327" i="2"/>
  <c r="AC347" i="2"/>
  <c r="AC400" i="2"/>
  <c r="AC386" i="2"/>
  <c r="AC140" i="2"/>
  <c r="AC123" i="2"/>
  <c r="AC125" i="2"/>
  <c r="AC37" i="2"/>
  <c r="AC69" i="2"/>
  <c r="AC289" i="2"/>
  <c r="AC328" i="2"/>
  <c r="AC348" i="2"/>
  <c r="AC408" i="2"/>
  <c r="AC221" i="2"/>
  <c r="AC204" i="2"/>
  <c r="AC246" i="2"/>
  <c r="AC107" i="2"/>
  <c r="AC6" i="2"/>
  <c r="AC230" i="2"/>
  <c r="AC231" i="2"/>
  <c r="AC329" i="2"/>
  <c r="AC349" i="2"/>
  <c r="AC381" i="2"/>
  <c r="AC390" i="2"/>
  <c r="AC396" i="2"/>
  <c r="AC135" i="2"/>
  <c r="AC120" i="2"/>
  <c r="AC83" i="2"/>
  <c r="AC205" i="2"/>
  <c r="AC36" i="2"/>
  <c r="AC4" i="2"/>
  <c r="AC88" i="2"/>
  <c r="AC89" i="2"/>
  <c r="AC250" i="2"/>
  <c r="AC110" i="2"/>
  <c r="AC251" i="2"/>
  <c r="AC71" i="2"/>
  <c r="AC91" i="2"/>
  <c r="AC111" i="2"/>
  <c r="AC131" i="2"/>
  <c r="AC212" i="2"/>
  <c r="AC232" i="2"/>
  <c r="AC252" i="2"/>
  <c r="AC291" i="2"/>
  <c r="AC330" i="2"/>
  <c r="AC350" i="2"/>
  <c r="AC382" i="2"/>
  <c r="AC236" i="2"/>
  <c r="AC275" i="2"/>
  <c r="AC1031" i="2"/>
  <c r="AC1040" i="2"/>
  <c r="AC1071" i="2"/>
  <c r="AC1209" i="2"/>
  <c r="AC172" i="2"/>
  <c r="AC49" i="2"/>
  <c r="AC1198" i="2"/>
  <c r="AC1028" i="2"/>
  <c r="AC1206" i="2"/>
  <c r="AC882" i="2"/>
  <c r="AC1067" i="2"/>
  <c r="AC1042" i="2"/>
  <c r="AC1204" i="2"/>
  <c r="AC166" i="2"/>
  <c r="AC1203" i="2"/>
  <c r="AC21" i="2"/>
  <c r="AC1073" i="2"/>
  <c r="AC884" i="2"/>
  <c r="AC1075" i="2"/>
  <c r="AC1066" i="2"/>
  <c r="AC1065" i="2"/>
  <c r="AC146" i="2"/>
  <c r="AC65" i="2"/>
  <c r="AC885" i="2"/>
  <c r="AC156" i="2"/>
  <c r="AC1041" i="2"/>
  <c r="AC1038" i="2"/>
  <c r="AC27" i="2"/>
  <c r="AC173" i="2"/>
  <c r="AC162" i="2"/>
  <c r="AC1205" i="2"/>
  <c r="AC149" i="2"/>
  <c r="AC1027" i="2"/>
  <c r="AC1213" i="2"/>
  <c r="AC881" i="2"/>
  <c r="AC1026" i="2"/>
  <c r="AC152" i="2"/>
  <c r="AC869" i="2"/>
  <c r="AC868" i="2"/>
  <c r="AC1070" i="2"/>
  <c r="AC1200" i="2"/>
  <c r="AC879" i="2"/>
  <c r="AC867" i="2"/>
  <c r="AC17" i="2"/>
  <c r="AC1208" i="2"/>
  <c r="AC28" i="2"/>
  <c r="AC53" i="2"/>
  <c r="AC1216" i="2"/>
  <c r="AC24" i="2"/>
  <c r="AC61" i="2"/>
  <c r="AC1036" i="2"/>
  <c r="AC1032" i="2"/>
  <c r="AC174" i="2"/>
  <c r="AC1043" i="2"/>
  <c r="AC160" i="2"/>
  <c r="AC58" i="2"/>
  <c r="AC1039" i="2"/>
  <c r="AC1074" i="2"/>
  <c r="AC153" i="2"/>
  <c r="AC1212" i="2"/>
  <c r="AC880" i="2"/>
  <c r="AC1030" i="2"/>
  <c r="AC164" i="2"/>
  <c r="AC169" i="2"/>
  <c r="AC878" i="2"/>
  <c r="AC51" i="2"/>
  <c r="AC151" i="2"/>
  <c r="AC883" i="2"/>
  <c r="AC1035" i="2"/>
  <c r="AC866" i="2"/>
  <c r="AC170" i="2"/>
  <c r="AC165" i="2"/>
  <c r="AC147" i="2"/>
  <c r="AC26" i="2"/>
  <c r="AC1044" i="2"/>
  <c r="AC56" i="2"/>
  <c r="AC163" i="2"/>
  <c r="AC877" i="2"/>
  <c r="AC1033" i="2"/>
  <c r="AC1068" i="2"/>
  <c r="AC1037" i="2"/>
  <c r="AC1201" i="2"/>
  <c r="AC161" i="2"/>
  <c r="AC150" i="2"/>
  <c r="AC1202" i="2"/>
  <c r="AC865" i="2"/>
  <c r="AC148" i="2"/>
  <c r="AC1034" i="2"/>
  <c r="AC18" i="2"/>
  <c r="AC1197" i="2"/>
  <c r="AC171" i="2"/>
  <c r="AC1211" i="2"/>
  <c r="AC144" i="2"/>
  <c r="AC1072" i="2"/>
  <c r="AC63" i="2"/>
  <c r="AC1207" i="2"/>
  <c r="AC1069" i="2"/>
  <c r="AC1210" i="2"/>
  <c r="AC159" i="2"/>
  <c r="AC1029" i="2"/>
  <c r="AC167" i="2"/>
  <c r="AC912" i="2"/>
  <c r="AC910" i="2"/>
  <c r="AC764" i="2"/>
  <c r="AC892" i="2"/>
  <c r="AC918" i="2"/>
  <c r="AC905" i="2"/>
  <c r="AC895" i="2"/>
  <c r="AC888" i="2"/>
  <c r="AC776" i="2"/>
  <c r="AC790" i="2"/>
  <c r="AC783" i="2"/>
  <c r="AC915" i="2"/>
  <c r="AC911" i="2"/>
  <c r="AC770" i="2"/>
  <c r="AC763" i="2"/>
  <c r="AC921" i="2"/>
  <c r="AC917" i="2"/>
  <c r="AC904" i="2"/>
  <c r="AC902" i="2"/>
  <c r="AC779" i="2"/>
  <c r="AC775" i="2"/>
  <c r="AC789" i="2"/>
  <c r="AC924" i="2"/>
  <c r="AC759" i="2"/>
  <c r="AC913" i="2"/>
  <c r="AC769" i="2"/>
  <c r="AC782" i="2"/>
  <c r="AC787" i="2"/>
  <c r="AC925" i="2"/>
  <c r="AC903" i="2"/>
  <c r="AC762" i="2"/>
  <c r="AC889" i="2"/>
  <c r="AC774" i="2"/>
  <c r="AC788" i="2"/>
  <c r="AC894" i="2"/>
  <c r="AC914" i="2"/>
  <c r="AC909" i="2"/>
  <c r="AC768" i="2"/>
  <c r="AC890" i="2"/>
  <c r="AC920" i="2"/>
  <c r="AC758" i="2"/>
  <c r="AC767" i="2"/>
  <c r="AC887" i="2"/>
  <c r="AC778" i="2"/>
  <c r="AC773" i="2"/>
  <c r="AC886" i="2"/>
  <c r="AC923" i="2"/>
  <c r="AC864" i="2"/>
  <c r="AC919" i="2"/>
  <c r="AC900" i="2"/>
  <c r="AC781" i="2"/>
  <c r="AC784" i="2"/>
  <c r="AC908" i="2"/>
  <c r="AC786" i="2"/>
  <c r="AC761" i="2"/>
  <c r="AC792" i="2"/>
  <c r="AC766" i="2"/>
  <c r="AC893" i="2"/>
  <c r="AC771" i="2"/>
  <c r="AC772" i="2"/>
  <c r="AC891" i="2"/>
  <c r="AC897" i="2"/>
  <c r="AC777" i="2"/>
  <c r="AC785" i="2"/>
  <c r="AC916" i="2"/>
  <c r="AC907" i="2"/>
  <c r="AC765" i="2"/>
  <c r="AC922" i="2"/>
  <c r="AC791" i="2"/>
  <c r="AC899" i="2"/>
  <c r="AC780" i="2"/>
  <c r="AC760" i="2"/>
  <c r="AC713" i="2"/>
  <c r="AC706" i="2"/>
  <c r="AC748" i="2"/>
  <c r="AC751" i="2"/>
  <c r="AC726" i="2"/>
  <c r="AC737" i="2"/>
  <c r="AC712" i="2"/>
  <c r="AC705" i="2"/>
  <c r="AC717" i="2"/>
  <c r="AC750" i="2"/>
  <c r="AC725" i="2"/>
  <c r="AC746" i="2"/>
  <c r="AC731" i="2"/>
  <c r="AC704" i="2"/>
  <c r="AC741" i="2"/>
  <c r="AC749" i="2"/>
  <c r="AC743" i="2"/>
  <c r="AC744" i="2"/>
  <c r="AC733" i="2"/>
  <c r="AC723" i="2"/>
  <c r="AC719" i="2"/>
  <c r="AC721" i="2"/>
  <c r="AC736" i="2"/>
  <c r="AC709" i="2"/>
  <c r="AC700" i="2"/>
  <c r="AC716" i="2"/>
  <c r="AC702" i="2"/>
  <c r="AC734" i="2"/>
  <c r="AC745" i="2"/>
  <c r="AC732" i="2"/>
  <c r="AC742" i="2"/>
  <c r="AC724" i="2"/>
  <c r="AC703" i="2"/>
  <c r="AC722" i="2"/>
  <c r="AC752" i="2"/>
  <c r="AC701" i="2"/>
  <c r="AC720" i="2"/>
  <c r="AC711" i="2"/>
  <c r="AC740" i="2"/>
  <c r="AC739" i="2"/>
  <c r="AC730" i="2"/>
  <c r="AC738" i="2"/>
  <c r="AC735" i="2"/>
  <c r="AC710" i="2"/>
  <c r="AC718" i="2"/>
  <c r="AC715" i="2"/>
  <c r="AC729" i="2"/>
  <c r="AC747" i="2"/>
  <c r="AC753" i="2"/>
  <c r="AC728" i="2"/>
  <c r="AC714" i="2"/>
  <c r="AC707" i="2"/>
  <c r="AC727" i="2"/>
  <c r="AC699" i="2"/>
  <c r="AC554" i="2"/>
  <c r="AC680" i="2"/>
  <c r="AC582" i="2"/>
  <c r="AC420" i="2"/>
  <c r="AC524" i="2"/>
  <c r="AC647" i="2"/>
  <c r="AC649" i="2"/>
  <c r="AC574" i="2"/>
  <c r="AC655" i="2"/>
  <c r="AC434" i="2"/>
  <c r="AC544" i="2"/>
  <c r="AC594" i="2"/>
  <c r="AC566" i="2"/>
  <c r="AC687" i="2"/>
  <c r="AC460" i="2"/>
  <c r="AC426" i="2"/>
  <c r="AC642" i="2"/>
  <c r="AC586" i="2"/>
  <c r="AC456" i="2"/>
  <c r="AC562" i="2"/>
  <c r="AC448" i="2"/>
  <c r="AC657" i="2"/>
  <c r="AC532" i="2"/>
  <c r="AC468" i="2"/>
  <c r="AC654" i="2"/>
  <c r="AC639" i="2"/>
  <c r="AC682" i="2"/>
  <c r="AC488" i="2"/>
  <c r="AC646" i="2"/>
  <c r="AC508" i="2"/>
  <c r="AC476" i="2"/>
  <c r="AC645" i="2"/>
  <c r="AC528" i="2"/>
  <c r="AC432" i="2"/>
  <c r="AC496" i="2"/>
  <c r="AC686" i="2"/>
  <c r="AC424" i="2"/>
  <c r="AC548" i="2"/>
  <c r="AC472" i="2"/>
  <c r="AC516" i="2"/>
  <c r="AC644" i="2"/>
  <c r="AC685" i="2"/>
  <c r="AC570" i="2"/>
  <c r="AC651" i="2"/>
  <c r="AC536" i="2"/>
  <c r="AC590" i="2"/>
  <c r="AC558" i="2"/>
  <c r="AC641" i="2"/>
  <c r="AC684" i="2"/>
  <c r="AC438" i="2"/>
  <c r="AC440" i="2"/>
  <c r="AC656" i="2"/>
  <c r="AC578" i="2"/>
  <c r="AC436" i="2"/>
  <c r="AC630" i="2"/>
  <c r="AC653" i="2"/>
  <c r="AC598" i="2"/>
  <c r="AC681" i="2"/>
  <c r="AC418" i="2"/>
  <c r="AC512" i="2"/>
  <c r="AC540" i="2"/>
  <c r="AC650" i="2"/>
  <c r="AC652" i="2"/>
  <c r="AC484" i="2"/>
  <c r="AC638" i="2"/>
  <c r="AC480" i="2"/>
  <c r="AC643" i="2"/>
  <c r="AC442" i="2"/>
  <c r="AC422" i="2"/>
  <c r="AC648" i="2"/>
  <c r="AC452" i="2"/>
  <c r="AC658" i="2"/>
  <c r="AC500" i="2"/>
  <c r="AC444" i="2"/>
  <c r="AC640" i="2"/>
  <c r="AC430" i="2"/>
  <c r="AC492" i="2"/>
  <c r="AC520" i="2"/>
  <c r="AC683" i="2"/>
  <c r="AC464" i="2"/>
  <c r="AC504" i="2"/>
  <c r="AC354" i="2"/>
  <c r="AC124" i="2"/>
  <c r="AC226" i="2"/>
  <c r="AC87" i="2"/>
  <c r="AC108" i="2"/>
  <c r="AC210" i="2"/>
  <c r="AC90" i="2"/>
  <c r="AC290" i="2"/>
  <c r="AC9" i="2"/>
  <c r="AC72" i="2"/>
  <c r="AC92" i="2"/>
  <c r="AC112" i="2"/>
  <c r="AC132" i="2"/>
  <c r="AC213" i="2"/>
  <c r="AC233" i="2"/>
  <c r="AC253" i="2"/>
  <c r="AC292" i="2"/>
  <c r="AC331" i="2"/>
  <c r="AC351" i="2"/>
  <c r="AC377" i="2"/>
  <c r="AC392" i="2"/>
  <c r="AC412" i="2"/>
  <c r="AC319" i="2"/>
  <c r="AC224" i="2"/>
  <c r="AC105" i="2"/>
  <c r="AC126" i="2"/>
  <c r="AC68" i="2"/>
  <c r="AC209" i="2"/>
  <c r="AC129" i="2"/>
  <c r="AC70" i="2"/>
  <c r="AC211" i="2"/>
  <c r="AC73" i="2"/>
  <c r="AC113" i="2"/>
  <c r="AC133" i="2"/>
  <c r="AC214" i="2"/>
  <c r="AC234" i="2"/>
  <c r="AC254" i="2"/>
  <c r="AC293" i="2"/>
  <c r="AC332" i="2"/>
  <c r="AC352" i="2"/>
  <c r="AC378" i="2"/>
  <c r="AC388" i="2"/>
  <c r="AC414" i="2"/>
  <c r="AC80" i="2"/>
  <c r="AC359" i="2"/>
  <c r="AC84" i="2"/>
  <c r="AC206" i="2"/>
  <c r="AC3" i="2"/>
  <c r="AC41" i="2"/>
  <c r="AC59" i="2"/>
  <c r="AC44" i="2"/>
  <c r="AC66" i="2"/>
  <c r="AC54" i="2"/>
  <c r="AC48" i="2"/>
  <c r="AC1199" i="2"/>
  <c r="AC1219" i="2"/>
  <c r="AC689" i="2"/>
  <c r="AC380" i="2"/>
  <c r="AC695" i="2"/>
  <c r="AC697" i="2"/>
  <c r="AC694" i="2"/>
  <c r="AC691" i="2"/>
  <c r="AC696" i="2"/>
  <c r="AC692" i="2"/>
  <c r="AC693" i="2"/>
  <c r="AC690" i="2"/>
  <c r="AC688" i="2"/>
  <c r="AC207" i="2"/>
  <c r="AC128" i="2"/>
  <c r="AC109" i="2"/>
  <c r="AC7" i="2"/>
  <c r="AC130" i="2"/>
  <c r="AC8" i="2"/>
  <c r="AC10" i="2"/>
  <c r="AC272" i="2"/>
  <c r="AC256" i="2"/>
  <c r="AC265" i="2"/>
  <c r="AC273" i="2"/>
  <c r="AC258" i="2"/>
  <c r="AC259" i="2"/>
  <c r="AC257" i="2"/>
  <c r="AC260" i="2"/>
  <c r="AC263" i="2"/>
  <c r="AC261" i="2"/>
  <c r="AC274" i="2"/>
  <c r="AC262" i="2"/>
  <c r="AC271" i="2"/>
  <c r="AC268" i="2"/>
  <c r="AC264" i="2"/>
  <c r="AC267" i="2"/>
  <c r="AC269" i="2"/>
  <c r="AC270" i="2"/>
  <c r="AC266" i="2"/>
  <c r="AC38" i="2"/>
  <c r="AC40" i="2"/>
  <c r="AC47" i="2"/>
  <c r="AC43" i="2"/>
  <c r="AC42" i="2"/>
  <c r="AC45" i="2"/>
  <c r="AC46" i="2"/>
  <c r="AC39" i="2"/>
  <c r="AC93" i="2"/>
  <c r="AC11" i="2"/>
  <c r="AC74" i="2"/>
  <c r="AC94" i="2"/>
  <c r="AC114" i="2"/>
  <c r="AC134" i="2"/>
  <c r="AC215" i="2"/>
  <c r="AC235" i="2"/>
  <c r="AC255" i="2"/>
  <c r="AC313" i="2"/>
  <c r="AC333" i="2"/>
  <c r="AC353" i="2"/>
  <c r="AC402" i="2"/>
  <c r="AC416" i="2"/>
  <c r="A658" i="13"/>
  <c r="A657" i="13"/>
  <c r="A617" i="13"/>
  <c r="A656" i="13"/>
  <c r="A636" i="13"/>
  <c r="A616" i="13"/>
  <c r="A655" i="13"/>
  <c r="A635" i="13"/>
  <c r="A615" i="13"/>
  <c r="A652" i="13"/>
  <c r="A650" i="13"/>
  <c r="A630" i="13"/>
  <c r="A610" i="13"/>
  <c r="A667" i="13"/>
  <c r="A647" i="13"/>
  <c r="A627" i="13"/>
  <c r="A607" i="13"/>
  <c r="A487" i="13"/>
  <c r="A666" i="13"/>
  <c r="A646" i="13"/>
  <c r="A626" i="13"/>
  <c r="A606" i="13"/>
  <c r="A486" i="13"/>
  <c r="A426" i="13"/>
  <c r="A665" i="13"/>
  <c r="A625" i="13"/>
  <c r="A605" i="13"/>
  <c r="A485" i="13"/>
  <c r="A425" i="13"/>
  <c r="A664" i="13"/>
  <c r="A624" i="13"/>
  <c r="A604" i="13"/>
  <c r="A484" i="13"/>
  <c r="A424" i="13"/>
  <c r="A663" i="13"/>
  <c r="A623" i="13"/>
  <c r="A603" i="13"/>
  <c r="A483" i="13"/>
  <c r="A423" i="13"/>
  <c r="A662" i="13"/>
  <c r="A661" i="13"/>
  <c r="A621" i="13"/>
  <c r="A601" i="13"/>
  <c r="A481" i="13"/>
  <c r="A421" i="13"/>
  <c r="A272" i="13"/>
  <c r="A112" i="13"/>
  <c r="A271" i="13"/>
  <c r="A111" i="13"/>
  <c r="A634" i="13"/>
  <c r="A269" i="13"/>
  <c r="A270" i="13"/>
  <c r="A110" i="13"/>
  <c r="A633" i="13"/>
  <c r="A268" i="13"/>
  <c r="A632" i="13"/>
  <c r="A267" i="13"/>
  <c r="A631" i="13"/>
  <c r="A266" i="13"/>
  <c r="A629" i="13"/>
  <c r="A285" i="13"/>
  <c r="A265" i="13"/>
  <c r="A165" i="13"/>
  <c r="A164" i="13"/>
  <c r="A628" i="13"/>
  <c r="A284" i="13"/>
  <c r="A622" i="13"/>
  <c r="A283" i="13"/>
  <c r="A163" i="13"/>
  <c r="A669" i="13"/>
  <c r="A620" i="13"/>
  <c r="A282" i="13"/>
  <c r="A668" i="13"/>
  <c r="A619" i="13"/>
  <c r="A281" i="13"/>
  <c r="A660" i="13"/>
  <c r="A618" i="13"/>
  <c r="A280" i="13"/>
  <c r="A602" i="13"/>
  <c r="A659" i="13"/>
  <c r="A614" i="13"/>
  <c r="A279" i="13"/>
  <c r="A159" i="13"/>
  <c r="A482" i="13"/>
  <c r="A654" i="13"/>
  <c r="A613" i="13"/>
  <c r="A422" i="13"/>
  <c r="A278" i="13"/>
  <c r="A158" i="13"/>
  <c r="A653" i="13"/>
  <c r="A612" i="13"/>
  <c r="A420" i="13"/>
  <c r="A277" i="13"/>
  <c r="A276" i="13"/>
  <c r="A273" i="13"/>
  <c r="A651" i="13"/>
  <c r="A611" i="13"/>
  <c r="A419" i="13"/>
  <c r="A113" i="13"/>
  <c r="A649" i="13"/>
  <c r="A609" i="13"/>
  <c r="A489" i="13"/>
  <c r="A418" i="13"/>
  <c r="A275" i="13"/>
  <c r="A115" i="13"/>
  <c r="A608" i="13"/>
  <c r="A488" i="13"/>
  <c r="A274" i="13"/>
  <c r="A114" i="13"/>
  <c r="A648" i="13"/>
  <c r="AG375" i="2"/>
  <c r="Y376" i="2" l="1"/>
  <c r="Z376" i="2"/>
  <c r="AD376" i="2"/>
  <c r="L375" i="2"/>
  <c r="AD375" i="2"/>
  <c r="E645" i="13"/>
  <c r="A645" i="13" s="1"/>
  <c r="E644" i="13"/>
  <c r="A644" i="13" s="1"/>
  <c r="E643" i="13"/>
  <c r="A643" i="13" s="1"/>
  <c r="E642" i="13"/>
  <c r="A642" i="13" s="1"/>
  <c r="E641" i="13"/>
  <c r="A641" i="13" s="1"/>
  <c r="E640" i="13"/>
  <c r="A640" i="13" s="1"/>
  <c r="E639" i="13"/>
  <c r="A639" i="13" s="1"/>
  <c r="E638" i="13"/>
  <c r="A638" i="13" s="1"/>
  <c r="E637" i="13"/>
  <c r="A637" i="13" s="1"/>
  <c r="E600" i="13"/>
  <c r="A600" i="13" s="1"/>
  <c r="E599" i="13"/>
  <c r="A599" i="13" s="1"/>
  <c r="E598" i="13"/>
  <c r="A598" i="13" s="1"/>
  <c r="E597" i="13"/>
  <c r="A597" i="13" s="1"/>
  <c r="E596" i="13"/>
  <c r="A596" i="13" s="1"/>
  <c r="E595" i="13"/>
  <c r="A595" i="13" s="1"/>
  <c r="E594" i="13"/>
  <c r="A594" i="13" s="1"/>
  <c r="E593" i="13"/>
  <c r="A593" i="13" s="1"/>
  <c r="E592" i="13"/>
  <c r="A592" i="13" s="1"/>
  <c r="E591" i="13"/>
  <c r="A591" i="13" s="1"/>
  <c r="E590" i="13"/>
  <c r="A590" i="13" s="1"/>
  <c r="E589" i="13"/>
  <c r="A589" i="13" s="1"/>
  <c r="E588" i="13"/>
  <c r="A588" i="13" s="1"/>
  <c r="E587" i="13"/>
  <c r="A587" i="13" s="1"/>
  <c r="E586" i="13"/>
  <c r="A586" i="13" s="1"/>
  <c r="E585" i="13"/>
  <c r="A585" i="13" s="1"/>
  <c r="E584" i="13"/>
  <c r="A584" i="13" s="1"/>
  <c r="E583" i="13"/>
  <c r="A583" i="13" s="1"/>
  <c r="E582" i="13"/>
  <c r="A582" i="13" s="1"/>
  <c r="E581" i="13"/>
  <c r="A581" i="13" s="1"/>
  <c r="E580" i="13"/>
  <c r="A580" i="13" s="1"/>
  <c r="E579" i="13"/>
  <c r="A579" i="13" s="1"/>
  <c r="E578" i="13"/>
  <c r="A578" i="13" s="1"/>
  <c r="E577" i="13"/>
  <c r="A577" i="13" s="1"/>
  <c r="E543" i="13"/>
  <c r="A543" i="13" s="1"/>
  <c r="E542" i="13"/>
  <c r="A542" i="13" s="1"/>
  <c r="E541" i="13"/>
  <c r="A541" i="13" s="1"/>
  <c r="E540" i="13"/>
  <c r="A540" i="13" s="1"/>
  <c r="E539" i="13"/>
  <c r="A539" i="13" s="1"/>
  <c r="E538" i="13"/>
  <c r="A538" i="13" s="1"/>
  <c r="E537" i="13"/>
  <c r="A537" i="13" s="1"/>
  <c r="E536" i="13"/>
  <c r="A536" i="13" s="1"/>
  <c r="E535" i="13"/>
  <c r="A535" i="13" s="1"/>
  <c r="E480" i="13"/>
  <c r="A480" i="13" s="1"/>
  <c r="E479" i="13"/>
  <c r="A479" i="13" s="1"/>
  <c r="E478" i="13"/>
  <c r="A478" i="13" s="1"/>
  <c r="E477" i="13"/>
  <c r="A477" i="13" s="1"/>
  <c r="E476" i="13"/>
  <c r="A476" i="13" s="1"/>
  <c r="E475" i="13"/>
  <c r="A475" i="13" s="1"/>
  <c r="E474" i="13"/>
  <c r="A474" i="13" s="1"/>
  <c r="E473" i="13"/>
  <c r="A473" i="13" s="1"/>
  <c r="E472" i="13"/>
  <c r="A472" i="13" s="1"/>
  <c r="E453" i="13"/>
  <c r="A453" i="13" s="1"/>
  <c r="E452" i="13"/>
  <c r="A452" i="13" s="1"/>
  <c r="E451" i="13"/>
  <c r="A451" i="13" s="1"/>
  <c r="E450" i="13"/>
  <c r="A450" i="13" s="1"/>
  <c r="E449" i="13"/>
  <c r="A449" i="13" s="1"/>
  <c r="E448" i="13"/>
  <c r="A448" i="13" s="1"/>
  <c r="E447" i="13"/>
  <c r="A447" i="13" s="1"/>
  <c r="E446" i="13"/>
  <c r="A446" i="13" s="1"/>
  <c r="E445" i="13"/>
  <c r="A445" i="13" s="1"/>
  <c r="E444" i="13"/>
  <c r="A444" i="13" s="1"/>
  <c r="E443" i="13"/>
  <c r="A443" i="13" s="1"/>
  <c r="E442" i="13"/>
  <c r="A442" i="13" s="1"/>
  <c r="E441" i="13"/>
  <c r="A441" i="13" s="1"/>
  <c r="E440" i="13"/>
  <c r="A440" i="13" s="1"/>
  <c r="E439" i="13"/>
  <c r="A439" i="13" s="1"/>
  <c r="E438" i="13"/>
  <c r="A438" i="13" s="1"/>
  <c r="E437" i="13"/>
  <c r="A437" i="13" s="1"/>
  <c r="E436" i="13"/>
  <c r="A436" i="13" s="1"/>
  <c r="E435" i="13"/>
  <c r="A435" i="13" s="1"/>
  <c r="E434" i="13"/>
  <c r="A434" i="13" s="1"/>
  <c r="E433" i="13"/>
  <c r="A433" i="13" s="1"/>
  <c r="E432" i="13"/>
  <c r="A432" i="13" s="1"/>
  <c r="E431" i="13"/>
  <c r="A431" i="13" s="1"/>
  <c r="E430" i="13"/>
  <c r="A430" i="13" s="1"/>
  <c r="E429" i="13"/>
  <c r="A429" i="13" s="1"/>
  <c r="E428" i="13"/>
  <c r="A428" i="13" s="1"/>
  <c r="E427" i="13"/>
  <c r="A427" i="13" s="1"/>
  <c r="E417" i="13"/>
  <c r="A417" i="13" s="1"/>
  <c r="E416" i="13"/>
  <c r="A416" i="13" s="1"/>
  <c r="E415" i="13"/>
  <c r="A415" i="13" s="1"/>
  <c r="E414" i="13"/>
  <c r="A414" i="13" s="1"/>
  <c r="E413" i="13"/>
  <c r="A413" i="13" s="1"/>
  <c r="E412" i="13"/>
  <c r="A412" i="13" s="1"/>
  <c r="E384" i="13"/>
  <c r="A384" i="13" s="1"/>
  <c r="E383" i="13"/>
  <c r="A383" i="13" s="1"/>
  <c r="E382" i="13"/>
  <c r="A382" i="13" s="1"/>
  <c r="E381" i="13"/>
  <c r="A381" i="13" s="1"/>
  <c r="E380" i="13"/>
  <c r="A380" i="13" s="1"/>
  <c r="E379" i="13"/>
  <c r="A379" i="13" s="1"/>
  <c r="E378" i="13"/>
  <c r="A378" i="13" s="1"/>
  <c r="E377" i="13"/>
  <c r="A377" i="13" s="1"/>
  <c r="E376" i="13"/>
  <c r="A376" i="13" s="1"/>
  <c r="E375" i="13"/>
  <c r="A375" i="13" s="1"/>
  <c r="E374" i="13"/>
  <c r="A374" i="13" s="1"/>
  <c r="E373" i="13"/>
  <c r="A373" i="13" s="1"/>
  <c r="E372" i="13"/>
  <c r="A372" i="13" s="1"/>
  <c r="E371" i="13"/>
  <c r="A371" i="13" s="1"/>
  <c r="E370" i="13"/>
  <c r="A370" i="13" s="1"/>
  <c r="E369" i="13"/>
  <c r="A369" i="13" s="1"/>
  <c r="E368" i="13"/>
  <c r="A368" i="13" s="1"/>
  <c r="E367" i="13"/>
  <c r="A367" i="13" s="1"/>
  <c r="E357" i="13"/>
  <c r="A357" i="13" s="1"/>
  <c r="E356" i="13"/>
  <c r="A356" i="13" s="1"/>
  <c r="E355" i="13"/>
  <c r="A355" i="13" s="1"/>
  <c r="E354" i="13"/>
  <c r="A354" i="13" s="1"/>
  <c r="E353" i="13"/>
  <c r="A353" i="13" s="1"/>
  <c r="E352" i="13"/>
  <c r="A352" i="13" s="1"/>
  <c r="E351" i="13"/>
  <c r="A351" i="13" s="1"/>
  <c r="E350" i="13"/>
  <c r="A350" i="13" s="1"/>
  <c r="E349" i="13"/>
  <c r="A349" i="13" s="1"/>
  <c r="E330" i="13"/>
  <c r="A330" i="13" s="1"/>
  <c r="E329" i="13"/>
  <c r="A329" i="13" s="1"/>
  <c r="E328" i="13"/>
  <c r="A328" i="13" s="1"/>
  <c r="E327" i="13"/>
  <c r="A327" i="13" s="1"/>
  <c r="E326" i="13"/>
  <c r="A326" i="13" s="1"/>
  <c r="E325" i="13"/>
  <c r="A325" i="13" s="1"/>
  <c r="E324" i="13"/>
  <c r="A324" i="13" s="1"/>
  <c r="E323" i="13"/>
  <c r="A323" i="13" s="1"/>
  <c r="E322" i="13"/>
  <c r="A322" i="13" s="1"/>
  <c r="E294" i="13"/>
  <c r="A294" i="13" s="1"/>
  <c r="E293" i="13"/>
  <c r="A293" i="13" s="1"/>
  <c r="E292" i="13"/>
  <c r="A292" i="13" s="1"/>
  <c r="E291" i="13"/>
  <c r="A291" i="13" s="1"/>
  <c r="E290" i="13"/>
  <c r="A290" i="13" s="1"/>
  <c r="E289" i="13"/>
  <c r="A289" i="13" s="1"/>
  <c r="E288" i="13"/>
  <c r="A288" i="13" s="1"/>
  <c r="E287" i="13"/>
  <c r="A287" i="13" s="1"/>
  <c r="E286" i="13"/>
  <c r="A286" i="13" s="1"/>
  <c r="E264" i="13"/>
  <c r="A264" i="13" s="1"/>
  <c r="E263" i="13"/>
  <c r="A263" i="13" s="1"/>
  <c r="E262" i="13"/>
  <c r="A262" i="13" s="1"/>
  <c r="E261" i="13"/>
  <c r="A261" i="13" s="1"/>
  <c r="E260" i="13"/>
  <c r="A260" i="13" s="1"/>
  <c r="E259" i="13"/>
  <c r="A259" i="13" s="1"/>
  <c r="E258" i="13"/>
  <c r="A258" i="13" s="1"/>
  <c r="E257" i="13"/>
  <c r="A257" i="13" s="1"/>
  <c r="E256" i="13"/>
  <c r="A256" i="13" s="1"/>
  <c r="E255" i="13"/>
  <c r="A255" i="13" s="1"/>
  <c r="E254" i="13"/>
  <c r="A254" i="13" s="1"/>
  <c r="E253" i="13"/>
  <c r="A253" i="13" s="1"/>
  <c r="E252" i="13"/>
  <c r="A252" i="13" s="1"/>
  <c r="E251" i="13"/>
  <c r="A251" i="13" s="1"/>
  <c r="E250" i="13"/>
  <c r="A250" i="13" s="1"/>
  <c r="E249" i="13"/>
  <c r="A249" i="13" s="1"/>
  <c r="E248" i="13"/>
  <c r="A248" i="13" s="1"/>
  <c r="E247" i="13"/>
  <c r="A247" i="13" s="1"/>
  <c r="E246" i="13"/>
  <c r="A246" i="13" s="1"/>
  <c r="E245" i="13"/>
  <c r="A245" i="13" s="1"/>
  <c r="E244" i="13"/>
  <c r="A244" i="13" s="1"/>
  <c r="E243" i="13"/>
  <c r="A243" i="13" s="1"/>
  <c r="E242" i="13"/>
  <c r="A242" i="13" s="1"/>
  <c r="E241" i="13"/>
  <c r="A241" i="13" s="1"/>
  <c r="E210" i="13"/>
  <c r="A210" i="13" s="1"/>
  <c r="E209" i="13"/>
  <c r="A209" i="13" s="1"/>
  <c r="E208" i="13"/>
  <c r="A208" i="13" s="1"/>
  <c r="E207" i="13"/>
  <c r="A207" i="13" s="1"/>
  <c r="E206" i="13"/>
  <c r="A206" i="13" s="1"/>
  <c r="E205" i="13"/>
  <c r="A205" i="13" s="1"/>
  <c r="E204" i="13"/>
  <c r="A204" i="13" s="1"/>
  <c r="E203" i="13"/>
  <c r="A203" i="13" s="1"/>
  <c r="E202" i="13"/>
  <c r="A202" i="13" s="1"/>
  <c r="E162" i="13"/>
  <c r="A162" i="13" s="1"/>
  <c r="E161" i="13"/>
  <c r="A161" i="13" s="1"/>
  <c r="E160" i="13"/>
  <c r="A160" i="13" s="1"/>
  <c r="E139" i="13"/>
  <c r="A139" i="13" s="1"/>
  <c r="E138" i="13"/>
  <c r="A138" i="13" s="1"/>
  <c r="E137" i="13"/>
  <c r="A137" i="13" s="1"/>
  <c r="E136" i="13"/>
  <c r="A136" i="13" s="1"/>
  <c r="E135" i="13"/>
  <c r="A135" i="13" s="1"/>
  <c r="E134" i="13"/>
  <c r="A134" i="13" s="1"/>
  <c r="E133" i="13"/>
  <c r="A133" i="13" s="1"/>
  <c r="E132" i="13"/>
  <c r="A132" i="13" s="1"/>
  <c r="E131" i="13"/>
  <c r="A131" i="13" s="1"/>
  <c r="E130" i="13"/>
  <c r="A130" i="13" s="1"/>
  <c r="E129" i="13"/>
  <c r="A129" i="13" s="1"/>
  <c r="E128" i="13"/>
  <c r="A128" i="13" s="1"/>
  <c r="E127" i="13"/>
  <c r="A127" i="13" s="1"/>
  <c r="E126" i="13"/>
  <c r="A126" i="13" s="1"/>
  <c r="E125" i="13"/>
  <c r="A125" i="13" s="1"/>
  <c r="E124" i="13"/>
  <c r="A124" i="13" s="1"/>
  <c r="E123" i="13"/>
  <c r="A123" i="13" s="1"/>
  <c r="E122" i="13"/>
  <c r="A122" i="13" s="1"/>
  <c r="E121" i="13"/>
  <c r="A121" i="13" s="1"/>
  <c r="E120" i="13"/>
  <c r="A120" i="13" s="1"/>
  <c r="E119" i="13"/>
  <c r="A119" i="13" s="1"/>
  <c r="E118" i="13"/>
  <c r="A118" i="13" s="1"/>
  <c r="E117" i="13"/>
  <c r="A117" i="13" s="1"/>
  <c r="E116" i="13"/>
  <c r="A116" i="13" s="1"/>
  <c r="E109" i="13"/>
  <c r="A109" i="13" s="1"/>
  <c r="E108" i="13"/>
  <c r="A108" i="13" s="1"/>
  <c r="E107" i="13"/>
  <c r="A107" i="13" s="1"/>
  <c r="E106" i="13"/>
  <c r="A106" i="13" s="1"/>
  <c r="E105" i="13"/>
  <c r="A105" i="13" s="1"/>
  <c r="E104" i="13"/>
  <c r="A104" i="13" s="1"/>
  <c r="E76" i="13"/>
  <c r="A76" i="13" s="1"/>
  <c r="E75" i="13"/>
  <c r="A75" i="13" s="1"/>
  <c r="E74" i="13"/>
  <c r="A74" i="13" s="1"/>
  <c r="E73" i="13"/>
  <c r="A73" i="13" s="1"/>
  <c r="E72" i="13"/>
  <c r="A72" i="13" s="1"/>
  <c r="E71" i="13"/>
  <c r="A71" i="13" s="1"/>
  <c r="E70" i="13"/>
  <c r="A70" i="13" s="1"/>
  <c r="E69" i="13"/>
  <c r="A69" i="13" s="1"/>
  <c r="E68" i="13"/>
  <c r="A68" i="13" s="1"/>
  <c r="E67" i="13"/>
  <c r="A67" i="13" s="1"/>
  <c r="E66" i="13"/>
  <c r="A66" i="13" s="1"/>
  <c r="E65" i="13"/>
  <c r="A65" i="13" s="1"/>
  <c r="E64" i="13"/>
  <c r="A64" i="13" s="1"/>
  <c r="E63" i="13"/>
  <c r="A63" i="13" s="1"/>
  <c r="E62" i="13"/>
  <c r="A62" i="13" s="1"/>
  <c r="E61" i="13"/>
  <c r="A61" i="13" s="1"/>
  <c r="E60" i="13"/>
  <c r="A60" i="13" s="1"/>
  <c r="E59" i="13"/>
  <c r="A59" i="13" s="1"/>
  <c r="E49" i="13"/>
  <c r="A49" i="13" s="1"/>
  <c r="E48" i="13"/>
  <c r="A48" i="13" s="1"/>
  <c r="E47" i="13"/>
  <c r="A47" i="13" s="1"/>
  <c r="E46" i="13"/>
  <c r="A46" i="13" s="1"/>
  <c r="E45" i="13"/>
  <c r="A45" i="13" s="1"/>
  <c r="E44" i="13"/>
  <c r="A44" i="13" s="1"/>
  <c r="E25" i="13"/>
  <c r="A25" i="13" s="1"/>
  <c r="E24" i="13"/>
  <c r="A24" i="13" s="1"/>
  <c r="E23" i="13"/>
  <c r="A23" i="13" s="1"/>
  <c r="E22" i="13"/>
  <c r="A22" i="13" s="1"/>
  <c r="E21" i="13"/>
  <c r="A21" i="13" s="1"/>
  <c r="E20" i="13"/>
  <c r="A20" i="13" s="1"/>
  <c r="E19" i="13"/>
  <c r="E18" i="13"/>
  <c r="E1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576" i="13"/>
  <c r="E576" i="13" s="1"/>
  <c r="A576" i="13" s="1"/>
  <c r="B575" i="13"/>
  <c r="E575" i="13" s="1"/>
  <c r="A575" i="13" s="1"/>
  <c r="B574" i="13"/>
  <c r="E574" i="13" s="1"/>
  <c r="A574" i="13" s="1"/>
  <c r="B573" i="13"/>
  <c r="E573" i="13" s="1"/>
  <c r="A573" i="13" s="1"/>
  <c r="B572" i="13"/>
  <c r="E572" i="13" s="1"/>
  <c r="A572" i="13" s="1"/>
  <c r="B571" i="13"/>
  <c r="E571" i="13" s="1"/>
  <c r="A571" i="13" s="1"/>
  <c r="B570" i="13"/>
  <c r="E570" i="13" s="1"/>
  <c r="A570" i="13" s="1"/>
  <c r="B569" i="13"/>
  <c r="E569" i="13" s="1"/>
  <c r="A569" i="13" s="1"/>
  <c r="B568" i="13"/>
  <c r="E568" i="13" s="1"/>
  <c r="A568" i="13" s="1"/>
  <c r="B567" i="13"/>
  <c r="E567" i="13" s="1"/>
  <c r="A567" i="13" s="1"/>
  <c r="B566" i="13"/>
  <c r="E566" i="13" s="1"/>
  <c r="A566" i="13" s="1"/>
  <c r="B565" i="13"/>
  <c r="E565" i="13" s="1"/>
  <c r="A565" i="13" s="1"/>
  <c r="B564" i="13"/>
  <c r="E564" i="13" s="1"/>
  <c r="A564" i="13" s="1"/>
  <c r="B563" i="13"/>
  <c r="E563" i="13" s="1"/>
  <c r="A563" i="13" s="1"/>
  <c r="B562" i="13"/>
  <c r="E562" i="13" s="1"/>
  <c r="A562" i="13" s="1"/>
  <c r="B561" i="13"/>
  <c r="E561" i="13" s="1"/>
  <c r="A561" i="13" s="1"/>
  <c r="B560" i="13"/>
  <c r="E560" i="13" s="1"/>
  <c r="A560" i="13" s="1"/>
  <c r="B559" i="13"/>
  <c r="E559" i="13" s="1"/>
  <c r="A559" i="13" s="1"/>
  <c r="B558" i="13"/>
  <c r="E558" i="13" s="1"/>
  <c r="A558" i="13" s="1"/>
  <c r="B557" i="13"/>
  <c r="E557" i="13" s="1"/>
  <c r="A557" i="13" s="1"/>
  <c r="B556" i="13"/>
  <c r="E556" i="13" s="1"/>
  <c r="A556" i="13" s="1"/>
  <c r="B555" i="13"/>
  <c r="E555" i="13" s="1"/>
  <c r="A555" i="13" s="1"/>
  <c r="B554" i="13"/>
  <c r="E554" i="13" s="1"/>
  <c r="A554" i="13" s="1"/>
  <c r="B553" i="13"/>
  <c r="E553" i="13" s="1"/>
  <c r="A553" i="13" s="1"/>
  <c r="B552" i="13"/>
  <c r="E552" i="13" s="1"/>
  <c r="A552" i="13" s="1"/>
  <c r="B551" i="13"/>
  <c r="E551" i="13" s="1"/>
  <c r="A551" i="13" s="1"/>
  <c r="B550" i="13"/>
  <c r="E550" i="13" s="1"/>
  <c r="A550" i="13" s="1"/>
  <c r="B549" i="13"/>
  <c r="E549" i="13" s="1"/>
  <c r="A549" i="13" s="1"/>
  <c r="B548" i="13"/>
  <c r="E548" i="13" s="1"/>
  <c r="A548" i="13" s="1"/>
  <c r="B547" i="13"/>
  <c r="E547" i="13" s="1"/>
  <c r="A547" i="13" s="1"/>
  <c r="B546" i="13"/>
  <c r="E546" i="13" s="1"/>
  <c r="A546" i="13" s="1"/>
  <c r="B545" i="13"/>
  <c r="E545" i="13" s="1"/>
  <c r="A545" i="13" s="1"/>
  <c r="B544" i="13"/>
  <c r="E544" i="13" s="1"/>
  <c r="A544" i="13" s="1"/>
  <c r="B534" i="13"/>
  <c r="E534" i="13" s="1"/>
  <c r="A534" i="13" s="1"/>
  <c r="B533" i="13"/>
  <c r="E533" i="13" s="1"/>
  <c r="A533" i="13" s="1"/>
  <c r="B532" i="13"/>
  <c r="E532" i="13" s="1"/>
  <c r="A532" i="13" s="1"/>
  <c r="B531" i="13"/>
  <c r="E531" i="13" s="1"/>
  <c r="A531" i="13" s="1"/>
  <c r="B530" i="13"/>
  <c r="E530" i="13" s="1"/>
  <c r="A530" i="13" s="1"/>
  <c r="B529" i="13"/>
  <c r="E529" i="13" s="1"/>
  <c r="A529" i="13" s="1"/>
  <c r="B528" i="13"/>
  <c r="E528" i="13" s="1"/>
  <c r="A528" i="13" s="1"/>
  <c r="B527" i="13"/>
  <c r="E527" i="13" s="1"/>
  <c r="A527" i="13" s="1"/>
  <c r="B526" i="13"/>
  <c r="E526" i="13" s="1"/>
  <c r="A526" i="13" s="1"/>
  <c r="B525" i="13"/>
  <c r="E525" i="13" s="1"/>
  <c r="A525" i="13" s="1"/>
  <c r="B524" i="13"/>
  <c r="E524" i="13" s="1"/>
  <c r="A524" i="13" s="1"/>
  <c r="B523" i="13"/>
  <c r="E523" i="13" s="1"/>
  <c r="A523" i="13" s="1"/>
  <c r="B522" i="13"/>
  <c r="E522" i="13" s="1"/>
  <c r="A522" i="13" s="1"/>
  <c r="B521" i="13"/>
  <c r="E521" i="13" s="1"/>
  <c r="A521" i="13" s="1"/>
  <c r="B520" i="13"/>
  <c r="E520" i="13" s="1"/>
  <c r="A520" i="13" s="1"/>
  <c r="B519" i="13"/>
  <c r="E519" i="13" s="1"/>
  <c r="A519" i="13" s="1"/>
  <c r="B518" i="13"/>
  <c r="E518" i="13" s="1"/>
  <c r="A518" i="13" s="1"/>
  <c r="B517" i="13"/>
  <c r="E517" i="13" s="1"/>
  <c r="A517" i="13" s="1"/>
  <c r="B516" i="13"/>
  <c r="E516" i="13" s="1"/>
  <c r="A516" i="13" s="1"/>
  <c r="B515" i="13"/>
  <c r="E515" i="13" s="1"/>
  <c r="A515" i="13" s="1"/>
  <c r="B514" i="13"/>
  <c r="E514" i="13" s="1"/>
  <c r="A514" i="13" s="1"/>
  <c r="B513" i="13"/>
  <c r="E513" i="13" s="1"/>
  <c r="A513" i="13" s="1"/>
  <c r="B512" i="13"/>
  <c r="E512" i="13" s="1"/>
  <c r="A512" i="13" s="1"/>
  <c r="B511" i="13"/>
  <c r="E511" i="13" s="1"/>
  <c r="A511" i="13" s="1"/>
  <c r="B510" i="13"/>
  <c r="E510" i="13" s="1"/>
  <c r="A510" i="13" s="1"/>
  <c r="B509" i="13"/>
  <c r="E509" i="13" s="1"/>
  <c r="A509" i="13" s="1"/>
  <c r="B508" i="13"/>
  <c r="E508" i="13" s="1"/>
  <c r="A508" i="13" s="1"/>
  <c r="B507" i="13"/>
  <c r="E507" i="13" s="1"/>
  <c r="A507" i="13" s="1"/>
  <c r="B506" i="13"/>
  <c r="E506" i="13" s="1"/>
  <c r="A506" i="13" s="1"/>
  <c r="B505" i="13"/>
  <c r="E505" i="13" s="1"/>
  <c r="A505" i="13" s="1"/>
  <c r="B504" i="13"/>
  <c r="E504" i="13" s="1"/>
  <c r="A504" i="13" s="1"/>
  <c r="B503" i="13"/>
  <c r="E503" i="13" s="1"/>
  <c r="A503" i="13" s="1"/>
  <c r="B502" i="13"/>
  <c r="E502" i="13" s="1"/>
  <c r="A502" i="13" s="1"/>
  <c r="B501" i="13"/>
  <c r="E501" i="13" s="1"/>
  <c r="A501" i="13" s="1"/>
  <c r="B500" i="13"/>
  <c r="E500" i="13" s="1"/>
  <c r="A500" i="13" s="1"/>
  <c r="B499" i="13"/>
  <c r="E499" i="13" s="1"/>
  <c r="A499" i="13" s="1"/>
  <c r="B498" i="13"/>
  <c r="E498" i="13" s="1"/>
  <c r="A498" i="13" s="1"/>
  <c r="B497" i="13"/>
  <c r="E497" i="13" s="1"/>
  <c r="A497" i="13" s="1"/>
  <c r="B496" i="13"/>
  <c r="E496" i="13" s="1"/>
  <c r="A496" i="13" s="1"/>
  <c r="B495" i="13"/>
  <c r="E495" i="13" s="1"/>
  <c r="A495" i="13" s="1"/>
  <c r="B494" i="13"/>
  <c r="E494" i="13" s="1"/>
  <c r="A494" i="13" s="1"/>
  <c r="B493" i="13"/>
  <c r="E493" i="13" s="1"/>
  <c r="A493" i="13" s="1"/>
  <c r="B492" i="13"/>
  <c r="E492" i="13" s="1"/>
  <c r="A492" i="13" s="1"/>
  <c r="B491" i="13"/>
  <c r="E491" i="13" s="1"/>
  <c r="A491" i="13" s="1"/>
  <c r="B490" i="13"/>
  <c r="E490" i="13" s="1"/>
  <c r="A490" i="13" s="1"/>
  <c r="B489" i="13"/>
  <c r="B488" i="13"/>
  <c r="B487" i="13"/>
  <c r="B486" i="13"/>
  <c r="B485" i="13"/>
  <c r="B484" i="13"/>
  <c r="B483" i="13"/>
  <c r="B482" i="13"/>
  <c r="B481" i="13"/>
  <c r="B471" i="13"/>
  <c r="E471" i="13" s="1"/>
  <c r="A471" i="13" s="1"/>
  <c r="B470" i="13"/>
  <c r="E470" i="13" s="1"/>
  <c r="A470" i="13" s="1"/>
  <c r="B469" i="13"/>
  <c r="E469" i="13" s="1"/>
  <c r="A469" i="13" s="1"/>
  <c r="B468" i="13"/>
  <c r="E468" i="13" s="1"/>
  <c r="A468" i="13" s="1"/>
  <c r="B467" i="13"/>
  <c r="E467" i="13" s="1"/>
  <c r="A467" i="13" s="1"/>
  <c r="B466" i="13"/>
  <c r="E466" i="13" s="1"/>
  <c r="A466" i="13" s="1"/>
  <c r="B465" i="13"/>
  <c r="E465" i="13" s="1"/>
  <c r="A465" i="13" s="1"/>
  <c r="B464" i="13"/>
  <c r="E464" i="13" s="1"/>
  <c r="A464" i="13" s="1"/>
  <c r="B463" i="13"/>
  <c r="E463" i="13" s="1"/>
  <c r="A463" i="13" s="1"/>
  <c r="B462" i="13"/>
  <c r="E462" i="13" s="1"/>
  <c r="A462" i="13" s="1"/>
  <c r="B461" i="13"/>
  <c r="E461" i="13" s="1"/>
  <c r="A461" i="13" s="1"/>
  <c r="B460" i="13"/>
  <c r="E460" i="13" s="1"/>
  <c r="A460" i="13" s="1"/>
  <c r="B459" i="13"/>
  <c r="E459" i="13" s="1"/>
  <c r="A459" i="13" s="1"/>
  <c r="B458" i="13"/>
  <c r="E458" i="13" s="1"/>
  <c r="A458" i="13" s="1"/>
  <c r="B457" i="13"/>
  <c r="E457" i="13" s="1"/>
  <c r="A457" i="13" s="1"/>
  <c r="B456" i="13"/>
  <c r="E456" i="13" s="1"/>
  <c r="A456" i="13" s="1"/>
  <c r="B455" i="13"/>
  <c r="E455" i="13" s="1"/>
  <c r="A455" i="13" s="1"/>
  <c r="B454" i="13"/>
  <c r="E454" i="13" s="1"/>
  <c r="A454" i="13" s="1"/>
  <c r="B426" i="13"/>
  <c r="B425" i="13"/>
  <c r="B424" i="13"/>
  <c r="B423" i="13"/>
  <c r="B422" i="13"/>
  <c r="B421" i="13"/>
  <c r="B420" i="13"/>
  <c r="B419" i="13"/>
  <c r="B418" i="13"/>
  <c r="B411" i="13"/>
  <c r="E411" i="13" s="1"/>
  <c r="A411" i="13" s="1"/>
  <c r="B410" i="13"/>
  <c r="E410" i="13" s="1"/>
  <c r="A410" i="13" s="1"/>
  <c r="B409" i="13"/>
  <c r="E409" i="13" s="1"/>
  <c r="A409" i="13" s="1"/>
  <c r="B408" i="13"/>
  <c r="E408" i="13" s="1"/>
  <c r="A408" i="13" s="1"/>
  <c r="B407" i="13"/>
  <c r="E407" i="13" s="1"/>
  <c r="A407" i="13" s="1"/>
  <c r="B406" i="13"/>
  <c r="E406" i="13" s="1"/>
  <c r="A406" i="13" s="1"/>
  <c r="B405" i="13"/>
  <c r="E405" i="13" s="1"/>
  <c r="A405" i="13" s="1"/>
  <c r="B404" i="13"/>
  <c r="E404" i="13" s="1"/>
  <c r="A404" i="13" s="1"/>
  <c r="B403" i="13"/>
  <c r="E403" i="13" s="1"/>
  <c r="A403" i="13" s="1"/>
  <c r="B402" i="13"/>
  <c r="E402" i="13" s="1"/>
  <c r="A402" i="13" s="1"/>
  <c r="B401" i="13"/>
  <c r="E401" i="13" s="1"/>
  <c r="A401" i="13" s="1"/>
  <c r="B400" i="13"/>
  <c r="E400" i="13" s="1"/>
  <c r="A400" i="13" s="1"/>
  <c r="B399" i="13"/>
  <c r="E399" i="13" s="1"/>
  <c r="A399" i="13" s="1"/>
  <c r="B398" i="13"/>
  <c r="E398" i="13" s="1"/>
  <c r="A398" i="13" s="1"/>
  <c r="B397" i="13"/>
  <c r="E397" i="13" s="1"/>
  <c r="A397" i="13" s="1"/>
  <c r="B396" i="13"/>
  <c r="E396" i="13" s="1"/>
  <c r="A396" i="13" s="1"/>
  <c r="B395" i="13"/>
  <c r="E395" i="13" s="1"/>
  <c r="A395" i="13" s="1"/>
  <c r="B394" i="13"/>
  <c r="E394" i="13" s="1"/>
  <c r="A394" i="13" s="1"/>
  <c r="B393" i="13"/>
  <c r="E393" i="13" s="1"/>
  <c r="A393" i="13" s="1"/>
  <c r="B392" i="13"/>
  <c r="E392" i="13" s="1"/>
  <c r="A392" i="13" s="1"/>
  <c r="B391" i="13"/>
  <c r="E391" i="13" s="1"/>
  <c r="A391" i="13" s="1"/>
  <c r="B390" i="13"/>
  <c r="E390" i="13" s="1"/>
  <c r="A390" i="13" s="1"/>
  <c r="B389" i="13"/>
  <c r="E389" i="13" s="1"/>
  <c r="A389" i="13" s="1"/>
  <c r="B388" i="13"/>
  <c r="E388" i="13" s="1"/>
  <c r="A388" i="13" s="1"/>
  <c r="B387" i="13"/>
  <c r="E387" i="13" s="1"/>
  <c r="A387" i="13" s="1"/>
  <c r="B386" i="13"/>
  <c r="E386" i="13" s="1"/>
  <c r="A386" i="13" s="1"/>
  <c r="B385" i="13"/>
  <c r="E385" i="13" s="1"/>
  <c r="A385" i="13" s="1"/>
  <c r="B366" i="13"/>
  <c r="E366" i="13" s="1"/>
  <c r="A366" i="13" s="1"/>
  <c r="B365" i="13"/>
  <c r="E365" i="13" s="1"/>
  <c r="A365" i="13" s="1"/>
  <c r="B364" i="13"/>
  <c r="E364" i="13" s="1"/>
  <c r="A364" i="13" s="1"/>
  <c r="B363" i="13"/>
  <c r="E363" i="13" s="1"/>
  <c r="A363" i="13" s="1"/>
  <c r="B362" i="13"/>
  <c r="E362" i="13" s="1"/>
  <c r="A362" i="13" s="1"/>
  <c r="B361" i="13"/>
  <c r="E361" i="13" s="1"/>
  <c r="A361" i="13" s="1"/>
  <c r="B360" i="13"/>
  <c r="E360" i="13" s="1"/>
  <c r="A360" i="13" s="1"/>
  <c r="B359" i="13"/>
  <c r="E359" i="13" s="1"/>
  <c r="A359" i="13" s="1"/>
  <c r="B358" i="13"/>
  <c r="E358" i="13" s="1"/>
  <c r="A358" i="13" s="1"/>
  <c r="B348" i="13"/>
  <c r="E348" i="13" s="1"/>
  <c r="A348" i="13" s="1"/>
  <c r="B347" i="13"/>
  <c r="E347" i="13" s="1"/>
  <c r="A347" i="13" s="1"/>
  <c r="B346" i="13"/>
  <c r="E346" i="13" s="1"/>
  <c r="A346" i="13" s="1"/>
  <c r="B345" i="13"/>
  <c r="E345" i="13" s="1"/>
  <c r="A345" i="13" s="1"/>
  <c r="B344" i="13"/>
  <c r="E344" i="13" s="1"/>
  <c r="A344" i="13" s="1"/>
  <c r="B343" i="13"/>
  <c r="E343" i="13" s="1"/>
  <c r="A343" i="13" s="1"/>
  <c r="B342" i="13"/>
  <c r="E342" i="13" s="1"/>
  <c r="A342" i="13" s="1"/>
  <c r="B341" i="13"/>
  <c r="E341" i="13" s="1"/>
  <c r="A341" i="13" s="1"/>
  <c r="B340" i="13"/>
  <c r="E340" i="13" s="1"/>
  <c r="A340" i="13" s="1"/>
  <c r="B339" i="13"/>
  <c r="E339" i="13" s="1"/>
  <c r="A339" i="13" s="1"/>
  <c r="B338" i="13"/>
  <c r="E338" i="13" s="1"/>
  <c r="A338" i="13" s="1"/>
  <c r="B337" i="13"/>
  <c r="E337" i="13" s="1"/>
  <c r="A337" i="13" s="1"/>
  <c r="B336" i="13"/>
  <c r="E336" i="13" s="1"/>
  <c r="A336" i="13" s="1"/>
  <c r="B335" i="13"/>
  <c r="E335" i="13" s="1"/>
  <c r="A335" i="13" s="1"/>
  <c r="B334" i="13"/>
  <c r="E334" i="13" s="1"/>
  <c r="A334" i="13" s="1"/>
  <c r="B333" i="13"/>
  <c r="E333" i="13" s="1"/>
  <c r="A333" i="13" s="1"/>
  <c r="B332" i="13"/>
  <c r="E332" i="13" s="1"/>
  <c r="A332" i="13" s="1"/>
  <c r="B331" i="13"/>
  <c r="E331" i="13" s="1"/>
  <c r="A331" i="13" s="1"/>
  <c r="B321" i="13"/>
  <c r="E321" i="13" s="1"/>
  <c r="A321" i="13" s="1"/>
  <c r="B320" i="13"/>
  <c r="E320" i="13" s="1"/>
  <c r="A320" i="13" s="1"/>
  <c r="B319" i="13"/>
  <c r="E319" i="13" s="1"/>
  <c r="A319" i="13" s="1"/>
  <c r="B318" i="13"/>
  <c r="E318" i="13" s="1"/>
  <c r="A318" i="13" s="1"/>
  <c r="B317" i="13"/>
  <c r="E317" i="13" s="1"/>
  <c r="A317" i="13" s="1"/>
  <c r="B316" i="13"/>
  <c r="E316" i="13" s="1"/>
  <c r="A316" i="13" s="1"/>
  <c r="B315" i="13"/>
  <c r="E315" i="13" s="1"/>
  <c r="A315" i="13" s="1"/>
  <c r="B314" i="13"/>
  <c r="E314" i="13" s="1"/>
  <c r="A314" i="13" s="1"/>
  <c r="B313" i="13"/>
  <c r="E313" i="13" s="1"/>
  <c r="A313" i="13" s="1"/>
  <c r="B312" i="13"/>
  <c r="E312" i="13" s="1"/>
  <c r="A312" i="13" s="1"/>
  <c r="B311" i="13"/>
  <c r="E311" i="13" s="1"/>
  <c r="A311" i="13" s="1"/>
  <c r="B310" i="13"/>
  <c r="E310" i="13" s="1"/>
  <c r="A310" i="13" s="1"/>
  <c r="B309" i="13"/>
  <c r="E309" i="13" s="1"/>
  <c r="A309" i="13" s="1"/>
  <c r="B308" i="13"/>
  <c r="E308" i="13" s="1"/>
  <c r="A308" i="13" s="1"/>
  <c r="B307" i="13"/>
  <c r="E307" i="13" s="1"/>
  <c r="A307" i="13" s="1"/>
  <c r="B306" i="13"/>
  <c r="E306" i="13" s="1"/>
  <c r="A306" i="13" s="1"/>
  <c r="B305" i="13"/>
  <c r="E305" i="13" s="1"/>
  <c r="A305" i="13" s="1"/>
  <c r="B304" i="13"/>
  <c r="E304" i="13" s="1"/>
  <c r="A304" i="13" s="1"/>
  <c r="B303" i="13"/>
  <c r="E303" i="13" s="1"/>
  <c r="A303" i="13" s="1"/>
  <c r="B302" i="13"/>
  <c r="E302" i="13" s="1"/>
  <c r="A302" i="13" s="1"/>
  <c r="B301" i="13"/>
  <c r="E301" i="13" s="1"/>
  <c r="A301" i="13" s="1"/>
  <c r="B300" i="13"/>
  <c r="E300" i="13" s="1"/>
  <c r="A300" i="13" s="1"/>
  <c r="B299" i="13"/>
  <c r="E299" i="13" s="1"/>
  <c r="A299" i="13" s="1"/>
  <c r="B298" i="13"/>
  <c r="E298" i="13" s="1"/>
  <c r="A298" i="13" s="1"/>
  <c r="B297" i="13"/>
  <c r="E297" i="13" s="1"/>
  <c r="A297" i="13" s="1"/>
  <c r="B296" i="13"/>
  <c r="E296" i="13" s="1"/>
  <c r="A296" i="13" s="1"/>
  <c r="B295" i="13"/>
  <c r="E295" i="13" s="1"/>
  <c r="A295" i="13" s="1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40" i="13"/>
  <c r="E240" i="13" s="1"/>
  <c r="A240" i="13" s="1"/>
  <c r="B239" i="13"/>
  <c r="E239" i="13" s="1"/>
  <c r="A239" i="13" s="1"/>
  <c r="B238" i="13"/>
  <c r="E238" i="13" s="1"/>
  <c r="A238" i="13" s="1"/>
  <c r="B237" i="13"/>
  <c r="E237" i="13" s="1"/>
  <c r="A237" i="13" s="1"/>
  <c r="B236" i="13"/>
  <c r="E236" i="13" s="1"/>
  <c r="A236" i="13" s="1"/>
  <c r="B235" i="13"/>
  <c r="E235" i="13" s="1"/>
  <c r="A235" i="13" s="1"/>
  <c r="B234" i="13"/>
  <c r="E234" i="13" s="1"/>
  <c r="A234" i="13" s="1"/>
  <c r="B233" i="13"/>
  <c r="E233" i="13" s="1"/>
  <c r="A233" i="13" s="1"/>
  <c r="B232" i="13"/>
  <c r="E232" i="13" s="1"/>
  <c r="A232" i="13" s="1"/>
  <c r="B231" i="13"/>
  <c r="E231" i="13" s="1"/>
  <c r="A231" i="13" s="1"/>
  <c r="B230" i="13"/>
  <c r="E230" i="13" s="1"/>
  <c r="A230" i="13" s="1"/>
  <c r="B229" i="13"/>
  <c r="E229" i="13" s="1"/>
  <c r="A229" i="13" s="1"/>
  <c r="B228" i="13"/>
  <c r="E228" i="13" s="1"/>
  <c r="A228" i="13" s="1"/>
  <c r="B227" i="13"/>
  <c r="E227" i="13" s="1"/>
  <c r="A227" i="13" s="1"/>
  <c r="B226" i="13"/>
  <c r="E226" i="13" s="1"/>
  <c r="A226" i="13" s="1"/>
  <c r="B225" i="13"/>
  <c r="E225" i="13" s="1"/>
  <c r="A225" i="13" s="1"/>
  <c r="B224" i="13"/>
  <c r="E224" i="13" s="1"/>
  <c r="A224" i="13" s="1"/>
  <c r="B223" i="13"/>
  <c r="E223" i="13" s="1"/>
  <c r="A223" i="13" s="1"/>
  <c r="B222" i="13"/>
  <c r="E222" i="13" s="1"/>
  <c r="A222" i="13" s="1"/>
  <c r="B221" i="13"/>
  <c r="E221" i="13" s="1"/>
  <c r="A221" i="13" s="1"/>
  <c r="B220" i="13"/>
  <c r="E220" i="13" s="1"/>
  <c r="A220" i="13" s="1"/>
  <c r="B219" i="13"/>
  <c r="E219" i="13" s="1"/>
  <c r="A219" i="13" s="1"/>
  <c r="B218" i="13"/>
  <c r="E218" i="13" s="1"/>
  <c r="A218" i="13" s="1"/>
  <c r="B217" i="13"/>
  <c r="E217" i="13" s="1"/>
  <c r="A217" i="13" s="1"/>
  <c r="B216" i="13"/>
  <c r="E216" i="13" s="1"/>
  <c r="A216" i="13" s="1"/>
  <c r="B215" i="13"/>
  <c r="E215" i="13" s="1"/>
  <c r="A215" i="13" s="1"/>
  <c r="B214" i="13"/>
  <c r="E214" i="13" s="1"/>
  <c r="A214" i="13" s="1"/>
  <c r="B213" i="13"/>
  <c r="E213" i="13" s="1"/>
  <c r="A213" i="13" s="1"/>
  <c r="B212" i="13"/>
  <c r="E212" i="13" s="1"/>
  <c r="A212" i="13" s="1"/>
  <c r="B211" i="13"/>
  <c r="E211" i="13" s="1"/>
  <c r="A211" i="13" s="1"/>
  <c r="B201" i="13"/>
  <c r="E201" i="13" s="1"/>
  <c r="A201" i="13" s="1"/>
  <c r="B200" i="13"/>
  <c r="E200" i="13" s="1"/>
  <c r="A200" i="13" s="1"/>
  <c r="B199" i="13"/>
  <c r="E199" i="13" s="1"/>
  <c r="A199" i="13" s="1"/>
  <c r="B198" i="13"/>
  <c r="E198" i="13" s="1"/>
  <c r="A198" i="13" s="1"/>
  <c r="B197" i="13"/>
  <c r="E197" i="13" s="1"/>
  <c r="A197" i="13" s="1"/>
  <c r="B196" i="13"/>
  <c r="E196" i="13" s="1"/>
  <c r="A196" i="13" s="1"/>
  <c r="B195" i="13"/>
  <c r="E195" i="13" s="1"/>
  <c r="A195" i="13" s="1"/>
  <c r="B194" i="13"/>
  <c r="E194" i="13" s="1"/>
  <c r="A194" i="13" s="1"/>
  <c r="B193" i="13"/>
  <c r="E193" i="13" s="1"/>
  <c r="A193" i="13" s="1"/>
  <c r="B192" i="13"/>
  <c r="E192" i="13" s="1"/>
  <c r="A192" i="13" s="1"/>
  <c r="B191" i="13"/>
  <c r="E191" i="13" s="1"/>
  <c r="A191" i="13" s="1"/>
  <c r="B190" i="13"/>
  <c r="E190" i="13" s="1"/>
  <c r="A190" i="13" s="1"/>
  <c r="B189" i="13"/>
  <c r="E189" i="13" s="1"/>
  <c r="A189" i="13" s="1"/>
  <c r="B188" i="13"/>
  <c r="E188" i="13" s="1"/>
  <c r="A188" i="13" s="1"/>
  <c r="B187" i="13"/>
  <c r="E187" i="13" s="1"/>
  <c r="A187" i="13" s="1"/>
  <c r="B186" i="13"/>
  <c r="E186" i="13" s="1"/>
  <c r="A186" i="13" s="1"/>
  <c r="B185" i="13"/>
  <c r="E185" i="13" s="1"/>
  <c r="A185" i="13" s="1"/>
  <c r="B184" i="13"/>
  <c r="E184" i="13" s="1"/>
  <c r="A184" i="13" s="1"/>
  <c r="B183" i="13"/>
  <c r="E183" i="13" s="1"/>
  <c r="A183" i="13" s="1"/>
  <c r="B182" i="13"/>
  <c r="E182" i="13" s="1"/>
  <c r="A182" i="13" s="1"/>
  <c r="B181" i="13"/>
  <c r="E181" i="13" s="1"/>
  <c r="A181" i="13" s="1"/>
  <c r="B180" i="13"/>
  <c r="E180" i="13" s="1"/>
  <c r="A180" i="13" s="1"/>
  <c r="B179" i="13"/>
  <c r="E179" i="13" s="1"/>
  <c r="A179" i="13" s="1"/>
  <c r="B178" i="13"/>
  <c r="E178" i="13" s="1"/>
  <c r="A178" i="13" s="1"/>
  <c r="B177" i="13"/>
  <c r="E177" i="13" s="1"/>
  <c r="A177" i="13" s="1"/>
  <c r="B176" i="13"/>
  <c r="E176" i="13" s="1"/>
  <c r="A176" i="13" s="1"/>
  <c r="B175" i="13"/>
  <c r="E175" i="13" s="1"/>
  <c r="A175" i="13" s="1"/>
  <c r="B174" i="13"/>
  <c r="E174" i="13" s="1"/>
  <c r="A174" i="13" s="1"/>
  <c r="B173" i="13"/>
  <c r="E173" i="13" s="1"/>
  <c r="A173" i="13" s="1"/>
  <c r="B172" i="13"/>
  <c r="E172" i="13" s="1"/>
  <c r="A172" i="13" s="1"/>
  <c r="B171" i="13"/>
  <c r="E171" i="13" s="1"/>
  <c r="A171" i="13" s="1"/>
  <c r="B170" i="13"/>
  <c r="E170" i="13" s="1"/>
  <c r="A170" i="13" s="1"/>
  <c r="B169" i="13"/>
  <c r="E169" i="13" s="1"/>
  <c r="A169" i="13" s="1"/>
  <c r="B168" i="13"/>
  <c r="E168" i="13" s="1"/>
  <c r="A168" i="13" s="1"/>
  <c r="B167" i="13"/>
  <c r="E167" i="13" s="1"/>
  <c r="A167" i="13" s="1"/>
  <c r="B166" i="13"/>
  <c r="E166" i="13" s="1"/>
  <c r="A166" i="13" s="1"/>
  <c r="B165" i="13"/>
  <c r="B164" i="13"/>
  <c r="B163" i="13"/>
  <c r="B159" i="13"/>
  <c r="B158" i="13"/>
  <c r="B157" i="13"/>
  <c r="E157" i="13" s="1"/>
  <c r="A157" i="13" s="1"/>
  <c r="B156" i="13"/>
  <c r="E156" i="13" s="1"/>
  <c r="A156" i="13" s="1"/>
  <c r="B155" i="13"/>
  <c r="E155" i="13" s="1"/>
  <c r="A155" i="13" s="1"/>
  <c r="B154" i="13"/>
  <c r="E154" i="13" s="1"/>
  <c r="A154" i="13" s="1"/>
  <c r="B153" i="13"/>
  <c r="E153" i="13" s="1"/>
  <c r="A153" i="13" s="1"/>
  <c r="B152" i="13"/>
  <c r="E152" i="13" s="1"/>
  <c r="A152" i="13" s="1"/>
  <c r="B151" i="13"/>
  <c r="E151" i="13" s="1"/>
  <c r="A151" i="13" s="1"/>
  <c r="B150" i="13"/>
  <c r="E150" i="13" s="1"/>
  <c r="A150" i="13" s="1"/>
  <c r="B149" i="13"/>
  <c r="E149" i="13" s="1"/>
  <c r="A149" i="13" s="1"/>
  <c r="B148" i="13"/>
  <c r="E148" i="13" s="1"/>
  <c r="A148" i="13" s="1"/>
  <c r="B147" i="13"/>
  <c r="E147" i="13" s="1"/>
  <c r="A147" i="13" s="1"/>
  <c r="B146" i="13"/>
  <c r="E146" i="13" s="1"/>
  <c r="A146" i="13" s="1"/>
  <c r="B145" i="13"/>
  <c r="E145" i="13" s="1"/>
  <c r="A145" i="13" s="1"/>
  <c r="B144" i="13"/>
  <c r="E144" i="13" s="1"/>
  <c r="A144" i="13" s="1"/>
  <c r="B143" i="13"/>
  <c r="E143" i="13" s="1"/>
  <c r="A143" i="13" s="1"/>
  <c r="B142" i="13"/>
  <c r="E142" i="13" s="1"/>
  <c r="A142" i="13" s="1"/>
  <c r="B141" i="13"/>
  <c r="E141" i="13" s="1"/>
  <c r="A141" i="13" s="1"/>
  <c r="B140" i="13"/>
  <c r="E140" i="13" s="1"/>
  <c r="A140" i="13" s="1"/>
  <c r="B115" i="13"/>
  <c r="B114" i="13"/>
  <c r="B113" i="13"/>
  <c r="B112" i="13"/>
  <c r="B111" i="13"/>
  <c r="B110" i="13"/>
  <c r="B103" i="13"/>
  <c r="E103" i="13" s="1"/>
  <c r="A103" i="13" s="1"/>
  <c r="B102" i="13"/>
  <c r="E102" i="13" s="1"/>
  <c r="A102" i="13" s="1"/>
  <c r="B101" i="13"/>
  <c r="E101" i="13" s="1"/>
  <c r="A101" i="13" s="1"/>
  <c r="B100" i="13"/>
  <c r="E100" i="13" s="1"/>
  <c r="A100" i="13" s="1"/>
  <c r="B99" i="13"/>
  <c r="E99" i="13" s="1"/>
  <c r="A99" i="13" s="1"/>
  <c r="B98" i="13"/>
  <c r="E98" i="13" s="1"/>
  <c r="A98" i="13" s="1"/>
  <c r="B97" i="13"/>
  <c r="E97" i="13" s="1"/>
  <c r="A97" i="13" s="1"/>
  <c r="B96" i="13"/>
  <c r="E96" i="13" s="1"/>
  <c r="A96" i="13" s="1"/>
  <c r="B95" i="13"/>
  <c r="E95" i="13" s="1"/>
  <c r="A95" i="13" s="1"/>
  <c r="B94" i="13"/>
  <c r="E94" i="13" s="1"/>
  <c r="A94" i="13" s="1"/>
  <c r="B93" i="13"/>
  <c r="E93" i="13" s="1"/>
  <c r="A93" i="13" s="1"/>
  <c r="B92" i="13"/>
  <c r="E92" i="13" s="1"/>
  <c r="A92" i="13" s="1"/>
  <c r="B91" i="13"/>
  <c r="E91" i="13" s="1"/>
  <c r="A91" i="13" s="1"/>
  <c r="B90" i="13"/>
  <c r="E90" i="13" s="1"/>
  <c r="A90" i="13" s="1"/>
  <c r="B89" i="13"/>
  <c r="E89" i="13" s="1"/>
  <c r="A89" i="13" s="1"/>
  <c r="B88" i="13"/>
  <c r="E88" i="13" s="1"/>
  <c r="A88" i="13" s="1"/>
  <c r="B87" i="13"/>
  <c r="E87" i="13" s="1"/>
  <c r="A87" i="13" s="1"/>
  <c r="B86" i="13"/>
  <c r="E86" i="13" s="1"/>
  <c r="A86" i="13" s="1"/>
  <c r="B85" i="13"/>
  <c r="E85" i="13" s="1"/>
  <c r="A85" i="13" s="1"/>
  <c r="B84" i="13"/>
  <c r="E84" i="13" s="1"/>
  <c r="A84" i="13" s="1"/>
  <c r="B83" i="13"/>
  <c r="E83" i="13" s="1"/>
  <c r="A83" i="13" s="1"/>
  <c r="B82" i="13"/>
  <c r="E82" i="13" s="1"/>
  <c r="A82" i="13" s="1"/>
  <c r="B81" i="13"/>
  <c r="E81" i="13" s="1"/>
  <c r="A81" i="13" s="1"/>
  <c r="B80" i="13"/>
  <c r="E80" i="13" s="1"/>
  <c r="A80" i="13" s="1"/>
  <c r="B79" i="13"/>
  <c r="E79" i="13" s="1"/>
  <c r="A79" i="13" s="1"/>
  <c r="B78" i="13"/>
  <c r="E78" i="13" s="1"/>
  <c r="A78" i="13" s="1"/>
  <c r="B77" i="13"/>
  <c r="E77" i="13" s="1"/>
  <c r="A77" i="13" s="1"/>
  <c r="B58" i="13"/>
  <c r="E58" i="13" s="1"/>
  <c r="A58" i="13" s="1"/>
  <c r="B57" i="13"/>
  <c r="E57" i="13" s="1"/>
  <c r="A57" i="13" s="1"/>
  <c r="B56" i="13"/>
  <c r="E56" i="13" s="1"/>
  <c r="A56" i="13" s="1"/>
  <c r="B55" i="13"/>
  <c r="E55" i="13" s="1"/>
  <c r="A55" i="13" s="1"/>
  <c r="B54" i="13"/>
  <c r="E54" i="13" s="1"/>
  <c r="A54" i="13" s="1"/>
  <c r="B53" i="13"/>
  <c r="E53" i="13" s="1"/>
  <c r="A53" i="13" s="1"/>
  <c r="B52" i="13"/>
  <c r="E52" i="13" s="1"/>
  <c r="A52" i="13" s="1"/>
  <c r="B51" i="13"/>
  <c r="E51" i="13" s="1"/>
  <c r="A51" i="13" s="1"/>
  <c r="B50" i="13"/>
  <c r="E50" i="13" s="1"/>
  <c r="A50" i="13" s="1"/>
  <c r="B43" i="13"/>
  <c r="E43" i="13" s="1"/>
  <c r="A43" i="13" s="1"/>
  <c r="B42" i="13"/>
  <c r="E42" i="13" s="1"/>
  <c r="A42" i="13" s="1"/>
  <c r="B41" i="13"/>
  <c r="E41" i="13" s="1"/>
  <c r="A41" i="13" s="1"/>
  <c r="B40" i="13"/>
  <c r="E40" i="13" s="1"/>
  <c r="A40" i="13" s="1"/>
  <c r="B39" i="13"/>
  <c r="E39" i="13" s="1"/>
  <c r="A39" i="13" s="1"/>
  <c r="B38" i="13"/>
  <c r="E38" i="13" s="1"/>
  <c r="A38" i="13" s="1"/>
  <c r="B37" i="13"/>
  <c r="E37" i="13" s="1"/>
  <c r="A37" i="13" s="1"/>
  <c r="B36" i="13"/>
  <c r="E36" i="13" s="1"/>
  <c r="A36" i="13" s="1"/>
  <c r="B35" i="13"/>
  <c r="E35" i="13" s="1"/>
  <c r="A35" i="13" s="1"/>
  <c r="B34" i="13"/>
  <c r="E34" i="13" s="1"/>
  <c r="A34" i="13" s="1"/>
  <c r="B33" i="13"/>
  <c r="E33" i="13" s="1"/>
  <c r="A33" i="13" s="1"/>
  <c r="B32" i="13"/>
  <c r="E32" i="13" s="1"/>
  <c r="A32" i="13" s="1"/>
  <c r="B31" i="13"/>
  <c r="E31" i="13" s="1"/>
  <c r="A31" i="13" s="1"/>
  <c r="B30" i="13"/>
  <c r="E30" i="13" s="1"/>
  <c r="A30" i="13" s="1"/>
  <c r="B29" i="13"/>
  <c r="E29" i="13" s="1"/>
  <c r="A29" i="13" s="1"/>
  <c r="B28" i="13"/>
  <c r="E28" i="13" s="1"/>
  <c r="A28" i="13" s="1"/>
  <c r="B27" i="13"/>
  <c r="E27" i="13" s="1"/>
  <c r="A27" i="13" s="1"/>
  <c r="B26" i="13"/>
  <c r="E26" i="13" s="1"/>
  <c r="A26" i="13" s="1"/>
  <c r="B16" i="13"/>
  <c r="E16" i="13" s="1"/>
  <c r="A16" i="13" s="1"/>
  <c r="B15" i="13"/>
  <c r="E15" i="13" s="1"/>
  <c r="A15" i="13" s="1"/>
  <c r="B14" i="13"/>
  <c r="E14" i="13" s="1"/>
  <c r="A14" i="13" s="1"/>
  <c r="B13" i="13"/>
  <c r="E13" i="13" s="1"/>
  <c r="A13" i="13" s="1"/>
  <c r="B12" i="13"/>
  <c r="E12" i="13" s="1"/>
  <c r="A12" i="13" s="1"/>
  <c r="B11" i="13"/>
  <c r="E11" i="13" s="1"/>
  <c r="A11" i="13" s="1"/>
  <c r="B10" i="13"/>
  <c r="E10" i="13" s="1"/>
  <c r="A10" i="13" s="1"/>
  <c r="B9" i="13"/>
  <c r="E9" i="13" s="1"/>
  <c r="A9" i="13" s="1"/>
  <c r="B8" i="13"/>
  <c r="E8" i="13" s="1"/>
  <c r="A8" i="13" s="1"/>
  <c r="B7" i="13"/>
  <c r="E7" i="13" s="1"/>
  <c r="A7" i="13" s="1"/>
  <c r="B6" i="13"/>
  <c r="E6" i="13" s="1"/>
  <c r="A6" i="13" s="1"/>
  <c r="B5" i="13"/>
  <c r="E5" i="13" s="1"/>
  <c r="A5" i="13" s="1"/>
  <c r="B4" i="13"/>
  <c r="E4" i="13" s="1"/>
  <c r="Q583" i="2" s="1"/>
  <c r="B3" i="13"/>
  <c r="E3" i="13" s="1"/>
  <c r="P350" i="2" s="1"/>
  <c r="B2" i="13"/>
  <c r="E2" i="13" s="1"/>
  <c r="O604" i="2" l="1"/>
  <c r="Q324" i="2"/>
  <c r="O349" i="2"/>
  <c r="O345" i="2"/>
  <c r="O291" i="2"/>
  <c r="P287" i="2"/>
  <c r="Q343" i="2"/>
  <c r="P358" i="2"/>
  <c r="P99" i="2"/>
  <c r="O102" i="2"/>
  <c r="P362" i="2"/>
  <c r="P379" i="2"/>
  <c r="O249" i="2"/>
  <c r="O254" i="2"/>
  <c r="Q130" i="2"/>
  <c r="P72" i="2"/>
  <c r="O348" i="2"/>
  <c r="Q349" i="2"/>
  <c r="Q345" i="2"/>
  <c r="Q292" i="2"/>
  <c r="O287" i="2"/>
  <c r="O343" i="2"/>
  <c r="Q100" i="2"/>
  <c r="O99" i="2"/>
  <c r="Q102" i="2"/>
  <c r="Q34" i="2"/>
  <c r="O379" i="2"/>
  <c r="Q249" i="2"/>
  <c r="P108" i="2"/>
  <c r="O130" i="2"/>
  <c r="O72" i="2"/>
  <c r="Q348" i="2"/>
  <c r="P348" i="2"/>
  <c r="Q326" i="2"/>
  <c r="Q316" i="2"/>
  <c r="P292" i="2"/>
  <c r="Q330" i="2"/>
  <c r="O289" i="2"/>
  <c r="P98" i="2"/>
  <c r="O100" i="2"/>
  <c r="P240" i="2"/>
  <c r="Q243" i="2"/>
  <c r="O34" i="2"/>
  <c r="O355" i="2"/>
  <c r="Q107" i="2"/>
  <c r="Q108" i="2"/>
  <c r="P111" i="2"/>
  <c r="Q75" i="2"/>
  <c r="P346" i="2"/>
  <c r="O326" i="2"/>
  <c r="P316" i="2"/>
  <c r="Q335" i="2"/>
  <c r="P330" i="2"/>
  <c r="P289" i="2"/>
  <c r="O98" i="2"/>
  <c r="Q241" i="2"/>
  <c r="O240" i="2"/>
  <c r="O243" i="2"/>
  <c r="P245" i="2"/>
  <c r="Q355" i="2"/>
  <c r="P107" i="2"/>
  <c r="O128" i="2"/>
  <c r="O111" i="2"/>
  <c r="P75" i="2"/>
  <c r="Q346" i="2"/>
  <c r="O350" i="2"/>
  <c r="O316" i="2"/>
  <c r="P335" i="2"/>
  <c r="Q290" i="2"/>
  <c r="Q289" i="2"/>
  <c r="Q98" i="2"/>
  <c r="P241" i="2"/>
  <c r="Q101" i="2"/>
  <c r="P243" i="2"/>
  <c r="O245" i="2"/>
  <c r="O247" i="2"/>
  <c r="O107" i="2"/>
  <c r="Q128" i="2"/>
  <c r="P255" i="2"/>
  <c r="O75" i="2"/>
  <c r="O346" i="2"/>
  <c r="Q350" i="2"/>
  <c r="P328" i="2"/>
  <c r="O335" i="2"/>
  <c r="O290" i="2"/>
  <c r="O344" i="2"/>
  <c r="P239" i="2"/>
  <c r="O241" i="2"/>
  <c r="P101" i="2"/>
  <c r="P103" i="2"/>
  <c r="Q245" i="2"/>
  <c r="P247" i="2"/>
  <c r="P110" i="2"/>
  <c r="P128" i="2"/>
  <c r="O255" i="2"/>
  <c r="Q95" i="2"/>
  <c r="P347" i="2"/>
  <c r="O617" i="2"/>
  <c r="O481" i="2"/>
  <c r="O565" i="2"/>
  <c r="O545" i="2"/>
  <c r="Q506" i="2"/>
  <c r="Q546" i="2"/>
  <c r="O567" i="2"/>
  <c r="Q593" i="2"/>
  <c r="P613" i="2"/>
  <c r="O493" i="2"/>
  <c r="Q530" i="2"/>
  <c r="Q497" i="2"/>
  <c r="P617" i="2"/>
  <c r="O541" i="2"/>
  <c r="P565" i="2"/>
  <c r="Q507" i="2"/>
  <c r="O628" i="2"/>
  <c r="P546" i="2"/>
  <c r="O526" i="2"/>
  <c r="O593" i="2"/>
  <c r="O547" i="2"/>
  <c r="Q608" i="2"/>
  <c r="O546" i="2"/>
  <c r="Q517" i="2"/>
  <c r="O563" i="2"/>
  <c r="P585" i="2"/>
  <c r="P507" i="2"/>
  <c r="Q628" i="2"/>
  <c r="Q589" i="2"/>
  <c r="P608" i="2"/>
  <c r="P628" i="2"/>
  <c r="Q613" i="2"/>
  <c r="O497" i="2"/>
  <c r="O478" i="2"/>
  <c r="Q478" i="2"/>
  <c r="O583" i="2"/>
  <c r="Q493" i="2"/>
  <c r="P609" i="2"/>
  <c r="O527" i="2"/>
  <c r="P530" i="2"/>
  <c r="Q549" i="2"/>
  <c r="O613" i="2"/>
  <c r="P551" i="2"/>
  <c r="Q635" i="2"/>
  <c r="P478" i="2"/>
  <c r="Q522" i="2"/>
  <c r="O504" i="2"/>
  <c r="O609" i="2"/>
  <c r="Q509" i="2"/>
  <c r="Q572" i="2"/>
  <c r="P549" i="2"/>
  <c r="Q528" i="2"/>
  <c r="O572" i="2"/>
  <c r="P500" i="2"/>
  <c r="Q551" i="2"/>
  <c r="P479" i="2"/>
  <c r="O522" i="2"/>
  <c r="P504" i="2"/>
  <c r="P629" i="2"/>
  <c r="P509" i="2"/>
  <c r="P572" i="2"/>
  <c r="O549" i="2"/>
  <c r="O607" i="2"/>
  <c r="Q571" i="2"/>
  <c r="P511" i="2"/>
  <c r="O537" i="2"/>
  <c r="O581" i="2"/>
  <c r="O621" i="2"/>
  <c r="P624" i="2"/>
  <c r="P607" i="2"/>
  <c r="P528" i="2"/>
  <c r="P571" i="2"/>
  <c r="Q592" i="2"/>
  <c r="O511" i="2"/>
  <c r="P531" i="2"/>
  <c r="P538" i="2"/>
  <c r="Q534" i="2"/>
  <c r="O533" i="2"/>
  <c r="P483" i="2"/>
  <c r="Q538" i="2"/>
  <c r="Q624" i="2"/>
  <c r="Q596" i="2"/>
  <c r="O595" i="2"/>
  <c r="O571" i="2"/>
  <c r="Q533" i="2"/>
  <c r="O624" i="2"/>
  <c r="O596" i="2"/>
  <c r="Q591" i="2"/>
  <c r="P534" i="2"/>
  <c r="O454" i="2"/>
  <c r="P503" i="2"/>
  <c r="O505" i="2"/>
  <c r="Q455" i="2"/>
  <c r="P635" i="2"/>
  <c r="P497" i="2"/>
  <c r="O573" i="2"/>
  <c r="Q481" i="2"/>
  <c r="Q543" i="2"/>
  <c r="P505" i="2"/>
  <c r="O506" i="2"/>
  <c r="P593" i="2"/>
  <c r="Q687" i="2"/>
  <c r="P517" i="2"/>
  <c r="Q539" i="2"/>
  <c r="O535" i="2"/>
  <c r="P603" i="2"/>
  <c r="O615" i="2"/>
  <c r="O585" i="2"/>
  <c r="O627" i="2"/>
  <c r="Q545" i="2"/>
  <c r="O629" i="2"/>
  <c r="P455" i="2"/>
  <c r="Q527" i="2"/>
  <c r="P591" i="2"/>
  <c r="P589" i="2"/>
  <c r="P592" i="2"/>
  <c r="P567" i="2"/>
  <c r="O453" i="2"/>
  <c r="O517" i="2"/>
  <c r="Q561" i="2"/>
  <c r="Q535" i="2"/>
  <c r="O603" i="2"/>
  <c r="P615" i="2"/>
  <c r="Q585" i="2"/>
  <c r="Q627" i="2"/>
  <c r="P545" i="2"/>
  <c r="Q629" i="2"/>
  <c r="O455" i="2"/>
  <c r="P527" i="2"/>
  <c r="O591" i="2"/>
  <c r="O589" i="2"/>
  <c r="O592" i="2"/>
  <c r="Q567" i="2"/>
  <c r="Q511" i="2"/>
  <c r="P453" i="2"/>
  <c r="P518" i="2"/>
  <c r="O561" i="2"/>
  <c r="P535" i="2"/>
  <c r="O482" i="2"/>
  <c r="P514" i="2"/>
  <c r="Q605" i="2"/>
  <c r="P627" i="2"/>
  <c r="O568" i="2"/>
  <c r="Q508" i="2"/>
  <c r="O587" i="2"/>
  <c r="Q689" i="2"/>
  <c r="Q611" i="2"/>
  <c r="Q510" i="2"/>
  <c r="Q612" i="2"/>
  <c r="O577" i="2"/>
  <c r="O560" i="2"/>
  <c r="Q581" i="2"/>
  <c r="P599" i="2"/>
  <c r="O502" i="2"/>
  <c r="O514" i="2"/>
  <c r="O625" i="2"/>
  <c r="O513" i="2"/>
  <c r="Q568" i="2"/>
  <c r="P508" i="2"/>
  <c r="P587" i="2"/>
  <c r="P689" i="2"/>
  <c r="P611" i="2"/>
  <c r="O510" i="2"/>
  <c r="P612" i="2"/>
  <c r="Q526" i="2"/>
  <c r="Q531" i="2"/>
  <c r="P526" i="2"/>
  <c r="Q577" i="2"/>
  <c r="P580" i="2"/>
  <c r="P581" i="2"/>
  <c r="Q499" i="2"/>
  <c r="P522" i="2"/>
  <c r="O483" i="2"/>
  <c r="P493" i="2"/>
  <c r="Q513" i="2"/>
  <c r="P568" i="2"/>
  <c r="O508" i="2"/>
  <c r="Q587" i="2"/>
  <c r="O689" i="2"/>
  <c r="O611" i="2"/>
  <c r="P510" i="2"/>
  <c r="O612" i="2"/>
  <c r="O531" i="2"/>
  <c r="Q576" i="2"/>
  <c r="O580" i="2"/>
  <c r="O597" i="2"/>
  <c r="Q600" i="2"/>
  <c r="Q597" i="2"/>
  <c r="P600" i="2"/>
  <c r="O636" i="2"/>
  <c r="P501" i="2"/>
  <c r="P542" i="2"/>
  <c r="O503" i="2"/>
  <c r="Q457" i="2"/>
  <c r="Q495" i="2"/>
  <c r="O507" i="2"/>
  <c r="O528" i="2"/>
  <c r="P506" i="2"/>
  <c r="O509" i="2"/>
  <c r="O635" i="2"/>
  <c r="Q550" i="2"/>
  <c r="O515" i="2"/>
  <c r="P569" i="2"/>
  <c r="O551" i="2"/>
  <c r="P597" i="2"/>
  <c r="P616" i="2"/>
  <c r="O477" i="2"/>
  <c r="O501" i="2"/>
  <c r="P584" i="2"/>
  <c r="Q523" i="2"/>
  <c r="O457" i="2"/>
  <c r="Q537" i="2"/>
  <c r="Q547" i="2"/>
  <c r="Q595" i="2"/>
  <c r="O588" i="2"/>
  <c r="Q529" i="2"/>
  <c r="P525" i="2"/>
  <c r="P550" i="2"/>
  <c r="P515" i="2"/>
  <c r="O569" i="2"/>
  <c r="P573" i="2"/>
  <c r="Q515" i="2"/>
  <c r="Q573" i="2"/>
  <c r="Q579" i="2"/>
  <c r="P559" i="2"/>
  <c r="Q477" i="2"/>
  <c r="Q501" i="2"/>
  <c r="P604" i="2"/>
  <c r="O543" i="2"/>
  <c r="Q504" i="2"/>
  <c r="P537" i="2"/>
  <c r="P547" i="2"/>
  <c r="P595" i="2"/>
  <c r="Q588" i="2"/>
  <c r="O529" i="2"/>
  <c r="Q525" i="2"/>
  <c r="O550" i="2"/>
  <c r="Q569" i="2"/>
  <c r="O494" i="2"/>
  <c r="P724" i="2"/>
  <c r="O647" i="2"/>
  <c r="P577" i="2"/>
  <c r="P579" i="2"/>
  <c r="O458" i="2"/>
  <c r="O600" i="2"/>
  <c r="Q479" i="2"/>
  <c r="Q601" i="2"/>
  <c r="O538" i="2"/>
  <c r="Q599" i="2"/>
  <c r="P521" i="2"/>
  <c r="Q603" i="2"/>
  <c r="Q542" i="2"/>
  <c r="P532" i="2"/>
  <c r="Q503" i="2"/>
  <c r="P605" i="2"/>
  <c r="Q524" i="2"/>
  <c r="P596" i="2"/>
  <c r="P647" i="2"/>
  <c r="O637" i="2"/>
  <c r="O579" i="2"/>
  <c r="P458" i="2"/>
  <c r="Q620" i="2"/>
  <c r="O479" i="2"/>
  <c r="P601" i="2"/>
  <c r="P459" i="2"/>
  <c r="O599" i="2"/>
  <c r="O521" i="2"/>
  <c r="P623" i="2"/>
  <c r="O542" i="2"/>
  <c r="Q532" i="2"/>
  <c r="O523" i="2"/>
  <c r="O605" i="2"/>
  <c r="O524" i="2"/>
  <c r="O495" i="2"/>
  <c r="Q647" i="2"/>
  <c r="Q637" i="2"/>
  <c r="P619" i="2"/>
  <c r="Q458" i="2"/>
  <c r="P620" i="2"/>
  <c r="Q519" i="2"/>
  <c r="O601" i="2"/>
  <c r="Q459" i="2"/>
  <c r="Q498" i="2"/>
  <c r="Q521" i="2"/>
  <c r="Q623" i="2"/>
  <c r="P564" i="2"/>
  <c r="O532" i="2"/>
  <c r="P523" i="2"/>
  <c r="Q625" i="2"/>
  <c r="P524" i="2"/>
  <c r="P495" i="2"/>
  <c r="O638" i="2"/>
  <c r="P637" i="2"/>
  <c r="Q619" i="2"/>
  <c r="Q518" i="2"/>
  <c r="O620" i="2"/>
  <c r="P519" i="2"/>
  <c r="Q621" i="2"/>
  <c r="O459" i="2"/>
  <c r="P498" i="2"/>
  <c r="P541" i="2"/>
  <c r="O623" i="2"/>
  <c r="Q564" i="2"/>
  <c r="Q638" i="2"/>
  <c r="Q575" i="2"/>
  <c r="O619" i="2"/>
  <c r="O518" i="2"/>
  <c r="Q616" i="2"/>
  <c r="O519" i="2"/>
  <c r="P621" i="2"/>
  <c r="Q500" i="2"/>
  <c r="O498" i="2"/>
  <c r="Q541" i="2"/>
  <c r="P482" i="2"/>
  <c r="O564" i="2"/>
  <c r="Q615" i="2"/>
  <c r="P543" i="2"/>
  <c r="P625" i="2"/>
  <c r="Q607" i="2"/>
  <c r="P638" i="2"/>
  <c r="O687" i="2"/>
  <c r="O575" i="2"/>
  <c r="Q494" i="2"/>
  <c r="Q560" i="2"/>
  <c r="O616" i="2"/>
  <c r="P539" i="2"/>
  <c r="Q636" i="2"/>
  <c r="O500" i="2"/>
  <c r="P499" i="2"/>
  <c r="P563" i="2"/>
  <c r="Q482" i="2"/>
  <c r="Q584" i="2"/>
  <c r="Q514" i="2"/>
  <c r="P687" i="2"/>
  <c r="O576" i="2"/>
  <c r="P494" i="2"/>
  <c r="P560" i="2"/>
  <c r="Q559" i="2"/>
  <c r="O539" i="2"/>
  <c r="P636" i="2"/>
  <c r="P454" i="2"/>
  <c r="O499" i="2"/>
  <c r="Q563" i="2"/>
  <c r="P502" i="2"/>
  <c r="O584" i="2"/>
  <c r="Q453" i="2"/>
  <c r="P576" i="2"/>
  <c r="Q617" i="2"/>
  <c r="Q580" i="2"/>
  <c r="O559" i="2"/>
  <c r="P561" i="2"/>
  <c r="P477" i="2"/>
  <c r="Q454" i="2"/>
  <c r="P481" i="2"/>
  <c r="P583" i="2"/>
  <c r="Q502" i="2"/>
  <c r="Q604" i="2"/>
  <c r="Q483" i="2"/>
  <c r="Q565" i="2"/>
  <c r="P457" i="2"/>
  <c r="P513" i="2"/>
  <c r="Q505" i="2"/>
  <c r="Q609" i="2"/>
  <c r="O534" i="2"/>
  <c r="P588" i="2"/>
  <c r="P529" i="2"/>
  <c r="O525" i="2"/>
  <c r="O530" i="2"/>
  <c r="P533" i="2"/>
  <c r="O608" i="2"/>
  <c r="P43" i="2"/>
  <c r="P575" i="2"/>
  <c r="Q940" i="2"/>
  <c r="Q730" i="2"/>
  <c r="Q789" i="2"/>
  <c r="O726" i="2"/>
  <c r="O743" i="2"/>
  <c r="Q739" i="2"/>
  <c r="P723" i="2"/>
  <c r="P728" i="2"/>
  <c r="P755" i="2"/>
  <c r="P727" i="2"/>
  <c r="Q726" i="2"/>
  <c r="P743" i="2"/>
  <c r="O739" i="2"/>
  <c r="Q723" i="2"/>
  <c r="O728" i="2"/>
  <c r="Q727" i="2"/>
  <c r="P726" i="2"/>
  <c r="Q725" i="2"/>
  <c r="Q743" i="2"/>
  <c r="O723" i="2"/>
  <c r="Q728" i="2"/>
  <c r="O738" i="2"/>
  <c r="Q740" i="2"/>
  <c r="O725" i="2"/>
  <c r="Q737" i="2"/>
  <c r="Q736" i="2"/>
  <c r="P736" i="2"/>
  <c r="P725" i="2"/>
  <c r="Q741" i="2"/>
  <c r="P737" i="2"/>
  <c r="O736" i="2"/>
  <c r="P741" i="2"/>
  <c r="O737" i="2"/>
  <c r="P730" i="2"/>
  <c r="Q757" i="2"/>
  <c r="Q724" i="2"/>
  <c r="O724" i="2"/>
  <c r="O730" i="2"/>
  <c r="O741" i="2"/>
  <c r="O729" i="2"/>
  <c r="P735" i="2"/>
  <c r="O735" i="2"/>
  <c r="P732" i="2"/>
  <c r="P729" i="2"/>
  <c r="P738" i="2"/>
  <c r="Q735" i="2"/>
  <c r="O732" i="2"/>
  <c r="Q729" i="2"/>
  <c r="Q732" i="2"/>
  <c r="O757" i="2"/>
  <c r="P740" i="2"/>
  <c r="O727" i="2"/>
  <c r="P757" i="2"/>
  <c r="O740" i="2"/>
  <c r="P739" i="2"/>
  <c r="Q755" i="2"/>
  <c r="O755" i="2"/>
  <c r="Q738" i="2"/>
  <c r="Q43" i="2"/>
  <c r="O900" i="2"/>
  <c r="P897" i="2"/>
  <c r="O789" i="2"/>
  <c r="Q900" i="2"/>
  <c r="P792" i="2"/>
  <c r="P900" i="2"/>
  <c r="O792" i="2"/>
  <c r="O777" i="2"/>
  <c r="P779" i="2"/>
  <c r="O785" i="2"/>
  <c r="O790" i="2"/>
  <c r="Q790" i="2"/>
  <c r="O784" i="2"/>
  <c r="Q925" i="2"/>
  <c r="Q792" i="2"/>
  <c r="Q777" i="2"/>
  <c r="P778" i="2"/>
  <c r="Q785" i="2"/>
  <c r="P780" i="2"/>
  <c r="Q778" i="2"/>
  <c r="P899" i="2"/>
  <c r="Q902" i="2"/>
  <c r="P776" i="2"/>
  <c r="O781" i="2"/>
  <c r="P790" i="2"/>
  <c r="P918" i="2"/>
  <c r="Q897" i="2"/>
  <c r="O919" i="2"/>
  <c r="O925" i="2"/>
  <c r="O780" i="2"/>
  <c r="P777" i="2"/>
  <c r="O778" i="2"/>
  <c r="O776" i="2"/>
  <c r="P925" i="2"/>
  <c r="P902" i="2"/>
  <c r="Q776" i="2"/>
  <c r="Q780" i="2"/>
  <c r="Q775" i="2"/>
  <c r="O791" i="2"/>
  <c r="O903" i="2"/>
  <c r="Q904" i="2"/>
  <c r="P904" i="2"/>
  <c r="Q918" i="2"/>
  <c r="O917" i="2"/>
  <c r="P781" i="2"/>
  <c r="O918" i="2"/>
  <c r="P895" i="2"/>
  <c r="O779" i="2"/>
  <c r="P785" i="2"/>
  <c r="O899" i="2"/>
  <c r="Q791" i="2"/>
  <c r="O902" i="2"/>
  <c r="P775" i="2"/>
  <c r="Q903" i="2"/>
  <c r="Q899" i="2"/>
  <c r="P791" i="2"/>
  <c r="P917" i="2"/>
  <c r="O775" i="2"/>
  <c r="P903" i="2"/>
  <c r="O904" i="2"/>
  <c r="Q781" i="2"/>
  <c r="Q917" i="2"/>
  <c r="Q895" i="2"/>
  <c r="Q919" i="2"/>
  <c r="Q779" i="2"/>
  <c r="O897" i="2"/>
  <c r="P789" i="2"/>
  <c r="O895" i="2"/>
  <c r="P919" i="2"/>
  <c r="Q784" i="2"/>
  <c r="P784" i="2"/>
  <c r="P312" i="2"/>
  <c r="O58" i="2"/>
  <c r="O43" i="2"/>
  <c r="Q58" i="2"/>
  <c r="O877" i="2"/>
  <c r="P869" i="2"/>
  <c r="P58" i="2"/>
  <c r="O869" i="2"/>
  <c r="Q877" i="2"/>
  <c r="P24" i="2"/>
  <c r="P877" i="2"/>
  <c r="Q869" i="2"/>
  <c r="O24" i="2"/>
  <c r="Q24" i="2"/>
  <c r="P975" i="2"/>
  <c r="P846" i="2"/>
  <c r="P297" i="2"/>
  <c r="Q857" i="2"/>
  <c r="Q187" i="2"/>
  <c r="Q956" i="2"/>
  <c r="P939" i="2"/>
  <c r="O187" i="2"/>
  <c r="O1127" i="2"/>
  <c r="Q1155" i="2"/>
  <c r="O1125" i="2"/>
  <c r="P956" i="2"/>
  <c r="Q939" i="2"/>
  <c r="P190" i="2"/>
  <c r="O939" i="2"/>
  <c r="O190" i="2"/>
  <c r="Q1160" i="2"/>
  <c r="P308" i="2"/>
  <c r="P1114" i="2"/>
  <c r="Q1169" i="2"/>
  <c r="O1155" i="2"/>
  <c r="Q1125" i="2"/>
  <c r="Q861" i="2"/>
  <c r="P977" i="2"/>
  <c r="P862" i="2"/>
  <c r="Q1172" i="2"/>
  <c r="O975" i="2"/>
  <c r="O1212" i="2"/>
  <c r="Q941" i="2"/>
  <c r="P1125" i="2"/>
  <c r="P861" i="2"/>
  <c r="Q189" i="2"/>
  <c r="Q953" i="2"/>
  <c r="Q1154" i="2"/>
  <c r="P849" i="2"/>
  <c r="P1051" i="2"/>
  <c r="Q1061" i="2"/>
  <c r="P1111" i="2"/>
  <c r="O941" i="2"/>
  <c r="Q971" i="2"/>
  <c r="P1119" i="2"/>
  <c r="Q1115" i="2"/>
  <c r="P1117" i="2"/>
  <c r="P1160" i="2"/>
  <c r="P1115" i="2"/>
  <c r="Q1117" i="2"/>
  <c r="Q989" i="2"/>
  <c r="O1117" i="2"/>
  <c r="O1051" i="2"/>
  <c r="P1156" i="2"/>
  <c r="O1114" i="2"/>
  <c r="P1172" i="2"/>
  <c r="P1061" i="2"/>
  <c r="P1159" i="2"/>
  <c r="P973" i="2"/>
  <c r="P989" i="2"/>
  <c r="P160" i="2"/>
  <c r="P821" i="2"/>
  <c r="Q1114" i="2"/>
  <c r="O1156" i="2"/>
  <c r="O1172" i="2"/>
  <c r="O977" i="2"/>
  <c r="P1154" i="2"/>
  <c r="O312" i="2"/>
  <c r="O1160" i="2"/>
  <c r="O862" i="2"/>
  <c r="P824" i="2"/>
  <c r="P860" i="2"/>
  <c r="O810" i="2"/>
  <c r="O854" i="2"/>
  <c r="P814" i="2"/>
  <c r="P854" i="2"/>
  <c r="O819" i="2"/>
  <c r="O846" i="2"/>
  <c r="P156" i="2"/>
  <c r="Q821" i="2"/>
  <c r="O1154" i="2"/>
  <c r="Q274" i="2"/>
  <c r="Q1212" i="2"/>
  <c r="Q1040" i="2"/>
  <c r="Q160" i="2"/>
  <c r="O156" i="2"/>
  <c r="Q159" i="2"/>
  <c r="Q1073" i="2"/>
  <c r="P1212" i="2"/>
  <c r="P1040" i="2"/>
  <c r="O160" i="2"/>
  <c r="O159" i="2"/>
  <c r="O1159" i="2"/>
  <c r="Q1130" i="2"/>
  <c r="O821" i="2"/>
  <c r="Q819" i="2"/>
  <c r="P1128" i="2"/>
  <c r="P1155" i="2"/>
  <c r="O973" i="2"/>
  <c r="Q310" i="2"/>
  <c r="Q1156" i="2"/>
  <c r="P940" i="2"/>
  <c r="Q311" i="2"/>
  <c r="O989" i="2"/>
  <c r="Q814" i="2"/>
  <c r="P1053" i="2"/>
  <c r="O956" i="2"/>
  <c r="O1119" i="2"/>
  <c r="P990" i="2"/>
  <c r="Q1051" i="2"/>
  <c r="P857" i="2"/>
  <c r="O1115" i="2"/>
  <c r="O953" i="2"/>
  <c r="O311" i="2"/>
  <c r="O1064" i="2"/>
  <c r="O306" i="2"/>
  <c r="O1073" i="2"/>
  <c r="Q1043" i="2"/>
  <c r="O1040" i="2"/>
  <c r="Q1041" i="2"/>
  <c r="P159" i="2"/>
  <c r="Q1159" i="2"/>
  <c r="P1130" i="2"/>
  <c r="P1157" i="2"/>
  <c r="P819" i="2"/>
  <c r="O1128" i="2"/>
  <c r="P817" i="2"/>
  <c r="Q973" i="2"/>
  <c r="O310" i="2"/>
  <c r="Q848" i="2"/>
  <c r="O940" i="2"/>
  <c r="P311" i="2"/>
  <c r="Q1122" i="2"/>
  <c r="O814" i="2"/>
  <c r="O1053" i="2"/>
  <c r="O1121" i="2"/>
  <c r="O857" i="2"/>
  <c r="O937" i="2"/>
  <c r="O1113" i="2"/>
  <c r="O1041" i="2"/>
  <c r="O1130" i="2"/>
  <c r="O817" i="2"/>
  <c r="O990" i="2"/>
  <c r="O1162" i="2"/>
  <c r="O827" i="2"/>
  <c r="O1213" i="2"/>
  <c r="O1043" i="2"/>
  <c r="Q1074" i="2"/>
  <c r="P1041" i="2"/>
  <c r="O305" i="2"/>
  <c r="P1110" i="2"/>
  <c r="O1157" i="2"/>
  <c r="P1086" i="2"/>
  <c r="P818" i="2"/>
  <c r="Q817" i="2"/>
  <c r="O1085" i="2"/>
  <c r="P851" i="2"/>
  <c r="O848" i="2"/>
  <c r="O992" i="2"/>
  <c r="P815" i="2"/>
  <c r="O1122" i="2"/>
  <c r="Q812" i="2"/>
  <c r="Q813" i="2"/>
  <c r="O1167" i="2"/>
  <c r="O1060" i="2"/>
  <c r="O1163" i="2"/>
  <c r="O1059" i="2"/>
  <c r="O855" i="2"/>
  <c r="O1111" i="2"/>
  <c r="O823" i="2"/>
  <c r="Q1213" i="2"/>
  <c r="P1074" i="2"/>
  <c r="O1211" i="2"/>
  <c r="Q822" i="2"/>
  <c r="Q305" i="2"/>
  <c r="O1110" i="2"/>
  <c r="O307" i="2"/>
  <c r="O1086" i="2"/>
  <c r="O818" i="2"/>
  <c r="O847" i="2"/>
  <c r="Q1085" i="2"/>
  <c r="Q851" i="2"/>
  <c r="O994" i="2"/>
  <c r="Q992" i="2"/>
  <c r="O815" i="2"/>
  <c r="Q1170" i="2"/>
  <c r="O812" i="2"/>
  <c r="O813" i="2"/>
  <c r="P991" i="2"/>
  <c r="O1062" i="2"/>
  <c r="O859" i="2"/>
  <c r="O954" i="2"/>
  <c r="O1118" i="2"/>
  <c r="O826" i="2"/>
  <c r="O1161" i="2"/>
  <c r="O824" i="2"/>
  <c r="O1164" i="2"/>
  <c r="O1074" i="2"/>
  <c r="P1039" i="2"/>
  <c r="Q1211" i="2"/>
  <c r="O822" i="2"/>
  <c r="Q1112" i="2"/>
  <c r="Q1110" i="2"/>
  <c r="P307" i="2"/>
  <c r="O309" i="2"/>
  <c r="Q818" i="2"/>
  <c r="P847" i="2"/>
  <c r="Q1126" i="2"/>
  <c r="O851" i="2"/>
  <c r="Q994" i="2"/>
  <c r="P972" i="2"/>
  <c r="Q815" i="2"/>
  <c r="P1170" i="2"/>
  <c r="O1171" i="2"/>
  <c r="P813" i="2"/>
  <c r="O991" i="2"/>
  <c r="P1165" i="2"/>
  <c r="O936" i="2"/>
  <c r="O811" i="2"/>
  <c r="O825" i="2"/>
  <c r="O938" i="2"/>
  <c r="O860" i="2"/>
  <c r="O1063" i="2"/>
  <c r="O308" i="2"/>
  <c r="Q1044" i="2"/>
  <c r="Q1039" i="2"/>
  <c r="P1211" i="2"/>
  <c r="P822" i="2"/>
  <c r="P1112" i="2"/>
  <c r="P1158" i="2"/>
  <c r="Q307" i="2"/>
  <c r="P309" i="2"/>
  <c r="O974" i="2"/>
  <c r="Q847" i="2"/>
  <c r="P1126" i="2"/>
  <c r="O820" i="2"/>
  <c r="P994" i="2"/>
  <c r="O972" i="2"/>
  <c r="Q1124" i="2"/>
  <c r="O1170" i="2"/>
  <c r="P1171" i="2"/>
  <c r="Q955" i="2"/>
  <c r="Q991" i="2"/>
  <c r="O1165" i="2"/>
  <c r="O1116" i="2"/>
  <c r="O1120" i="2"/>
  <c r="O845" i="2"/>
  <c r="O858" i="2"/>
  <c r="O1168" i="2"/>
  <c r="O1166" i="2"/>
  <c r="O861" i="2"/>
  <c r="O1044" i="2"/>
  <c r="Q1075" i="2"/>
  <c r="O1039" i="2"/>
  <c r="P1042" i="2"/>
  <c r="Q852" i="2"/>
  <c r="O1112" i="2"/>
  <c r="Q1158" i="2"/>
  <c r="O850" i="2"/>
  <c r="Q309" i="2"/>
  <c r="Q974" i="2"/>
  <c r="P961" i="2"/>
  <c r="O1126" i="2"/>
  <c r="Q820" i="2"/>
  <c r="Q816" i="2"/>
  <c r="Q972" i="2"/>
  <c r="P1124" i="2"/>
  <c r="Q853" i="2"/>
  <c r="O935" i="2"/>
  <c r="O856" i="2"/>
  <c r="O1084" i="2"/>
  <c r="O1052" i="2"/>
  <c r="O971" i="2"/>
  <c r="O1169" i="2"/>
  <c r="P1044" i="2"/>
  <c r="O1075" i="2"/>
  <c r="O1042" i="2"/>
  <c r="P852" i="2"/>
  <c r="Q997" i="2"/>
  <c r="O1158" i="2"/>
  <c r="Q850" i="2"/>
  <c r="Q976" i="2"/>
  <c r="P974" i="2"/>
  <c r="O961" i="2"/>
  <c r="Q1174" i="2"/>
  <c r="P820" i="2"/>
  <c r="P816" i="2"/>
  <c r="Q1084" i="2"/>
  <c r="O1124" i="2"/>
  <c r="P853" i="2"/>
  <c r="O955" i="2"/>
  <c r="O958" i="2"/>
  <c r="O1123" i="2"/>
  <c r="O297" i="2"/>
  <c r="O189" i="2"/>
  <c r="O997" i="2"/>
  <c r="O1061" i="2"/>
  <c r="P1075" i="2"/>
  <c r="O852" i="2"/>
  <c r="O976" i="2"/>
  <c r="O849" i="2"/>
  <c r="O816" i="2"/>
  <c r="O853" i="2"/>
  <c r="O1174" i="2"/>
  <c r="O1050" i="2"/>
  <c r="P259" i="2"/>
  <c r="P810" i="2"/>
  <c r="P187" i="2"/>
  <c r="P827" i="2"/>
  <c r="P953" i="2"/>
  <c r="P310" i="2"/>
  <c r="P1163" i="2"/>
  <c r="P189" i="2"/>
  <c r="P1167" i="2"/>
  <c r="P1162" i="2"/>
  <c r="P992" i="2"/>
  <c r="P812" i="2"/>
  <c r="P1059" i="2"/>
  <c r="P1118" i="2"/>
  <c r="P1073" i="2"/>
  <c r="P1213" i="2"/>
  <c r="P1043" i="2"/>
  <c r="P305" i="2"/>
  <c r="P1085" i="2"/>
  <c r="P848" i="2"/>
  <c r="P1122" i="2"/>
  <c r="P937" i="2"/>
  <c r="P1121" i="2"/>
  <c r="P1062" i="2"/>
  <c r="P811" i="2"/>
  <c r="P938" i="2"/>
  <c r="P1064" i="2"/>
  <c r="P1113" i="2"/>
  <c r="P936" i="2"/>
  <c r="P1060" i="2"/>
  <c r="P845" i="2"/>
  <c r="P823" i="2"/>
  <c r="P859" i="2"/>
  <c r="P1116" i="2"/>
  <c r="P826" i="2"/>
  <c r="P858" i="2"/>
  <c r="P1063" i="2"/>
  <c r="P971" i="2"/>
  <c r="P1084" i="2"/>
  <c r="P954" i="2"/>
  <c r="P856" i="2"/>
  <c r="P1161" i="2"/>
  <c r="P1050" i="2"/>
  <c r="P1169" i="2"/>
  <c r="P976" i="2"/>
  <c r="P855" i="2"/>
  <c r="P955" i="2"/>
  <c r="P825" i="2"/>
  <c r="P1123" i="2"/>
  <c r="P958" i="2"/>
  <c r="P1168" i="2"/>
  <c r="P1052" i="2"/>
  <c r="P935" i="2"/>
  <c r="P1166" i="2"/>
  <c r="P1120" i="2"/>
  <c r="P941" i="2"/>
  <c r="P997" i="2"/>
  <c r="P850" i="2"/>
  <c r="P1127" i="2"/>
  <c r="P1174" i="2"/>
  <c r="P1164" i="2"/>
  <c r="P306" i="2"/>
  <c r="Q937" i="2"/>
  <c r="Q1162" i="2"/>
  <c r="Q854" i="2"/>
  <c r="Q1053" i="2"/>
  <c r="Q1167" i="2"/>
  <c r="Q1119" i="2"/>
  <c r="Q990" i="2"/>
  <c r="Q1163" i="2"/>
  <c r="Q810" i="2"/>
  <c r="Q1064" i="2"/>
  <c r="Q827" i="2"/>
  <c r="Q1062" i="2"/>
  <c r="Q1060" i="2"/>
  <c r="Q1113" i="2"/>
  <c r="Q156" i="2"/>
  <c r="Q1157" i="2"/>
  <c r="Q1086" i="2"/>
  <c r="Q1128" i="2"/>
  <c r="Q1121" i="2"/>
  <c r="Q977" i="2"/>
  <c r="Q936" i="2"/>
  <c r="Q1118" i="2"/>
  <c r="Q826" i="2"/>
  <c r="Q849" i="2"/>
  <c r="Q190" i="2"/>
  <c r="Q811" i="2"/>
  <c r="Q1059" i="2"/>
  <c r="Q938" i="2"/>
  <c r="Q312" i="2"/>
  <c r="Q1111" i="2"/>
  <c r="Q845" i="2"/>
  <c r="Q954" i="2"/>
  <c r="Q858" i="2"/>
  <c r="Q1161" i="2"/>
  <c r="Q308" i="2"/>
  <c r="Q1168" i="2"/>
  <c r="Q862" i="2"/>
  <c r="Q935" i="2"/>
  <c r="Q859" i="2"/>
  <c r="Q825" i="2"/>
  <c r="Q1123" i="2"/>
  <c r="Q1063" i="2"/>
  <c r="Q846" i="2"/>
  <c r="Q975" i="2"/>
  <c r="Q1171" i="2"/>
  <c r="Q1052" i="2"/>
  <c r="Q1165" i="2"/>
  <c r="Q1166" i="2"/>
  <c r="Q1116" i="2"/>
  <c r="Q1120" i="2"/>
  <c r="Q958" i="2"/>
  <c r="Q1050" i="2"/>
  <c r="Q1127" i="2"/>
  <c r="Q860" i="2"/>
  <c r="Q823" i="2"/>
  <c r="Q1164" i="2"/>
  <c r="Q855" i="2"/>
  <c r="Q856" i="2"/>
  <c r="Q824" i="2"/>
  <c r="Q1042" i="2"/>
  <c r="Q306" i="2"/>
  <c r="Q961" i="2"/>
  <c r="Q297" i="2"/>
  <c r="Q1220" i="2"/>
  <c r="O269" i="2"/>
  <c r="Q273" i="2"/>
  <c r="P268" i="2"/>
  <c r="Q270" i="2"/>
  <c r="P273" i="2"/>
  <c r="Q272" i="2"/>
  <c r="O270" i="2"/>
  <c r="P274" i="2"/>
  <c r="O271" i="2"/>
  <c r="P270" i="2"/>
  <c r="O274" i="2"/>
  <c r="P272" i="2"/>
  <c r="O267" i="2"/>
  <c r="P267" i="2"/>
  <c r="Q267" i="2"/>
  <c r="O259" i="2"/>
  <c r="O272" i="2"/>
  <c r="Q271" i="2"/>
  <c r="Q259" i="2"/>
  <c r="O268" i="2"/>
  <c r="P271" i="2"/>
  <c r="Q268" i="2"/>
  <c r="Q269" i="2"/>
  <c r="O273" i="2"/>
  <c r="P269" i="2"/>
  <c r="Q1300" i="2"/>
  <c r="Q59" i="2"/>
  <c r="P44" i="2"/>
  <c r="O44" i="2"/>
  <c r="O59" i="2"/>
  <c r="P59" i="2"/>
  <c r="Q44" i="2"/>
  <c r="P1221" i="2"/>
  <c r="O1216" i="2"/>
  <c r="O1220" i="2"/>
  <c r="P1216" i="2"/>
  <c r="Q1234" i="2"/>
  <c r="Q1216" i="2"/>
  <c r="O1234" i="2"/>
  <c r="P1220" i="2"/>
  <c r="Q1221" i="2"/>
  <c r="O1221" i="2"/>
  <c r="P1234" i="2"/>
  <c r="P155" i="2"/>
  <c r="Q60" i="2"/>
  <c r="P60" i="2"/>
  <c r="O60" i="2"/>
  <c r="Q25" i="2"/>
  <c r="P25" i="2"/>
  <c r="O25" i="2"/>
  <c r="O1300" i="2"/>
  <c r="P1300" i="2"/>
  <c r="O1320" i="2"/>
  <c r="Q1318" i="2"/>
  <c r="Q1253" i="2"/>
  <c r="P1253" i="2"/>
  <c r="O1252" i="2"/>
  <c r="Q1252" i="2"/>
  <c r="P1254" i="2"/>
  <c r="Q1320" i="2"/>
  <c r="P1299" i="2"/>
  <c r="P1318" i="2"/>
  <c r="O1299" i="2"/>
  <c r="O1318" i="2"/>
  <c r="Q1299" i="2"/>
  <c r="O1253" i="2"/>
  <c r="P1252" i="2"/>
  <c r="O1254" i="2"/>
  <c r="Q1319" i="2"/>
  <c r="O1319" i="2"/>
  <c r="Q1254" i="2"/>
  <c r="P1319" i="2"/>
  <c r="P158" i="2"/>
  <c r="P1320" i="2"/>
  <c r="O1210" i="2"/>
  <c r="P896" i="2"/>
  <c r="O896" i="2"/>
  <c r="Q896" i="2"/>
  <c r="Q901" i="2"/>
  <c r="O901" i="2"/>
  <c r="P901" i="2"/>
  <c r="P898" i="2"/>
  <c r="Q898" i="2"/>
  <c r="O898" i="2"/>
  <c r="O155" i="2"/>
  <c r="Q155" i="2"/>
  <c r="Q158" i="2"/>
  <c r="O158" i="2"/>
  <c r="P23" i="2"/>
  <c r="O23" i="2"/>
  <c r="Q23" i="2"/>
  <c r="P57" i="2"/>
  <c r="O57" i="2"/>
  <c r="Q57" i="2"/>
  <c r="Q1015" i="2"/>
  <c r="P1208" i="2"/>
  <c r="Q1207" i="2"/>
  <c r="P1207" i="2"/>
  <c r="P1215" i="2"/>
  <c r="Q1206" i="2"/>
  <c r="Q1208" i="2"/>
  <c r="Q1205" i="2"/>
  <c r="O1208" i="2"/>
  <c r="O1207" i="2"/>
  <c r="Q1210" i="2"/>
  <c r="Q1215" i="2"/>
  <c r="O1214" i="2"/>
  <c r="P1210" i="2"/>
  <c r="O1215" i="2"/>
  <c r="P1206" i="2"/>
  <c r="P1209" i="2"/>
  <c r="P1205" i="2"/>
  <c r="O1209" i="2"/>
  <c r="O1206" i="2"/>
  <c r="Q1209" i="2"/>
  <c r="O1205" i="2"/>
  <c r="Q1214" i="2"/>
  <c r="P1214" i="2"/>
  <c r="P552" i="2"/>
  <c r="P1020" i="2"/>
  <c r="P754" i="2"/>
  <c r="Q1014" i="2"/>
  <c r="Q1016" i="2"/>
  <c r="O1018" i="2"/>
  <c r="Q1018" i="2"/>
  <c r="P1014" i="2"/>
  <c r="P1016" i="2"/>
  <c r="P1298" i="2"/>
  <c r="P1011" i="2"/>
  <c r="O1014" i="2"/>
  <c r="O1016" i="2"/>
  <c r="O1298" i="2"/>
  <c r="O1020" i="2"/>
  <c r="Q1019" i="2"/>
  <c r="P1017" i="2"/>
  <c r="Q1298" i="2"/>
  <c r="P1019" i="2"/>
  <c r="O1017" i="2"/>
  <c r="Q1012" i="2"/>
  <c r="O1019" i="2"/>
  <c r="Q1017" i="2"/>
  <c r="P1012" i="2"/>
  <c r="Q1013" i="2"/>
  <c r="Q1011" i="2"/>
  <c r="Q1020" i="2"/>
  <c r="O1012" i="2"/>
  <c r="P1013" i="2"/>
  <c r="P1015" i="2"/>
  <c r="O1011" i="2"/>
  <c r="O1015" i="2"/>
  <c r="P1018" i="2"/>
  <c r="O1013" i="2"/>
  <c r="O154" i="2"/>
  <c r="P428" i="2"/>
  <c r="O428" i="2"/>
  <c r="Q428" i="2"/>
  <c r="Q404" i="2"/>
  <c r="P404" i="2"/>
  <c r="O404" i="2"/>
  <c r="Q385" i="2"/>
  <c r="P385" i="2"/>
  <c r="O385" i="2"/>
  <c r="O754" i="2"/>
  <c r="Q754" i="2"/>
  <c r="P367" i="2"/>
  <c r="Q367" i="2"/>
  <c r="O367" i="2"/>
  <c r="Q368" i="2"/>
  <c r="O368" i="2"/>
  <c r="P368" i="2"/>
  <c r="P1409" i="2"/>
  <c r="P1401" i="2"/>
  <c r="O1397" i="2"/>
  <c r="O876" i="2"/>
  <c r="Q871" i="2"/>
  <c r="P1446" i="2"/>
  <c r="O1447" i="2"/>
  <c r="O1445" i="2"/>
  <c r="P553" i="2"/>
  <c r="Q552" i="2"/>
  <c r="P154" i="2"/>
  <c r="P157" i="2"/>
  <c r="Q154" i="2"/>
  <c r="O552" i="2"/>
  <c r="Q553" i="2"/>
  <c r="O157" i="2"/>
  <c r="Q157" i="2"/>
  <c r="O553" i="2"/>
  <c r="Q1416" i="2"/>
  <c r="Q1483" i="2"/>
  <c r="P1490" i="2"/>
  <c r="P1433" i="2"/>
  <c r="Q1412" i="2"/>
  <c r="P1405" i="2"/>
  <c r="P1400" i="2"/>
  <c r="O1396" i="2"/>
  <c r="P872" i="2"/>
  <c r="O1411" i="2"/>
  <c r="P1484" i="2"/>
  <c r="O1433" i="2"/>
  <c r="P1411" i="2"/>
  <c r="O1405" i="2"/>
  <c r="O1400" i="2"/>
  <c r="P876" i="2"/>
  <c r="O872" i="2"/>
  <c r="P1399" i="2"/>
  <c r="P1483" i="2"/>
  <c r="O1429" i="2"/>
  <c r="Q1410" i="2"/>
  <c r="P1403" i="2"/>
  <c r="O1399" i="2"/>
  <c r="Q875" i="2"/>
  <c r="P871" i="2"/>
  <c r="P1445" i="2"/>
  <c r="P1447" i="2"/>
  <c r="P1481" i="2"/>
  <c r="Q1418" i="2"/>
  <c r="Q1409" i="2"/>
  <c r="O1403" i="2"/>
  <c r="Q1398" i="2"/>
  <c r="P875" i="2"/>
  <c r="O871" i="2"/>
  <c r="Q1445" i="2"/>
  <c r="Q1447" i="2"/>
  <c r="Q1402" i="2"/>
  <c r="P1398" i="2"/>
  <c r="O875" i="2"/>
  <c r="Q870" i="2"/>
  <c r="O1407" i="2"/>
  <c r="O1479" i="2"/>
  <c r="P1417" i="2"/>
  <c r="P1478" i="2"/>
  <c r="O1417" i="2"/>
  <c r="O1409" i="2"/>
  <c r="P1402" i="2"/>
  <c r="O1398" i="2"/>
  <c r="Q874" i="2"/>
  <c r="P870" i="2"/>
  <c r="O1415" i="2"/>
  <c r="Q1401" i="2"/>
  <c r="O874" i="2"/>
  <c r="P1444" i="2"/>
  <c r="O1478" i="2"/>
  <c r="P1415" i="2"/>
  <c r="Q1408" i="2"/>
  <c r="O1402" i="2"/>
  <c r="Q1397" i="2"/>
  <c r="P874" i="2"/>
  <c r="O870" i="2"/>
  <c r="P1476" i="2"/>
  <c r="P1407" i="2"/>
  <c r="P1397" i="2"/>
  <c r="O1446" i="2"/>
  <c r="Q1414" i="2"/>
  <c r="Q873" i="2"/>
  <c r="O1444" i="2"/>
  <c r="P1413" i="2"/>
  <c r="Q1406" i="2"/>
  <c r="O1401" i="2"/>
  <c r="Q1396" i="2"/>
  <c r="P873" i="2"/>
  <c r="Q1446" i="2"/>
  <c r="P1429" i="2"/>
  <c r="Q1440" i="2"/>
  <c r="O1413" i="2"/>
  <c r="Q1405" i="2"/>
  <c r="Q1400" i="2"/>
  <c r="P1396" i="2"/>
  <c r="O873" i="2"/>
  <c r="Q1404" i="2"/>
  <c r="P1492" i="2"/>
  <c r="O1483" i="2"/>
  <c r="Q1477" i="2"/>
  <c r="P1440" i="2"/>
  <c r="P1418" i="2"/>
  <c r="P1414" i="2"/>
  <c r="P1410" i="2"/>
  <c r="P1406" i="2"/>
  <c r="P1491" i="2"/>
  <c r="P1482" i="2"/>
  <c r="P1477" i="2"/>
  <c r="O1440" i="2"/>
  <c r="O1418" i="2"/>
  <c r="O1414" i="2"/>
  <c r="O1410" i="2"/>
  <c r="O1406" i="2"/>
  <c r="O1491" i="2"/>
  <c r="Q1481" i="2"/>
  <c r="O1477" i="2"/>
  <c r="Q1433" i="2"/>
  <c r="Q1417" i="2"/>
  <c r="Q1413" i="2"/>
  <c r="P1489" i="2"/>
  <c r="O1481" i="2"/>
  <c r="O1476" i="2"/>
  <c r="O1489" i="2"/>
  <c r="P1480" i="2"/>
  <c r="Q1475" i="2"/>
  <c r="Q1430" i="2"/>
  <c r="P1488" i="2"/>
  <c r="O1480" i="2"/>
  <c r="P1475" i="2"/>
  <c r="P1430" i="2"/>
  <c r="P1416" i="2"/>
  <c r="P1412" i="2"/>
  <c r="P1408" i="2"/>
  <c r="P1404" i="2"/>
  <c r="P1487" i="2"/>
  <c r="Q1479" i="2"/>
  <c r="O1475" i="2"/>
  <c r="O1430" i="2"/>
  <c r="O1416" i="2"/>
  <c r="O1412" i="2"/>
  <c r="O1408" i="2"/>
  <c r="O1404" i="2"/>
  <c r="O1487" i="2"/>
  <c r="P1479" i="2"/>
  <c r="Q1444" i="2"/>
  <c r="Q1429" i="2"/>
  <c r="Q1415" i="2"/>
  <c r="Q1411" i="2"/>
  <c r="Q1407" i="2"/>
  <c r="Q1403" i="2"/>
  <c r="Q1399" i="2"/>
  <c r="Q876" i="2"/>
  <c r="Q872" i="2"/>
  <c r="T1492" i="2"/>
  <c r="T1490" i="2"/>
  <c r="T1488" i="2"/>
  <c r="T1486" i="2"/>
  <c r="T1484" i="2"/>
  <c r="T1482" i="2"/>
  <c r="T1480" i="2"/>
  <c r="T1478" i="2"/>
  <c r="T1476" i="2"/>
  <c r="T1474" i="2"/>
  <c r="T1472" i="2"/>
  <c r="T1470" i="2"/>
  <c r="T1468" i="2"/>
  <c r="T1466" i="2"/>
  <c r="T1464" i="2"/>
  <c r="T1462" i="2"/>
  <c r="T1460" i="2"/>
  <c r="T1458" i="2"/>
  <c r="T1456" i="2"/>
  <c r="T1454" i="2"/>
  <c r="S1492" i="2"/>
  <c r="S1490" i="2"/>
  <c r="S1488" i="2"/>
  <c r="S1486" i="2"/>
  <c r="S1484" i="2"/>
  <c r="S1482" i="2"/>
  <c r="S1480" i="2"/>
  <c r="S1478" i="2"/>
  <c r="S1476" i="2"/>
  <c r="S1474" i="2"/>
  <c r="S1472" i="2"/>
  <c r="S1470" i="2"/>
  <c r="S1468" i="2"/>
  <c r="S1466" i="2"/>
  <c r="S1464" i="2"/>
  <c r="S1462" i="2"/>
  <c r="S1460" i="2"/>
  <c r="S1458" i="2"/>
  <c r="S1456" i="2"/>
  <c r="S1454" i="2"/>
  <c r="R1492" i="2"/>
  <c r="R1490" i="2"/>
  <c r="R1488" i="2"/>
  <c r="R1486" i="2"/>
  <c r="R1484" i="2"/>
  <c r="R1482" i="2"/>
  <c r="R1480" i="2"/>
  <c r="R1478" i="2"/>
  <c r="R1476" i="2"/>
  <c r="R1474" i="2"/>
  <c r="R1472" i="2"/>
  <c r="R1470" i="2"/>
  <c r="R1468" i="2"/>
  <c r="R1466" i="2"/>
  <c r="R1464" i="2"/>
  <c r="R1462" i="2"/>
  <c r="R1460" i="2"/>
  <c r="R1458" i="2"/>
  <c r="R1456" i="2"/>
  <c r="R1454" i="2"/>
  <c r="R1452" i="2"/>
  <c r="R1450" i="2"/>
  <c r="R1448" i="2"/>
  <c r="R1443" i="2"/>
  <c r="R1441" i="2"/>
  <c r="R1439" i="2"/>
  <c r="R1437" i="2"/>
  <c r="R1435" i="2"/>
  <c r="R1433" i="2"/>
  <c r="R1431" i="2"/>
  <c r="R1429" i="2"/>
  <c r="Q1492" i="2"/>
  <c r="Q1490" i="2"/>
  <c r="Q1488" i="2"/>
  <c r="Q1486" i="2"/>
  <c r="Q1484" i="2"/>
  <c r="Q1482" i="2"/>
  <c r="Q1480" i="2"/>
  <c r="Q1478" i="2"/>
  <c r="Q1476" i="2"/>
  <c r="Q1474" i="2"/>
  <c r="Q1472" i="2"/>
  <c r="Q1470" i="2"/>
  <c r="Q1468" i="2"/>
  <c r="Q1466" i="2"/>
  <c r="O1492" i="2"/>
  <c r="O1490" i="2"/>
  <c r="O1488" i="2"/>
  <c r="O1486" i="2"/>
  <c r="O1484" i="2"/>
  <c r="O1482" i="2"/>
  <c r="O1474" i="2"/>
  <c r="O1472" i="2"/>
  <c r="O1470" i="2"/>
  <c r="O1468" i="2"/>
  <c r="O1466" i="2"/>
  <c r="O1443" i="2"/>
  <c r="O1441" i="2"/>
  <c r="O1439" i="2"/>
  <c r="O1437" i="2"/>
  <c r="O1395" i="2"/>
  <c r="O1393" i="2"/>
  <c r="O1391" i="2"/>
  <c r="O1389" i="2"/>
  <c r="O1387" i="2"/>
  <c r="O1385" i="2"/>
  <c r="O1383" i="2"/>
  <c r="O1381" i="2"/>
  <c r="O1379" i="2"/>
  <c r="O1377" i="2"/>
  <c r="O1375" i="2"/>
  <c r="O1373" i="2"/>
  <c r="O1371" i="2"/>
  <c r="O1369" i="2"/>
  <c r="O1367" i="2"/>
  <c r="O1365" i="2"/>
  <c r="O1363" i="2"/>
  <c r="O1361" i="2"/>
  <c r="O1359" i="2"/>
  <c r="O1357" i="2"/>
  <c r="O1355" i="2"/>
  <c r="O1353" i="2"/>
  <c r="O1351" i="2"/>
  <c r="O1349" i="2"/>
  <c r="O1347" i="2"/>
  <c r="R1491" i="2"/>
  <c r="Q1491" i="2"/>
  <c r="Q1489" i="2"/>
  <c r="R1481" i="2"/>
  <c r="O1469" i="2"/>
  <c r="R1453" i="2"/>
  <c r="O1394" i="2"/>
  <c r="R1388" i="2"/>
  <c r="O1386" i="2"/>
  <c r="R1380" i="2"/>
  <c r="O1378" i="2"/>
  <c r="R1372" i="2"/>
  <c r="O1370" i="2"/>
  <c r="R1364" i="2"/>
  <c r="O1362" i="2"/>
  <c r="O1352" i="2"/>
  <c r="R1349" i="2"/>
  <c r="R1337" i="2"/>
  <c r="R1436" i="2"/>
  <c r="R1432" i="2"/>
  <c r="R1415" i="2"/>
  <c r="R1408" i="2"/>
  <c r="R1403" i="2"/>
  <c r="R1396" i="2"/>
  <c r="R1393" i="2"/>
  <c r="R1385" i="2"/>
  <c r="R1377" i="2"/>
  <c r="R1485" i="2"/>
  <c r="R1477" i="2"/>
  <c r="R1457" i="2"/>
  <c r="R1440" i="2"/>
  <c r="R1428" i="2"/>
  <c r="R1424" i="2"/>
  <c r="O1485" i="2"/>
  <c r="R1473" i="2"/>
  <c r="R1467" i="2"/>
  <c r="R1444" i="2"/>
  <c r="O1436" i="2"/>
  <c r="R1420" i="2"/>
  <c r="R1417" i="2"/>
  <c r="R1410" i="2"/>
  <c r="R1405" i="2"/>
  <c r="R1398" i="2"/>
  <c r="R1390" i="2"/>
  <c r="O1388" i="2"/>
  <c r="R1382" i="2"/>
  <c r="O1380" i="2"/>
  <c r="R1374" i="2"/>
  <c r="O1372" i="2"/>
  <c r="R1366" i="2"/>
  <c r="O1364" i="2"/>
  <c r="R1358" i="2"/>
  <c r="R1346" i="2"/>
  <c r="R1489" i="2"/>
  <c r="O1473" i="2"/>
  <c r="O1467" i="2"/>
  <c r="R1461" i="2"/>
  <c r="O1428" i="2"/>
  <c r="R1387" i="2"/>
  <c r="R1379" i="2"/>
  <c r="R1371" i="2"/>
  <c r="R1363" i="2"/>
  <c r="O1356" i="2"/>
  <c r="R1353" i="2"/>
  <c r="R1341" i="2"/>
  <c r="R1329" i="2"/>
  <c r="R1336" i="2"/>
  <c r="O634" i="2"/>
  <c r="R626" i="2"/>
  <c r="R610" i="2"/>
  <c r="R1414" i="2"/>
  <c r="R1338" i="2"/>
  <c r="R1451" i="2"/>
  <c r="R1427" i="2"/>
  <c r="R1423" i="2"/>
  <c r="R1412" i="2"/>
  <c r="R1407" i="2"/>
  <c r="R1400" i="2"/>
  <c r="R1395" i="2"/>
  <c r="R1348" i="2"/>
  <c r="R1324" i="2"/>
  <c r="O614" i="2"/>
  <c r="R1419" i="2"/>
  <c r="R1397" i="2"/>
  <c r="R1381" i="2"/>
  <c r="R1365" i="2"/>
  <c r="R1326" i="2"/>
  <c r="R1483" i="2"/>
  <c r="R1434" i="2"/>
  <c r="R1430" i="2"/>
  <c r="R1392" i="2"/>
  <c r="O1390" i="2"/>
  <c r="R1384" i="2"/>
  <c r="O1382" i="2"/>
  <c r="R1376" i="2"/>
  <c r="O1374" i="2"/>
  <c r="R1368" i="2"/>
  <c r="O1366" i="2"/>
  <c r="R1360" i="2"/>
  <c r="O1358" i="2"/>
  <c r="R1355" i="2"/>
  <c r="R1343" i="2"/>
  <c r="R1331" i="2"/>
  <c r="R1479" i="2"/>
  <c r="R1471" i="2"/>
  <c r="R1465" i="2"/>
  <c r="R1455" i="2"/>
  <c r="R1409" i="2"/>
  <c r="R1402" i="2"/>
  <c r="R1389" i="2"/>
  <c r="R1373" i="2"/>
  <c r="R1350" i="2"/>
  <c r="R875" i="2"/>
  <c r="W875" i="2" s="1"/>
  <c r="R1487" i="2"/>
  <c r="R1475" i="2"/>
  <c r="R1459" i="2"/>
  <c r="R1442" i="2"/>
  <c r="R1416" i="2"/>
  <c r="R1411" i="2"/>
  <c r="R1404" i="2"/>
  <c r="R1399" i="2"/>
  <c r="R1394" i="2"/>
  <c r="O1392" i="2"/>
  <c r="R1386" i="2"/>
  <c r="O1384" i="2"/>
  <c r="R1378" i="2"/>
  <c r="R1469" i="2"/>
  <c r="R1425" i="2"/>
  <c r="R1361" i="2"/>
  <c r="R1356" i="2"/>
  <c r="R1333" i="2"/>
  <c r="R602" i="2"/>
  <c r="R1422" i="2"/>
  <c r="R1351" i="2"/>
  <c r="O626" i="2"/>
  <c r="R614" i="2"/>
  <c r="O606" i="2"/>
  <c r="R1345" i="2"/>
  <c r="R1322" i="2"/>
  <c r="O618" i="2"/>
  <c r="R1445" i="2"/>
  <c r="R606" i="2"/>
  <c r="R1328" i="2"/>
  <c r="R1344" i="2"/>
  <c r="R874" i="2"/>
  <c r="W874" i="2" s="1"/>
  <c r="O610" i="2"/>
  <c r="O1348" i="2"/>
  <c r="R1446" i="2"/>
  <c r="R1463" i="2"/>
  <c r="R870" i="2"/>
  <c r="W870" i="2" s="1"/>
  <c r="R872" i="2"/>
  <c r="W872" i="2" s="1"/>
  <c r="R1375" i="2"/>
  <c r="R1330" i="2"/>
  <c r="R1421" i="2"/>
  <c r="R1370" i="2"/>
  <c r="O1360" i="2"/>
  <c r="R1340" i="2"/>
  <c r="O1376" i="2"/>
  <c r="R1369" i="2"/>
  <c r="R1339" i="2"/>
  <c r="O622" i="2"/>
  <c r="R1401" i="2"/>
  <c r="R1359" i="2"/>
  <c r="O1350" i="2"/>
  <c r="R1325" i="2"/>
  <c r="R1321" i="2"/>
  <c r="R1354" i="2"/>
  <c r="O1354" i="2"/>
  <c r="R1391" i="2"/>
  <c r="R1383" i="2"/>
  <c r="R1332" i="2"/>
  <c r="R1418" i="2"/>
  <c r="R1335" i="2"/>
  <c r="R618" i="2"/>
  <c r="R634" i="2"/>
  <c r="R1357" i="2"/>
  <c r="R871" i="2"/>
  <c r="W871" i="2" s="1"/>
  <c r="R1447" i="2"/>
  <c r="O1471" i="2"/>
  <c r="R1438" i="2"/>
  <c r="O1368" i="2"/>
  <c r="R1362" i="2"/>
  <c r="R1352" i="2"/>
  <c r="R876" i="2"/>
  <c r="W876" i="2" s="1"/>
  <c r="O602" i="2"/>
  <c r="R1406" i="2"/>
  <c r="R1449" i="2"/>
  <c r="O1438" i="2"/>
  <c r="R1426" i="2"/>
  <c r="R1367" i="2"/>
  <c r="R1347" i="2"/>
  <c r="R1327" i="2"/>
  <c r="R1323" i="2"/>
  <c r="R873" i="2"/>
  <c r="W873" i="2" s="1"/>
  <c r="R622" i="2"/>
  <c r="R1413" i="2"/>
  <c r="R1342" i="2"/>
  <c r="R1334" i="2"/>
  <c r="R553" i="2"/>
  <c r="R145" i="2"/>
  <c r="W145" i="2" s="1"/>
  <c r="R554" i="2"/>
  <c r="R157" i="2"/>
  <c r="W157" i="2" s="1"/>
  <c r="O554" i="2"/>
  <c r="R143" i="2"/>
  <c r="W143" i="2" s="1"/>
  <c r="R154" i="2"/>
  <c r="W154" i="2" s="1"/>
  <c r="R552" i="2"/>
  <c r="R428" i="2"/>
  <c r="W428" i="2" s="1"/>
  <c r="R385" i="2"/>
  <c r="R404" i="2"/>
  <c r="W404" i="2" s="1"/>
  <c r="R372" i="2"/>
  <c r="W372" i="2" s="1"/>
  <c r="R366" i="2"/>
  <c r="W366" i="2" s="1"/>
  <c r="R367" i="2"/>
  <c r="W367" i="2" s="1"/>
  <c r="O371" i="2"/>
  <c r="R368" i="2"/>
  <c r="W368" i="2" s="1"/>
  <c r="O370" i="2"/>
  <c r="O372" i="2"/>
  <c r="O369" i="2"/>
  <c r="R365" i="2"/>
  <c r="W365" i="2" s="1"/>
  <c r="R370" i="2"/>
  <c r="W370" i="2" s="1"/>
  <c r="R371" i="2"/>
  <c r="W371" i="2" s="1"/>
  <c r="R363" i="2"/>
  <c r="W363" i="2" s="1"/>
  <c r="R369" i="2"/>
  <c r="W369" i="2" s="1"/>
  <c r="R364" i="2"/>
  <c r="W364" i="2" s="1"/>
  <c r="R754" i="2"/>
  <c r="R1287" i="2"/>
  <c r="R1277" i="2"/>
  <c r="R1281" i="2"/>
  <c r="O1287" i="2"/>
  <c r="R1278" i="2"/>
  <c r="O1280" i="2"/>
  <c r="R1280" i="2"/>
  <c r="O1277" i="2"/>
  <c r="O1281" i="2"/>
  <c r="O1282" i="2"/>
  <c r="O1286" i="2"/>
  <c r="R1286" i="2"/>
  <c r="O1278" i="2"/>
  <c r="O1283" i="2"/>
  <c r="R1282" i="2"/>
  <c r="R1284" i="2"/>
  <c r="R1279" i="2"/>
  <c r="O1279" i="2"/>
  <c r="R1283" i="2"/>
  <c r="O1284" i="2"/>
  <c r="O1285" i="2"/>
  <c r="R1285" i="2"/>
  <c r="R1266" i="2"/>
  <c r="R1009" i="2"/>
  <c r="R1295" i="2"/>
  <c r="R1269" i="2"/>
  <c r="R1273" i="2"/>
  <c r="O1290" i="2"/>
  <c r="O1275" i="2"/>
  <c r="R1014" i="2"/>
  <c r="O1023" i="2"/>
  <c r="R1298" i="2"/>
  <c r="R1271" i="2"/>
  <c r="R1272" i="2"/>
  <c r="R1276" i="2"/>
  <c r="R1024" i="2"/>
  <c r="O1266" i="2"/>
  <c r="O1295" i="2"/>
  <c r="R1010" i="2"/>
  <c r="R1008" i="2"/>
  <c r="R1270" i="2"/>
  <c r="O1274" i="2"/>
  <c r="R1000" i="2"/>
  <c r="R1290" i="2"/>
  <c r="O1022" i="2"/>
  <c r="R1257" i="2"/>
  <c r="R1296" i="2"/>
  <c r="O1269" i="2"/>
  <c r="O1273" i="2"/>
  <c r="R1268" i="2"/>
  <c r="R1013" i="2"/>
  <c r="R1001" i="2"/>
  <c r="R1011" i="2"/>
  <c r="O1268" i="2"/>
  <c r="R1020" i="2"/>
  <c r="R1275" i="2"/>
  <c r="R1292" i="2"/>
  <c r="R1267" i="2"/>
  <c r="R1004" i="2"/>
  <c r="R1021" i="2"/>
  <c r="O1291" i="2"/>
  <c r="R1022" i="2"/>
  <c r="R1012" i="2"/>
  <c r="O1297" i="2"/>
  <c r="O1021" i="2"/>
  <c r="R1019" i="2"/>
  <c r="R998" i="2"/>
  <c r="O1276" i="2"/>
  <c r="R1258" i="2"/>
  <c r="R1259" i="2"/>
  <c r="R1260" i="2"/>
  <c r="R1289" i="2"/>
  <c r="R1297" i="2"/>
  <c r="O1267" i="2"/>
  <c r="R1025" i="2"/>
  <c r="O1293" i="2"/>
  <c r="R1291" i="2"/>
  <c r="R1002" i="2"/>
  <c r="R1288" i="2"/>
  <c r="O1288" i="2"/>
  <c r="O1292" i="2"/>
  <c r="R999" i="2"/>
  <c r="R1023" i="2"/>
  <c r="R1015" i="2"/>
  <c r="R1016" i="2"/>
  <c r="R1006" i="2"/>
  <c r="R1007" i="2"/>
  <c r="R1274" i="2"/>
  <c r="O1025" i="2"/>
  <c r="R1293" i="2"/>
  <c r="R1294" i="2"/>
  <c r="R1003" i="2"/>
  <c r="O1271" i="2"/>
  <c r="O1296" i="2"/>
  <c r="O1272" i="2"/>
  <c r="R1017" i="2"/>
  <c r="O1270" i="2"/>
  <c r="R1018" i="2"/>
  <c r="O1024" i="2"/>
  <c r="O1294" i="2"/>
  <c r="O1289" i="2"/>
  <c r="R1005" i="2"/>
  <c r="R1209" i="2"/>
  <c r="R1202" i="2"/>
  <c r="R1180" i="2"/>
  <c r="R1204" i="2"/>
  <c r="R1193" i="2"/>
  <c r="O1182" i="2"/>
  <c r="O1175" i="2"/>
  <c r="R1210" i="2"/>
  <c r="R1187" i="2"/>
  <c r="R1191" i="2"/>
  <c r="R1181" i="2"/>
  <c r="O1181" i="2"/>
  <c r="R1189" i="2"/>
  <c r="R1186" i="2"/>
  <c r="R1203" i="2"/>
  <c r="R1182" i="2"/>
  <c r="R1185" i="2"/>
  <c r="R1178" i="2"/>
  <c r="R1176" i="2"/>
  <c r="R1215" i="2"/>
  <c r="R1184" i="2"/>
  <c r="R1200" i="2"/>
  <c r="O1178" i="2"/>
  <c r="O1180" i="2"/>
  <c r="O1183" i="2"/>
  <c r="R1194" i="2"/>
  <c r="O1184" i="2"/>
  <c r="R1208" i="2"/>
  <c r="O1176" i="2"/>
  <c r="R1183" i="2"/>
  <c r="R1179" i="2"/>
  <c r="R1197" i="2"/>
  <c r="O1177" i="2"/>
  <c r="R1207" i="2"/>
  <c r="R1205" i="2"/>
  <c r="R1196" i="2"/>
  <c r="R1199" i="2"/>
  <c r="R1214" i="2"/>
  <c r="R1201" i="2"/>
  <c r="R1195" i="2"/>
  <c r="R1206" i="2"/>
  <c r="R1188" i="2"/>
  <c r="R1175" i="2"/>
  <c r="R1177" i="2"/>
  <c r="R1190" i="2"/>
  <c r="R1192" i="2"/>
  <c r="O1179" i="2"/>
  <c r="R1198" i="2"/>
  <c r="R20" i="2"/>
  <c r="R896" i="2"/>
  <c r="R863" i="2"/>
  <c r="R708" i="2"/>
  <c r="R906" i="2"/>
  <c r="R898" i="2"/>
  <c r="O906" i="2"/>
  <c r="R901" i="2"/>
  <c r="R155" i="2"/>
  <c r="R23" i="2"/>
  <c r="R57" i="2"/>
  <c r="R168" i="2"/>
  <c r="R158" i="2"/>
  <c r="O168" i="2"/>
  <c r="O64" i="2"/>
  <c r="R67" i="2"/>
  <c r="W67" i="2" s="1"/>
  <c r="R64" i="2"/>
  <c r="W64" i="2" s="1"/>
  <c r="R60" i="2"/>
  <c r="W60" i="2" s="1"/>
  <c r="O62" i="2"/>
  <c r="O67" i="2"/>
  <c r="R62" i="2"/>
  <c r="W62" i="2" s="1"/>
  <c r="R29" i="2"/>
  <c r="W29" i="2" s="1"/>
  <c r="R25" i="2"/>
  <c r="W25" i="2" s="1"/>
  <c r="R22" i="2"/>
  <c r="W22" i="2" s="1"/>
  <c r="R52" i="2"/>
  <c r="W52" i="2" s="1"/>
  <c r="R19" i="2"/>
  <c r="W19" i="2" s="1"/>
  <c r="O29" i="2"/>
  <c r="R50" i="2"/>
  <c r="W50" i="2" s="1"/>
  <c r="R55" i="2"/>
  <c r="W55" i="2" s="1"/>
  <c r="R1261" i="2"/>
  <c r="R1256" i="2"/>
  <c r="W1256" i="2" s="1"/>
  <c r="R1299" i="2"/>
  <c r="W1299" i="2" s="1"/>
  <c r="O1264" i="2"/>
  <c r="R1264" i="2"/>
  <c r="W1264" i="2" s="1"/>
  <c r="R1300" i="2"/>
  <c r="W1300" i="2" s="1"/>
  <c r="R1262" i="2"/>
  <c r="W1262" i="2" s="1"/>
  <c r="O66" i="2"/>
  <c r="R59" i="2"/>
  <c r="W59" i="2" s="1"/>
  <c r="R54" i="2"/>
  <c r="W54" i="2" s="1"/>
  <c r="R66" i="2"/>
  <c r="W66" i="2" s="1"/>
  <c r="R1216" i="2"/>
  <c r="W1216" i="2" s="1"/>
  <c r="O174" i="2"/>
  <c r="R174" i="2"/>
  <c r="W174" i="2" s="1"/>
  <c r="R153" i="2"/>
  <c r="W153" i="2" s="1"/>
  <c r="O163" i="2"/>
  <c r="R1044" i="2"/>
  <c r="W1044" i="2" s="1"/>
  <c r="R1029" i="2"/>
  <c r="W1029" i="2" s="1"/>
  <c r="R1040" i="2"/>
  <c r="W1040" i="2" s="1"/>
  <c r="R1066" i="2"/>
  <c r="W1066" i="2" s="1"/>
  <c r="R1037" i="2"/>
  <c r="W1037" i="2" s="1"/>
  <c r="O173" i="2"/>
  <c r="O1071" i="2"/>
  <c r="R1041" i="2"/>
  <c r="W1041" i="2" s="1"/>
  <c r="R1039" i="2"/>
  <c r="W1039" i="2" s="1"/>
  <c r="R156" i="2"/>
  <c r="W156" i="2" s="1"/>
  <c r="R1069" i="2"/>
  <c r="W1069" i="2" s="1"/>
  <c r="O1069" i="2"/>
  <c r="O1035" i="2"/>
  <c r="R1034" i="2"/>
  <c r="W1034" i="2" s="1"/>
  <c r="O164" i="2"/>
  <c r="R170" i="2"/>
  <c r="W170" i="2" s="1"/>
  <c r="R1211" i="2"/>
  <c r="W1211" i="2" s="1"/>
  <c r="O172" i="2"/>
  <c r="R1042" i="2"/>
  <c r="W1042" i="2" s="1"/>
  <c r="R163" i="2"/>
  <c r="W163" i="2" s="1"/>
  <c r="O1070" i="2"/>
  <c r="O165" i="2"/>
  <c r="R1043" i="2"/>
  <c r="W1043" i="2" s="1"/>
  <c r="R160" i="2"/>
  <c r="W160" i="2" s="1"/>
  <c r="R1074" i="2"/>
  <c r="W1074" i="2" s="1"/>
  <c r="O169" i="2"/>
  <c r="R1026" i="2"/>
  <c r="W1026" i="2" s="1"/>
  <c r="R1038" i="2"/>
  <c r="W1038" i="2" s="1"/>
  <c r="R159" i="2"/>
  <c r="W159" i="2" s="1"/>
  <c r="R144" i="2"/>
  <c r="W144" i="2" s="1"/>
  <c r="O1030" i="2"/>
  <c r="O1034" i="2"/>
  <c r="R165" i="2"/>
  <c r="W165" i="2" s="1"/>
  <c r="R1028" i="2"/>
  <c r="W1028" i="2" s="1"/>
  <c r="R1036" i="2"/>
  <c r="W1036" i="2" s="1"/>
  <c r="R169" i="2"/>
  <c r="W169" i="2" s="1"/>
  <c r="O1031" i="2"/>
  <c r="O1036" i="2"/>
  <c r="R1072" i="2"/>
  <c r="W1072" i="2" s="1"/>
  <c r="R1035" i="2"/>
  <c r="W1035" i="2" s="1"/>
  <c r="R146" i="2"/>
  <c r="W146" i="2" s="1"/>
  <c r="R1032" i="2"/>
  <c r="W1032" i="2" s="1"/>
  <c r="O1029" i="2"/>
  <c r="R152" i="2"/>
  <c r="W152" i="2" s="1"/>
  <c r="R1071" i="2"/>
  <c r="W1071" i="2" s="1"/>
  <c r="R162" i="2"/>
  <c r="W162" i="2" s="1"/>
  <c r="R148" i="2"/>
  <c r="W148" i="2" s="1"/>
  <c r="R1068" i="2"/>
  <c r="W1068" i="2" s="1"/>
  <c r="O170" i="2"/>
  <c r="R1027" i="2"/>
  <c r="W1027" i="2" s="1"/>
  <c r="O171" i="2"/>
  <c r="O166" i="2"/>
  <c r="O1038" i="2"/>
  <c r="O162" i="2"/>
  <c r="R1213" i="2"/>
  <c r="W1213" i="2" s="1"/>
  <c r="O1032" i="2"/>
  <c r="O1028" i="2"/>
  <c r="O161" i="2"/>
  <c r="O1027" i="2"/>
  <c r="R166" i="2"/>
  <c r="W166" i="2" s="1"/>
  <c r="O1033" i="2"/>
  <c r="R151" i="2"/>
  <c r="W151" i="2" s="1"/>
  <c r="R173" i="2"/>
  <c r="W173" i="2" s="1"/>
  <c r="R172" i="2"/>
  <c r="W172" i="2" s="1"/>
  <c r="R1212" i="2"/>
  <c r="W1212" i="2" s="1"/>
  <c r="O1072" i="2"/>
  <c r="R1031" i="2"/>
  <c r="W1031" i="2" s="1"/>
  <c r="R1030" i="2"/>
  <c r="W1030" i="2" s="1"/>
  <c r="R149" i="2"/>
  <c r="W149" i="2" s="1"/>
  <c r="R150" i="2"/>
  <c r="W150" i="2" s="1"/>
  <c r="O1037" i="2"/>
  <c r="R1067" i="2"/>
  <c r="W1067" i="2" s="1"/>
  <c r="O1026" i="2"/>
  <c r="R1033" i="2"/>
  <c r="W1033" i="2" s="1"/>
  <c r="O167" i="2"/>
  <c r="R167" i="2"/>
  <c r="W167" i="2" s="1"/>
  <c r="R1070" i="2"/>
  <c r="W1070" i="2" s="1"/>
  <c r="R161" i="2"/>
  <c r="W161" i="2" s="1"/>
  <c r="R1075" i="2"/>
  <c r="W1075" i="2" s="1"/>
  <c r="R1065" i="2"/>
  <c r="W1065" i="2" s="1"/>
  <c r="R1073" i="2"/>
  <c r="W1073" i="2" s="1"/>
  <c r="R164" i="2"/>
  <c r="W164" i="2" s="1"/>
  <c r="R147" i="2"/>
  <c r="W147" i="2" s="1"/>
  <c r="R171" i="2"/>
  <c r="W171" i="2" s="1"/>
  <c r="O881" i="2"/>
  <c r="O61" i="2"/>
  <c r="R867" i="2"/>
  <c r="W867" i="2" s="1"/>
  <c r="R878" i="2"/>
  <c r="W878" i="2" s="1"/>
  <c r="R28" i="2"/>
  <c r="W28" i="2" s="1"/>
  <c r="R61" i="2"/>
  <c r="W61" i="2" s="1"/>
  <c r="O885" i="2"/>
  <c r="R65" i="2"/>
  <c r="W65" i="2" s="1"/>
  <c r="O26" i="2"/>
  <c r="R24" i="2"/>
  <c r="W24" i="2" s="1"/>
  <c r="O878" i="2"/>
  <c r="R51" i="2"/>
  <c r="W51" i="2" s="1"/>
  <c r="O63" i="2"/>
  <c r="R881" i="2"/>
  <c r="W881" i="2" s="1"/>
  <c r="R58" i="2"/>
  <c r="W58" i="2" s="1"/>
  <c r="O884" i="2"/>
  <c r="O879" i="2"/>
  <c r="R53" i="2"/>
  <c r="W53" i="2" s="1"/>
  <c r="R49" i="2"/>
  <c r="W49" i="2" s="1"/>
  <c r="R882" i="2"/>
  <c r="W882" i="2" s="1"/>
  <c r="R865" i="2"/>
  <c r="W865" i="2" s="1"/>
  <c r="R866" i="2"/>
  <c r="W866" i="2" s="1"/>
  <c r="R884" i="2"/>
  <c r="W884" i="2" s="1"/>
  <c r="O882" i="2"/>
  <c r="R27" i="2"/>
  <c r="W27" i="2" s="1"/>
  <c r="R879" i="2"/>
  <c r="W879" i="2" s="1"/>
  <c r="O28" i="2"/>
  <c r="O883" i="2"/>
  <c r="R868" i="2"/>
  <c r="W868" i="2" s="1"/>
  <c r="R26" i="2"/>
  <c r="W26" i="2" s="1"/>
  <c r="O65" i="2"/>
  <c r="R883" i="2"/>
  <c r="W883" i="2" s="1"/>
  <c r="O27" i="2"/>
  <c r="R21" i="2"/>
  <c r="W21" i="2" s="1"/>
  <c r="R880" i="2"/>
  <c r="W880" i="2" s="1"/>
  <c r="R63" i="2"/>
  <c r="W63" i="2" s="1"/>
  <c r="R885" i="2"/>
  <c r="W885" i="2" s="1"/>
  <c r="R877" i="2"/>
  <c r="W877" i="2" s="1"/>
  <c r="R56" i="2"/>
  <c r="W56" i="2" s="1"/>
  <c r="R18" i="2"/>
  <c r="W18" i="2" s="1"/>
  <c r="O880" i="2"/>
  <c r="R770" i="2"/>
  <c r="W770" i="2" s="1"/>
  <c r="R894" i="2"/>
  <c r="W894" i="2" s="1"/>
  <c r="O759" i="2"/>
  <c r="R772" i="2"/>
  <c r="W772" i="2" s="1"/>
  <c r="R889" i="2"/>
  <c r="W889" i="2" s="1"/>
  <c r="R905" i="2"/>
  <c r="W905" i="2" s="1"/>
  <c r="R786" i="2"/>
  <c r="W786" i="2" s="1"/>
  <c r="O762" i="2"/>
  <c r="R759" i="2"/>
  <c r="W759" i="2" s="1"/>
  <c r="R923" i="2"/>
  <c r="W923" i="2" s="1"/>
  <c r="O907" i="2"/>
  <c r="R775" i="2"/>
  <c r="W775" i="2" s="1"/>
  <c r="R916" i="2"/>
  <c r="W916" i="2" s="1"/>
  <c r="R907" i="2"/>
  <c r="W907" i="2" s="1"/>
  <c r="R785" i="2"/>
  <c r="W785" i="2" s="1"/>
  <c r="O761" i="2"/>
  <c r="R788" i="2"/>
  <c r="W788" i="2" s="1"/>
  <c r="O758" i="2"/>
  <c r="R891" i="2"/>
  <c r="W891" i="2" s="1"/>
  <c r="R914" i="2"/>
  <c r="W914" i="2" s="1"/>
  <c r="R886" i="2"/>
  <c r="W886" i="2" s="1"/>
  <c r="R780" i="2"/>
  <c r="W780" i="2" s="1"/>
  <c r="R790" i="2"/>
  <c r="W790" i="2" s="1"/>
  <c r="O763" i="2"/>
  <c r="R922" i="2"/>
  <c r="W922" i="2" s="1"/>
  <c r="R760" i="2"/>
  <c r="W760" i="2" s="1"/>
  <c r="O764" i="2"/>
  <c r="O788" i="2"/>
  <c r="R781" i="2"/>
  <c r="W781" i="2" s="1"/>
  <c r="R909" i="2"/>
  <c r="W909" i="2" s="1"/>
  <c r="O905" i="2"/>
  <c r="O786" i="2"/>
  <c r="R762" i="2"/>
  <c r="W762" i="2" s="1"/>
  <c r="O915" i="2"/>
  <c r="R890" i="2"/>
  <c r="W890" i="2" s="1"/>
  <c r="O908" i="2"/>
  <c r="R784" i="2"/>
  <c r="W784" i="2" s="1"/>
  <c r="R769" i="2"/>
  <c r="W769" i="2" s="1"/>
  <c r="O783" i="2"/>
  <c r="R761" i="2"/>
  <c r="W761" i="2" s="1"/>
  <c r="O911" i="2"/>
  <c r="R783" i="2"/>
  <c r="W783" i="2" s="1"/>
  <c r="R925" i="2"/>
  <c r="W925" i="2" s="1"/>
  <c r="O913" i="2"/>
  <c r="R758" i="2"/>
  <c r="W758" i="2" s="1"/>
  <c r="R777" i="2"/>
  <c r="W777" i="2" s="1"/>
  <c r="R888" i="2"/>
  <c r="W888" i="2" s="1"/>
  <c r="R902" i="2"/>
  <c r="W902" i="2" s="1"/>
  <c r="R903" i="2"/>
  <c r="W903" i="2" s="1"/>
  <c r="R908" i="2"/>
  <c r="W908" i="2" s="1"/>
  <c r="O782" i="2"/>
  <c r="O910" i="2"/>
  <c r="R764" i="2"/>
  <c r="W764" i="2" s="1"/>
  <c r="R782" i="2"/>
  <c r="W782" i="2" s="1"/>
  <c r="R768" i="2"/>
  <c r="W768" i="2" s="1"/>
  <c r="R900" i="2"/>
  <c r="W900" i="2" s="1"/>
  <c r="R897" i="2"/>
  <c r="W897" i="2" s="1"/>
  <c r="R924" i="2"/>
  <c r="W924" i="2" s="1"/>
  <c r="O909" i="2"/>
  <c r="R921" i="2"/>
  <c r="W921" i="2" s="1"/>
  <c r="R910" i="2"/>
  <c r="W910" i="2" s="1"/>
  <c r="R864" i="2"/>
  <c r="W864" i="2" s="1"/>
  <c r="R899" i="2"/>
  <c r="W899" i="2" s="1"/>
  <c r="R792" i="2"/>
  <c r="W792" i="2" s="1"/>
  <c r="R892" i="2"/>
  <c r="W892" i="2" s="1"/>
  <c r="R789" i="2"/>
  <c r="W789" i="2" s="1"/>
  <c r="R763" i="2"/>
  <c r="W763" i="2" s="1"/>
  <c r="R915" i="2"/>
  <c r="W915" i="2" s="1"/>
  <c r="R887" i="2"/>
  <c r="W887" i="2" s="1"/>
  <c r="R919" i="2"/>
  <c r="W919" i="2" s="1"/>
  <c r="R918" i="2"/>
  <c r="W918" i="2" s="1"/>
  <c r="R912" i="2"/>
  <c r="W912" i="2" s="1"/>
  <c r="R791" i="2"/>
  <c r="W791" i="2" s="1"/>
  <c r="R895" i="2"/>
  <c r="W895" i="2" s="1"/>
  <c r="R767" i="2"/>
  <c r="W767" i="2" s="1"/>
  <c r="O914" i="2"/>
  <c r="R911" i="2"/>
  <c r="W911" i="2" s="1"/>
  <c r="R787" i="2"/>
  <c r="W787" i="2" s="1"/>
  <c r="R771" i="2"/>
  <c r="W771" i="2" s="1"/>
  <c r="R773" i="2"/>
  <c r="W773" i="2" s="1"/>
  <c r="R917" i="2"/>
  <c r="W917" i="2" s="1"/>
  <c r="O912" i="2"/>
  <c r="R778" i="2"/>
  <c r="W778" i="2" s="1"/>
  <c r="R904" i="2"/>
  <c r="W904" i="2" s="1"/>
  <c r="R913" i="2"/>
  <c r="W913" i="2" s="1"/>
  <c r="R920" i="2"/>
  <c r="W920" i="2" s="1"/>
  <c r="O916" i="2"/>
  <c r="R893" i="2"/>
  <c r="W893" i="2" s="1"/>
  <c r="R774" i="2"/>
  <c r="W774" i="2" s="1"/>
  <c r="O760" i="2"/>
  <c r="R766" i="2"/>
  <c r="W766" i="2" s="1"/>
  <c r="R779" i="2"/>
  <c r="W779" i="2" s="1"/>
  <c r="R765" i="2"/>
  <c r="W765" i="2" s="1"/>
  <c r="R776" i="2"/>
  <c r="W776" i="2" s="1"/>
  <c r="R707" i="2"/>
  <c r="W707" i="2" s="1"/>
  <c r="R705" i="2"/>
  <c r="W705" i="2" s="1"/>
  <c r="O714" i="2"/>
  <c r="O712" i="2"/>
  <c r="R700" i="2"/>
  <c r="W700" i="2" s="1"/>
  <c r="O752" i="2"/>
  <c r="R738" i="2"/>
  <c r="W738" i="2" s="1"/>
  <c r="R724" i="2"/>
  <c r="W724" i="2" s="1"/>
  <c r="R714" i="2"/>
  <c r="W714" i="2" s="1"/>
  <c r="R709" i="2"/>
  <c r="W709" i="2" s="1"/>
  <c r="R704" i="2"/>
  <c r="W704" i="2" s="1"/>
  <c r="R747" i="2"/>
  <c r="W747" i="2" s="1"/>
  <c r="R746" i="2"/>
  <c r="W746" i="2" s="1"/>
  <c r="R701" i="2"/>
  <c r="W701" i="2" s="1"/>
  <c r="R753" i="2"/>
  <c r="W753" i="2" s="1"/>
  <c r="R752" i="2"/>
  <c r="W752" i="2" s="1"/>
  <c r="R725" i="2"/>
  <c r="W725" i="2" s="1"/>
  <c r="R716" i="2"/>
  <c r="W716" i="2" s="1"/>
  <c r="O731" i="2"/>
  <c r="R741" i="2"/>
  <c r="W741" i="2" s="1"/>
  <c r="R726" i="2"/>
  <c r="W726" i="2" s="1"/>
  <c r="R715" i="2"/>
  <c r="W715" i="2" s="1"/>
  <c r="R748" i="2"/>
  <c r="W748" i="2" s="1"/>
  <c r="R730" i="2"/>
  <c r="W730" i="2" s="1"/>
  <c r="O753" i="2"/>
  <c r="R739" i="2"/>
  <c r="W739" i="2" s="1"/>
  <c r="O734" i="2"/>
  <c r="O719" i="2"/>
  <c r="O716" i="2"/>
  <c r="R732" i="2"/>
  <c r="W732" i="2" s="1"/>
  <c r="R731" i="2"/>
  <c r="W731" i="2" s="1"/>
  <c r="R740" i="2"/>
  <c r="W740" i="2" s="1"/>
  <c r="R745" i="2"/>
  <c r="W745" i="2" s="1"/>
  <c r="R711" i="2"/>
  <c r="W711" i="2" s="1"/>
  <c r="O722" i="2"/>
  <c r="O751" i="2"/>
  <c r="O717" i="2"/>
  <c r="O718" i="2"/>
  <c r="R719" i="2"/>
  <c r="W719" i="2" s="1"/>
  <c r="O721" i="2"/>
  <c r="R750" i="2"/>
  <c r="W750" i="2" s="1"/>
  <c r="R734" i="2"/>
  <c r="W734" i="2" s="1"/>
  <c r="R722" i="2"/>
  <c r="W722" i="2" s="1"/>
  <c r="R751" i="2"/>
  <c r="W751" i="2" s="1"/>
  <c r="R727" i="2"/>
  <c r="W727" i="2" s="1"/>
  <c r="O733" i="2"/>
  <c r="R702" i="2"/>
  <c r="W702" i="2" s="1"/>
  <c r="O711" i="2"/>
  <c r="R710" i="2"/>
  <c r="W710" i="2" s="1"/>
  <c r="R706" i="2"/>
  <c r="W706" i="2" s="1"/>
  <c r="R717" i="2"/>
  <c r="W717" i="2" s="1"/>
  <c r="R744" i="2"/>
  <c r="W744" i="2" s="1"/>
  <c r="O713" i="2"/>
  <c r="R742" i="2"/>
  <c r="W742" i="2" s="1"/>
  <c r="O715" i="2"/>
  <c r="O749" i="2"/>
  <c r="O710" i="2"/>
  <c r="R703" i="2"/>
  <c r="W703" i="2" s="1"/>
  <c r="R712" i="2"/>
  <c r="W712" i="2" s="1"/>
  <c r="R723" i="2"/>
  <c r="W723" i="2" s="1"/>
  <c r="R718" i="2"/>
  <c r="W718" i="2" s="1"/>
  <c r="R743" i="2"/>
  <c r="W743" i="2" s="1"/>
  <c r="R749" i="2"/>
  <c r="W749" i="2" s="1"/>
  <c r="R735" i="2"/>
  <c r="W735" i="2" s="1"/>
  <c r="O750" i="2"/>
  <c r="O720" i="2"/>
  <c r="R736" i="2"/>
  <c r="W736" i="2" s="1"/>
  <c r="R733" i="2"/>
  <c r="W733" i="2" s="1"/>
  <c r="R720" i="2"/>
  <c r="W720" i="2" s="1"/>
  <c r="R713" i="2"/>
  <c r="W713" i="2" s="1"/>
  <c r="R729" i="2"/>
  <c r="W729" i="2" s="1"/>
  <c r="R737" i="2"/>
  <c r="W737" i="2" s="1"/>
  <c r="R721" i="2"/>
  <c r="W721" i="2" s="1"/>
  <c r="R728" i="2"/>
  <c r="W728" i="2" s="1"/>
  <c r="R699" i="2"/>
  <c r="W699" i="2" s="1"/>
  <c r="O418" i="2"/>
  <c r="R646" i="2"/>
  <c r="W646" i="2" s="1"/>
  <c r="R682" i="2"/>
  <c r="W682" i="2" s="1"/>
  <c r="R684" i="2"/>
  <c r="W684" i="2" s="1"/>
  <c r="R436" i="2"/>
  <c r="W436" i="2" s="1"/>
  <c r="R442" i="2"/>
  <c r="W442" i="2" s="1"/>
  <c r="O653" i="2"/>
  <c r="O548" i="2"/>
  <c r="R418" i="2"/>
  <c r="W418" i="2" s="1"/>
  <c r="R643" i="2"/>
  <c r="W643" i="2" s="1"/>
  <c r="R645" i="2"/>
  <c r="W645" i="2" s="1"/>
  <c r="R681" i="2"/>
  <c r="W681" i="2" s="1"/>
  <c r="R649" i="2"/>
  <c r="W649" i="2" s="1"/>
  <c r="R650" i="2"/>
  <c r="W650" i="2" s="1"/>
  <c r="R440" i="2"/>
  <c r="W440" i="2" s="1"/>
  <c r="R652" i="2"/>
  <c r="W652" i="2" s="1"/>
  <c r="R648" i="2"/>
  <c r="W648" i="2" s="1"/>
  <c r="O516" i="2"/>
  <c r="O420" i="2"/>
  <c r="R654" i="2"/>
  <c r="W654" i="2" s="1"/>
  <c r="R658" i="2"/>
  <c r="W658" i="2" s="1"/>
  <c r="O651" i="2"/>
  <c r="R655" i="2"/>
  <c r="W655" i="2" s="1"/>
  <c r="R434" i="2"/>
  <c r="W434" i="2" s="1"/>
  <c r="R656" i="2"/>
  <c r="W656" i="2" s="1"/>
  <c r="O650" i="2"/>
  <c r="R422" i="2"/>
  <c r="W422" i="2" s="1"/>
  <c r="O520" i="2"/>
  <c r="R639" i="2"/>
  <c r="W639" i="2" s="1"/>
  <c r="R685" i="2"/>
  <c r="W685" i="2" s="1"/>
  <c r="R638" i="2"/>
  <c r="W638" i="2" s="1"/>
  <c r="R651" i="2"/>
  <c r="W651" i="2" s="1"/>
  <c r="R644" i="2"/>
  <c r="W644" i="2" s="1"/>
  <c r="R424" i="2"/>
  <c r="W424" i="2" s="1"/>
  <c r="O422" i="2"/>
  <c r="R647" i="2"/>
  <c r="W647" i="2" s="1"/>
  <c r="R426" i="2"/>
  <c r="W426" i="2" s="1"/>
  <c r="R430" i="2"/>
  <c r="W430" i="2" s="1"/>
  <c r="R680" i="2"/>
  <c r="W680" i="2" s="1"/>
  <c r="O424" i="2"/>
  <c r="R686" i="2"/>
  <c r="W686" i="2" s="1"/>
  <c r="O652" i="2"/>
  <c r="O426" i="2"/>
  <c r="R641" i="2"/>
  <c r="W641" i="2" s="1"/>
  <c r="O540" i="2"/>
  <c r="O684" i="2"/>
  <c r="O630" i="2"/>
  <c r="R432" i="2"/>
  <c r="W432" i="2" s="1"/>
  <c r="R657" i="2"/>
  <c r="W657" i="2" s="1"/>
  <c r="R640" i="2"/>
  <c r="W640" i="2" s="1"/>
  <c r="R642" i="2"/>
  <c r="W642" i="2" s="1"/>
  <c r="R683" i="2"/>
  <c r="W683" i="2" s="1"/>
  <c r="R687" i="2"/>
  <c r="W687" i="2" s="1"/>
  <c r="R653" i="2"/>
  <c r="W653" i="2" s="1"/>
  <c r="O512" i="2"/>
  <c r="O544" i="2"/>
  <c r="R420" i="2"/>
  <c r="W420" i="2" s="1"/>
  <c r="R438" i="2"/>
  <c r="W438" i="2" s="1"/>
  <c r="O536" i="2"/>
  <c r="R396" i="2"/>
  <c r="W396" i="2" s="1"/>
  <c r="O396" i="2"/>
  <c r="R410" i="2"/>
  <c r="W410" i="2" s="1"/>
  <c r="R388" i="2"/>
  <c r="W388" i="2" s="1"/>
  <c r="R400" i="2"/>
  <c r="W400" i="2" s="1"/>
  <c r="R414" i="2"/>
  <c r="W414" i="2" s="1"/>
  <c r="O402" i="2"/>
  <c r="O400" i="2"/>
  <c r="R394" i="2"/>
  <c r="W394" i="2" s="1"/>
  <c r="R402" i="2"/>
  <c r="W402" i="2" s="1"/>
  <c r="R406" i="2"/>
  <c r="W406" i="2" s="1"/>
  <c r="R416" i="2"/>
  <c r="W416" i="2" s="1"/>
  <c r="R408" i="2"/>
  <c r="W408" i="2" s="1"/>
  <c r="O388" i="2"/>
  <c r="R412" i="2"/>
  <c r="W412" i="2" s="1"/>
  <c r="R392" i="2"/>
  <c r="W392" i="2" s="1"/>
  <c r="R383" i="2"/>
  <c r="W383" i="2" s="1"/>
  <c r="R390" i="2"/>
  <c r="W390" i="2" s="1"/>
  <c r="R398" i="2"/>
  <c r="W398" i="2" s="1"/>
  <c r="R386" i="2"/>
  <c r="W386" i="2" s="1"/>
  <c r="O390" i="2"/>
  <c r="O383" i="2"/>
  <c r="O398" i="2"/>
  <c r="R336" i="2"/>
  <c r="W336" i="2" s="1"/>
  <c r="R323" i="2"/>
  <c r="W323" i="2" s="1"/>
  <c r="R349" i="2"/>
  <c r="W349" i="2" s="1"/>
  <c r="R317" i="2"/>
  <c r="W317" i="2" s="1"/>
  <c r="R275" i="2"/>
  <c r="W275" i="2" s="1"/>
  <c r="R342" i="2"/>
  <c r="W342" i="2" s="1"/>
  <c r="R289" i="2"/>
  <c r="W289" i="2" s="1"/>
  <c r="R283" i="2"/>
  <c r="W283" i="2" s="1"/>
  <c r="R285" i="2"/>
  <c r="W285" i="2" s="1"/>
  <c r="O321" i="2"/>
  <c r="R322" i="2"/>
  <c r="W322" i="2" s="1"/>
  <c r="O318" i="2"/>
  <c r="R288" i="2"/>
  <c r="W288" i="2" s="1"/>
  <c r="R332" i="2"/>
  <c r="W332" i="2" s="1"/>
  <c r="R337" i="2"/>
  <c r="W337" i="2" s="1"/>
  <c r="R376" i="2"/>
  <c r="W376" i="2" s="1"/>
  <c r="R320" i="2"/>
  <c r="W320" i="2" s="1"/>
  <c r="R347" i="2"/>
  <c r="W347" i="2" s="1"/>
  <c r="R284" i="2"/>
  <c r="W284" i="2" s="1"/>
  <c r="R340" i="2"/>
  <c r="W340" i="2" s="1"/>
  <c r="O280" i="2"/>
  <c r="R331" i="2"/>
  <c r="W331" i="2" s="1"/>
  <c r="R277" i="2"/>
  <c r="W277" i="2" s="1"/>
  <c r="R326" i="2"/>
  <c r="W326" i="2" s="1"/>
  <c r="R375" i="2"/>
  <c r="W375" i="2" s="1"/>
  <c r="R324" i="2"/>
  <c r="W324" i="2" s="1"/>
  <c r="O339" i="2"/>
  <c r="O319" i="2"/>
  <c r="R335" i="2"/>
  <c r="W335" i="2" s="1"/>
  <c r="R279" i="2"/>
  <c r="W279" i="2" s="1"/>
  <c r="O281" i="2"/>
  <c r="R339" i="2"/>
  <c r="W339" i="2" s="1"/>
  <c r="R316" i="2"/>
  <c r="W316" i="2" s="1"/>
  <c r="R291" i="2"/>
  <c r="W291" i="2" s="1"/>
  <c r="R286" i="2"/>
  <c r="W286" i="2" s="1"/>
  <c r="O375" i="2"/>
  <c r="R330" i="2"/>
  <c r="W330" i="2" s="1"/>
  <c r="R290" i="2"/>
  <c r="W290" i="2" s="1"/>
  <c r="R346" i="2"/>
  <c r="W346" i="2" s="1"/>
  <c r="R314" i="2"/>
  <c r="W314" i="2" s="1"/>
  <c r="R287" i="2"/>
  <c r="W287" i="2" s="1"/>
  <c r="R348" i="2"/>
  <c r="W348" i="2" s="1"/>
  <c r="R343" i="2"/>
  <c r="W343" i="2" s="1"/>
  <c r="R319" i="2"/>
  <c r="W319" i="2" s="1"/>
  <c r="R333" i="2"/>
  <c r="W333" i="2" s="1"/>
  <c r="O323" i="2"/>
  <c r="R325" i="2"/>
  <c r="W325" i="2" s="1"/>
  <c r="R345" i="2"/>
  <c r="W345" i="2" s="1"/>
  <c r="R315" i="2"/>
  <c r="W315" i="2" s="1"/>
  <c r="O340" i="2"/>
  <c r="R280" i="2"/>
  <c r="W280" i="2" s="1"/>
  <c r="O320" i="2"/>
  <c r="R344" i="2"/>
  <c r="W344" i="2" s="1"/>
  <c r="R329" i="2"/>
  <c r="W329" i="2" s="1"/>
  <c r="R350" i="2"/>
  <c r="W350" i="2" s="1"/>
  <c r="O337" i="2"/>
  <c r="R341" i="2"/>
  <c r="W341" i="2" s="1"/>
  <c r="R313" i="2"/>
  <c r="W313" i="2" s="1"/>
  <c r="R338" i="2"/>
  <c r="W338" i="2" s="1"/>
  <c r="R278" i="2"/>
  <c r="W278" i="2" s="1"/>
  <c r="R328" i="2"/>
  <c r="W328" i="2" s="1"/>
  <c r="R374" i="2"/>
  <c r="W374" i="2" s="1"/>
  <c r="R282" i="2"/>
  <c r="W282" i="2" s="1"/>
  <c r="R318" i="2"/>
  <c r="W318" i="2" s="1"/>
  <c r="O342" i="2"/>
  <c r="R276" i="2"/>
  <c r="W276" i="2" s="1"/>
  <c r="R293" i="2"/>
  <c r="W293" i="2" s="1"/>
  <c r="O283" i="2"/>
  <c r="O338" i="2"/>
  <c r="R327" i="2"/>
  <c r="W327" i="2" s="1"/>
  <c r="R292" i="2"/>
  <c r="W292" i="2" s="1"/>
  <c r="R281" i="2"/>
  <c r="W281" i="2" s="1"/>
  <c r="O285" i="2"/>
  <c r="R334" i="2"/>
  <c r="W334" i="2" s="1"/>
  <c r="R321" i="2"/>
  <c r="W321" i="2" s="1"/>
  <c r="O282" i="2"/>
  <c r="S1452" i="2"/>
  <c r="S1450" i="2"/>
  <c r="S1448" i="2"/>
  <c r="S1443" i="2"/>
  <c r="S1441" i="2"/>
  <c r="S1439" i="2"/>
  <c r="S1437" i="2"/>
  <c r="S1435" i="2"/>
  <c r="S1433" i="2"/>
  <c r="S1431" i="2"/>
  <c r="S1429" i="2"/>
  <c r="S1427" i="2"/>
  <c r="S1425" i="2"/>
  <c r="S1423" i="2"/>
  <c r="S1421" i="2"/>
  <c r="S1419" i="2"/>
  <c r="S1417" i="2"/>
  <c r="S1415" i="2"/>
  <c r="S1413" i="2"/>
  <c r="S1411" i="2"/>
  <c r="S1409" i="2"/>
  <c r="S1407" i="2"/>
  <c r="S1405" i="2"/>
  <c r="S1403" i="2"/>
  <c r="S1401" i="2"/>
  <c r="S1399" i="2"/>
  <c r="S1397" i="2"/>
  <c r="S1395" i="2"/>
  <c r="S1393" i="2"/>
  <c r="S1391" i="2"/>
  <c r="S1389" i="2"/>
  <c r="S1387" i="2"/>
  <c r="S1385" i="2"/>
  <c r="S1383" i="2"/>
  <c r="S1381" i="2"/>
  <c r="S1379" i="2"/>
  <c r="S1377" i="2"/>
  <c r="S1375" i="2"/>
  <c r="S1373" i="2"/>
  <c r="S1371" i="2"/>
  <c r="S1369" i="2"/>
  <c r="S1367" i="2"/>
  <c r="S1365" i="2"/>
  <c r="S1363" i="2"/>
  <c r="S1361" i="2"/>
  <c r="S1359" i="2"/>
  <c r="S1357" i="2"/>
  <c r="S1355" i="2"/>
  <c r="S1353" i="2"/>
  <c r="S1351" i="2"/>
  <c r="S1349" i="2"/>
  <c r="S1347" i="2"/>
  <c r="S1345" i="2"/>
  <c r="S1343" i="2"/>
  <c r="S1341" i="2"/>
  <c r="S1339" i="2"/>
  <c r="S1337" i="2"/>
  <c r="S1335" i="2"/>
  <c r="S1333" i="2"/>
  <c r="S1331" i="2"/>
  <c r="S1329" i="2"/>
  <c r="S1327" i="2"/>
  <c r="S1325" i="2"/>
  <c r="S1323" i="2"/>
  <c r="S1321" i="2"/>
  <c r="S1491" i="2"/>
  <c r="S1489" i="2"/>
  <c r="S1487" i="2"/>
  <c r="S1485" i="2"/>
  <c r="S1483" i="2"/>
  <c r="S1481" i="2"/>
  <c r="S1479" i="2"/>
  <c r="S1477" i="2"/>
  <c r="S1475" i="2"/>
  <c r="S1473" i="2"/>
  <c r="S1471" i="2"/>
  <c r="S1469" i="2"/>
  <c r="S1467" i="2"/>
  <c r="S1465" i="2"/>
  <c r="S1463" i="2"/>
  <c r="S1461" i="2"/>
  <c r="S1459" i="2"/>
  <c r="S1457" i="2"/>
  <c r="S1455" i="2"/>
  <c r="S1453" i="2"/>
  <c r="S1451" i="2"/>
  <c r="S1449" i="2"/>
  <c r="S1444" i="2"/>
  <c r="S1442" i="2"/>
  <c r="S1440" i="2"/>
  <c r="S1438" i="2"/>
  <c r="S1436" i="2"/>
  <c r="S1434" i="2"/>
  <c r="S1432" i="2"/>
  <c r="S1430" i="2"/>
  <c r="S1428" i="2"/>
  <c r="S1426" i="2"/>
  <c r="S1424" i="2"/>
  <c r="S1422" i="2"/>
  <c r="P1485" i="2"/>
  <c r="P1473" i="2"/>
  <c r="P1471" i="2"/>
  <c r="P1469" i="2"/>
  <c r="P1467" i="2"/>
  <c r="P1486" i="2"/>
  <c r="P1441" i="2"/>
  <c r="S1408" i="2"/>
  <c r="S1396" i="2"/>
  <c r="P1391" i="2"/>
  <c r="P1383" i="2"/>
  <c r="P1375" i="2"/>
  <c r="P1367" i="2"/>
  <c r="P1359" i="2"/>
  <c r="S1356" i="2"/>
  <c r="P1347" i="2"/>
  <c r="S1344" i="2"/>
  <c r="P1474" i="2"/>
  <c r="P1468" i="2"/>
  <c r="P1436" i="2"/>
  <c r="S1420" i="2"/>
  <c r="S1410" i="2"/>
  <c r="S1398" i="2"/>
  <c r="P1428" i="2"/>
  <c r="P1393" i="2"/>
  <c r="P1385" i="2"/>
  <c r="P1377" i="2"/>
  <c r="P1369" i="2"/>
  <c r="P1361" i="2"/>
  <c r="P1356" i="2"/>
  <c r="S1412" i="2"/>
  <c r="S1400" i="2"/>
  <c r="P1351" i="2"/>
  <c r="S1348" i="2"/>
  <c r="S1336" i="2"/>
  <c r="S1324" i="2"/>
  <c r="P1390" i="2"/>
  <c r="S1384" i="2"/>
  <c r="P1382" i="2"/>
  <c r="P1374" i="2"/>
  <c r="S1368" i="2"/>
  <c r="P1366" i="2"/>
  <c r="P1358" i="2"/>
  <c r="P1348" i="2"/>
  <c r="P1472" i="2"/>
  <c r="P1466" i="2"/>
  <c r="S1392" i="2"/>
  <c r="S1376" i="2"/>
  <c r="S1360" i="2"/>
  <c r="P1439" i="2"/>
  <c r="S1414" i="2"/>
  <c r="S1402" i="2"/>
  <c r="P1395" i="2"/>
  <c r="P1387" i="2"/>
  <c r="P1379" i="2"/>
  <c r="P1371" i="2"/>
  <c r="P1363" i="2"/>
  <c r="P1353" i="2"/>
  <c r="S1350" i="2"/>
  <c r="S1338" i="2"/>
  <c r="S1326" i="2"/>
  <c r="S875" i="2"/>
  <c r="S873" i="2"/>
  <c r="S871" i="2"/>
  <c r="P634" i="2"/>
  <c r="S626" i="2"/>
  <c r="P614" i="2"/>
  <c r="S610" i="2"/>
  <c r="P1443" i="2"/>
  <c r="P1470" i="2"/>
  <c r="P1438" i="2"/>
  <c r="P1389" i="2"/>
  <c r="P1381" i="2"/>
  <c r="S1394" i="2"/>
  <c r="S1386" i="2"/>
  <c r="S1378" i="2"/>
  <c r="S1372" i="2"/>
  <c r="S1446" i="2"/>
  <c r="S1404" i="2"/>
  <c r="S1382" i="2"/>
  <c r="S1352" i="2"/>
  <c r="S1416" i="2"/>
  <c r="P1372" i="2"/>
  <c r="S1366" i="2"/>
  <c r="S1346" i="2"/>
  <c r="S870" i="2"/>
  <c r="S602" i="2"/>
  <c r="S1340" i="2"/>
  <c r="P626" i="2"/>
  <c r="S614" i="2"/>
  <c r="P606" i="2"/>
  <c r="S1445" i="2"/>
  <c r="P1370" i="2"/>
  <c r="P1364" i="2"/>
  <c r="S1362" i="2"/>
  <c r="S876" i="2"/>
  <c r="S634" i="2"/>
  <c r="P1394" i="2"/>
  <c r="P1386" i="2"/>
  <c r="P1378" i="2"/>
  <c r="S1370" i="2"/>
  <c r="P1360" i="2"/>
  <c r="P1355" i="2"/>
  <c r="S1322" i="2"/>
  <c r="S1374" i="2"/>
  <c r="P1365" i="2"/>
  <c r="P1350" i="2"/>
  <c r="S872" i="2"/>
  <c r="S1358" i="2"/>
  <c r="P610" i="2"/>
  <c r="S622" i="2"/>
  <c r="P1392" i="2"/>
  <c r="P1384" i="2"/>
  <c r="P1376" i="2"/>
  <c r="S1354" i="2"/>
  <c r="S1332" i="2"/>
  <c r="S1328" i="2"/>
  <c r="P618" i="2"/>
  <c r="P622" i="2"/>
  <c r="S1418" i="2"/>
  <c r="S1364" i="2"/>
  <c r="S874" i="2"/>
  <c r="S606" i="2"/>
  <c r="P1354" i="2"/>
  <c r="S1390" i="2"/>
  <c r="P1349" i="2"/>
  <c r="S618" i="2"/>
  <c r="P1368" i="2"/>
  <c r="S1447" i="2"/>
  <c r="P1380" i="2"/>
  <c r="S1406" i="2"/>
  <c r="S1388" i="2"/>
  <c r="S1380" i="2"/>
  <c r="P1373" i="2"/>
  <c r="P1357" i="2"/>
  <c r="S1342" i="2"/>
  <c r="S1334" i="2"/>
  <c r="S1330" i="2"/>
  <c r="P602" i="2"/>
  <c r="P1437" i="2"/>
  <c r="P1388" i="2"/>
  <c r="P1362" i="2"/>
  <c r="P1352" i="2"/>
  <c r="S157" i="2"/>
  <c r="S552" i="2"/>
  <c r="S145" i="2"/>
  <c r="S553" i="2"/>
  <c r="S143" i="2"/>
  <c r="S154" i="2"/>
  <c r="S554" i="2"/>
  <c r="AI554" i="2" s="1"/>
  <c r="P554" i="2"/>
  <c r="S428" i="2"/>
  <c r="S404" i="2"/>
  <c r="S385" i="2"/>
  <c r="S370" i="2"/>
  <c r="P372" i="2"/>
  <c r="S365" i="2"/>
  <c r="S366" i="2"/>
  <c r="P370" i="2"/>
  <c r="S372" i="2"/>
  <c r="S367" i="2"/>
  <c r="S371" i="2"/>
  <c r="S369" i="2"/>
  <c r="P371" i="2"/>
  <c r="S364" i="2"/>
  <c r="S754" i="2"/>
  <c r="S363" i="2"/>
  <c r="S368" i="2"/>
  <c r="P369" i="2"/>
  <c r="P1280" i="2"/>
  <c r="S1281" i="2"/>
  <c r="S1278" i="2"/>
  <c r="S1285" i="2"/>
  <c r="S1277" i="2"/>
  <c r="P1282" i="2"/>
  <c r="P1287" i="2"/>
  <c r="S1287" i="2"/>
  <c r="S1282" i="2"/>
  <c r="P1283" i="2"/>
  <c r="S1280" i="2"/>
  <c r="P1277" i="2"/>
  <c r="P1281" i="2"/>
  <c r="P1278" i="2"/>
  <c r="P1284" i="2"/>
  <c r="S1284" i="2"/>
  <c r="P1279" i="2"/>
  <c r="S1283" i="2"/>
  <c r="S1286" i="2"/>
  <c r="P1285" i="2"/>
  <c r="S1279" i="2"/>
  <c r="P1286" i="2"/>
  <c r="S1290" i="2"/>
  <c r="P1296" i="2"/>
  <c r="P1272" i="2"/>
  <c r="S1024" i="2"/>
  <c r="S1021" i="2"/>
  <c r="P1023" i="2"/>
  <c r="S1257" i="2"/>
  <c r="S1010" i="2"/>
  <c r="S1016" i="2"/>
  <c r="S1006" i="2"/>
  <c r="S1270" i="2"/>
  <c r="P1274" i="2"/>
  <c r="P1292" i="2"/>
  <c r="P1294" i="2"/>
  <c r="S1003" i="2"/>
  <c r="S1271" i="2"/>
  <c r="S1296" i="2"/>
  <c r="S1269" i="2"/>
  <c r="S1015" i="2"/>
  <c r="S1013" i="2"/>
  <c r="S1275" i="2"/>
  <c r="S1005" i="2"/>
  <c r="P1290" i="2"/>
  <c r="S1266" i="2"/>
  <c r="P1295" i="2"/>
  <c r="S1272" i="2"/>
  <c r="S1260" i="2"/>
  <c r="S1292" i="2"/>
  <c r="P1268" i="2"/>
  <c r="P1297" i="2"/>
  <c r="S1014" i="2"/>
  <c r="P1269" i="2"/>
  <c r="S1273" i="2"/>
  <c r="S1276" i="2"/>
  <c r="P1267" i="2"/>
  <c r="S1000" i="2"/>
  <c r="P1024" i="2"/>
  <c r="P1293" i="2"/>
  <c r="S1268" i="2"/>
  <c r="P1289" i="2"/>
  <c r="S1297" i="2"/>
  <c r="S1298" i="2"/>
  <c r="S1004" i="2"/>
  <c r="P1276" i="2"/>
  <c r="S1258" i="2"/>
  <c r="S1289" i="2"/>
  <c r="P1025" i="2"/>
  <c r="P1275" i="2"/>
  <c r="S1288" i="2"/>
  <c r="P1288" i="2"/>
  <c r="P1291" i="2"/>
  <c r="S1023" i="2"/>
  <c r="S1267" i="2"/>
  <c r="S1293" i="2"/>
  <c r="P1021" i="2"/>
  <c r="S1291" i="2"/>
  <c r="S998" i="2"/>
  <c r="S999" i="2"/>
  <c r="S1259" i="2"/>
  <c r="S1020" i="2"/>
  <c r="S1022" i="2"/>
  <c r="S1018" i="2"/>
  <c r="S1025" i="2"/>
  <c r="S1019" i="2"/>
  <c r="S1007" i="2"/>
  <c r="S1294" i="2"/>
  <c r="P1266" i="2"/>
  <c r="S1295" i="2"/>
  <c r="P1271" i="2"/>
  <c r="P1022" i="2"/>
  <c r="P1270" i="2"/>
  <c r="S1012" i="2"/>
  <c r="S1001" i="2"/>
  <c r="S1009" i="2"/>
  <c r="S1011" i="2"/>
  <c r="P1273" i="2"/>
  <c r="S1002" i="2"/>
  <c r="S1008" i="2"/>
  <c r="S1274" i="2"/>
  <c r="S1017" i="2"/>
  <c r="S1210" i="2"/>
  <c r="S1185" i="2"/>
  <c r="S1187" i="2"/>
  <c r="P1178" i="2"/>
  <c r="S1215" i="2"/>
  <c r="P1183" i="2"/>
  <c r="P1181" i="2"/>
  <c r="S1209" i="2"/>
  <c r="S1178" i="2"/>
  <c r="P1180" i="2"/>
  <c r="S1176" i="2"/>
  <c r="S1183" i="2"/>
  <c r="S1184" i="2"/>
  <c r="S1202" i="2"/>
  <c r="S1175" i="2"/>
  <c r="S1177" i="2"/>
  <c r="S1207" i="2"/>
  <c r="P1184" i="2"/>
  <c r="S1191" i="2"/>
  <c r="S1180" i="2"/>
  <c r="S1193" i="2"/>
  <c r="S1186" i="2"/>
  <c r="S1188" i="2"/>
  <c r="S1196" i="2"/>
  <c r="S1203" i="2"/>
  <c r="S1182" i="2"/>
  <c r="S1208" i="2"/>
  <c r="S1189" i="2"/>
  <c r="S1204" i="2"/>
  <c r="P1176" i="2"/>
  <c r="S1200" i="2"/>
  <c r="S1194" i="2"/>
  <c r="S1197" i="2"/>
  <c r="S1201" i="2"/>
  <c r="S1192" i="2"/>
  <c r="P1177" i="2"/>
  <c r="P1179" i="2"/>
  <c r="S1195" i="2"/>
  <c r="S1199" i="2"/>
  <c r="P1175" i="2"/>
  <c r="S1190" i="2"/>
  <c r="S1179" i="2"/>
  <c r="S1181" i="2"/>
  <c r="S1205" i="2"/>
  <c r="S1198" i="2"/>
  <c r="P1182" i="2"/>
  <c r="S1206" i="2"/>
  <c r="S1214" i="2"/>
  <c r="S708" i="2"/>
  <c r="S863" i="2"/>
  <c r="S20" i="2"/>
  <c r="P906" i="2"/>
  <c r="S896" i="2"/>
  <c r="S906" i="2"/>
  <c r="S898" i="2"/>
  <c r="S901" i="2"/>
  <c r="S155" i="2"/>
  <c r="P168" i="2"/>
  <c r="S23" i="2"/>
  <c r="S57" i="2"/>
  <c r="S158" i="2"/>
  <c r="S168" i="2"/>
  <c r="S60" i="2"/>
  <c r="AI60" i="2" s="1"/>
  <c r="S64" i="2"/>
  <c r="AI64" i="2" s="1"/>
  <c r="P67" i="2"/>
  <c r="P64" i="2"/>
  <c r="S67" i="2"/>
  <c r="AI67" i="2" s="1"/>
  <c r="P62" i="2"/>
  <c r="S62" i="2"/>
  <c r="AI62" i="2" s="1"/>
  <c r="S22" i="2"/>
  <c r="AI22" i="2" s="1"/>
  <c r="S52" i="2"/>
  <c r="AI52" i="2" s="1"/>
  <c r="S19" i="2"/>
  <c r="AI19" i="2" s="1"/>
  <c r="P29" i="2"/>
  <c r="S50" i="2"/>
  <c r="S29" i="2"/>
  <c r="AI29" i="2" s="1"/>
  <c r="S55" i="2"/>
  <c r="AI55" i="2" s="1"/>
  <c r="S25" i="2"/>
  <c r="AI25" i="2" s="1"/>
  <c r="S1299" i="2"/>
  <c r="AI1299" i="2" s="1"/>
  <c r="S1256" i="2"/>
  <c r="AI1256" i="2" s="1"/>
  <c r="S1264" i="2"/>
  <c r="AI1264" i="2" s="1"/>
  <c r="S1262" i="2"/>
  <c r="AI1262" i="2" s="1"/>
  <c r="S1300" i="2"/>
  <c r="AI1300" i="2" s="1"/>
  <c r="S1261" i="2"/>
  <c r="P1264" i="2"/>
  <c r="P66" i="2"/>
  <c r="S66" i="2"/>
  <c r="S54" i="2"/>
  <c r="AI54" i="2" s="1"/>
  <c r="S59" i="2"/>
  <c r="AI59" i="2" s="1"/>
  <c r="S1216" i="2"/>
  <c r="AI1216" i="2" s="1"/>
  <c r="P174" i="2"/>
  <c r="S174" i="2"/>
  <c r="AI174" i="2" s="1"/>
  <c r="S153" i="2"/>
  <c r="AI153" i="2" s="1"/>
  <c r="S1034" i="2"/>
  <c r="AI1034" i="2" s="1"/>
  <c r="P1070" i="2"/>
  <c r="S165" i="2"/>
  <c r="AI165" i="2" s="1"/>
  <c r="S150" i="2"/>
  <c r="AI150" i="2" s="1"/>
  <c r="P1038" i="2"/>
  <c r="S172" i="2"/>
  <c r="S1042" i="2"/>
  <c r="AI1042" i="2" s="1"/>
  <c r="S1043" i="2"/>
  <c r="AI1043" i="2" s="1"/>
  <c r="P1030" i="2"/>
  <c r="S149" i="2"/>
  <c r="AI149" i="2" s="1"/>
  <c r="S1029" i="2"/>
  <c r="AI1029" i="2" s="1"/>
  <c r="P1037" i="2"/>
  <c r="S160" i="2"/>
  <c r="AI160" i="2" s="1"/>
  <c r="P1071" i="2"/>
  <c r="P169" i="2"/>
  <c r="P1027" i="2"/>
  <c r="S169" i="2"/>
  <c r="S1044" i="2"/>
  <c r="AI1044" i="2" s="1"/>
  <c r="S148" i="2"/>
  <c r="AI148" i="2" s="1"/>
  <c r="S1068" i="2"/>
  <c r="AI1068" i="2" s="1"/>
  <c r="S1040" i="2"/>
  <c r="AI1040" i="2" s="1"/>
  <c r="S170" i="2"/>
  <c r="AI170" i="2" s="1"/>
  <c r="S159" i="2"/>
  <c r="AI159" i="2" s="1"/>
  <c r="S1035" i="2"/>
  <c r="AI1035" i="2" s="1"/>
  <c r="S144" i="2"/>
  <c r="AI144" i="2" s="1"/>
  <c r="P1029" i="2"/>
  <c r="S1037" i="2"/>
  <c r="AI1037" i="2" s="1"/>
  <c r="S1071" i="2"/>
  <c r="AI1071" i="2" s="1"/>
  <c r="S166" i="2"/>
  <c r="AI166" i="2" s="1"/>
  <c r="S1038" i="2"/>
  <c r="P1036" i="2"/>
  <c r="S162" i="2"/>
  <c r="AI162" i="2" s="1"/>
  <c r="P162" i="2"/>
  <c r="P165" i="2"/>
  <c r="P167" i="2"/>
  <c r="P1028" i="2"/>
  <c r="P170" i="2"/>
  <c r="S1027" i="2"/>
  <c r="AI1027" i="2" s="1"/>
  <c r="P171" i="2"/>
  <c r="P1026" i="2"/>
  <c r="P1035" i="2"/>
  <c r="P1034" i="2"/>
  <c r="S1213" i="2"/>
  <c r="AI1213" i="2" s="1"/>
  <c r="S167" i="2"/>
  <c r="AI167" i="2" s="1"/>
  <c r="S152" i="2"/>
  <c r="AI152" i="2" s="1"/>
  <c r="S1041" i="2"/>
  <c r="AI1041" i="2" s="1"/>
  <c r="S1026" i="2"/>
  <c r="AI1026" i="2" s="1"/>
  <c r="S1033" i="2"/>
  <c r="AI1033" i="2" s="1"/>
  <c r="S146" i="2"/>
  <c r="AI146" i="2" s="1"/>
  <c r="S147" i="2"/>
  <c r="AI147" i="2" s="1"/>
  <c r="S1067" i="2"/>
  <c r="AI1067" i="2" s="1"/>
  <c r="S1072" i="2"/>
  <c r="AI1072" i="2" s="1"/>
  <c r="P1032" i="2"/>
  <c r="S1028" i="2"/>
  <c r="AI1028" i="2" s="1"/>
  <c r="S173" i="2"/>
  <c r="AI173" i="2" s="1"/>
  <c r="P166" i="2"/>
  <c r="S1032" i="2"/>
  <c r="AI1032" i="2" s="1"/>
  <c r="S1212" i="2"/>
  <c r="AI1212" i="2" s="1"/>
  <c r="S1031" i="2"/>
  <c r="AI1031" i="2" s="1"/>
  <c r="S1070" i="2"/>
  <c r="AI1070" i="2" s="1"/>
  <c r="S1066" i="2"/>
  <c r="AI1066" i="2" s="1"/>
  <c r="S1074" i="2"/>
  <c r="AI1074" i="2" s="1"/>
  <c r="P161" i="2"/>
  <c r="S1075" i="2"/>
  <c r="AI1075" i="2" s="1"/>
  <c r="S171" i="2"/>
  <c r="S1073" i="2"/>
  <c r="P163" i="2"/>
  <c r="P164" i="2"/>
  <c r="P173" i="2"/>
  <c r="S156" i="2"/>
  <c r="AI156" i="2" s="1"/>
  <c r="S1069" i="2"/>
  <c r="AI1069" i="2" s="1"/>
  <c r="S1065" i="2"/>
  <c r="AI1065" i="2" s="1"/>
  <c r="S164" i="2"/>
  <c r="AI164" i="2" s="1"/>
  <c r="S1039" i="2"/>
  <c r="AI1039" i="2" s="1"/>
  <c r="S1036" i="2"/>
  <c r="AI1036" i="2" s="1"/>
  <c r="S151" i="2"/>
  <c r="AI151" i="2" s="1"/>
  <c r="S163" i="2"/>
  <c r="P1069" i="2"/>
  <c r="P1031" i="2"/>
  <c r="S1211" i="2"/>
  <c r="AI1211" i="2" s="1"/>
  <c r="S1030" i="2"/>
  <c r="AI1030" i="2" s="1"/>
  <c r="P172" i="2"/>
  <c r="S161" i="2"/>
  <c r="AI161" i="2" s="1"/>
  <c r="P1072" i="2"/>
  <c r="P1033" i="2"/>
  <c r="P885" i="2"/>
  <c r="S65" i="2"/>
  <c r="AI65" i="2" s="1"/>
  <c r="S877" i="2"/>
  <c r="AI877" i="2" s="1"/>
  <c r="S882" i="2"/>
  <c r="S868" i="2"/>
  <c r="S881" i="2"/>
  <c r="AI881" i="2" s="1"/>
  <c r="S58" i="2"/>
  <c r="AI58" i="2" s="1"/>
  <c r="S884" i="2"/>
  <c r="AI884" i="2" s="1"/>
  <c r="S49" i="2"/>
  <c r="AI49" i="2" s="1"/>
  <c r="P65" i="2"/>
  <c r="P883" i="2"/>
  <c r="S24" i="2"/>
  <c r="AI24" i="2" s="1"/>
  <c r="S51" i="2"/>
  <c r="AI51" i="2" s="1"/>
  <c r="P880" i="2"/>
  <c r="P26" i="2"/>
  <c r="P61" i="2"/>
  <c r="S867" i="2"/>
  <c r="S866" i="2"/>
  <c r="AI866" i="2" s="1"/>
  <c r="P884" i="2"/>
  <c r="S53" i="2"/>
  <c r="AI53" i="2" s="1"/>
  <c r="S27" i="2"/>
  <c r="AI27" i="2" s="1"/>
  <c r="S879" i="2"/>
  <c r="AI879" i="2" s="1"/>
  <c r="S883" i="2"/>
  <c r="AI883" i="2" s="1"/>
  <c r="P881" i="2"/>
  <c r="P882" i="2"/>
  <c r="P63" i="2"/>
  <c r="P27" i="2"/>
  <c r="P879" i="2"/>
  <c r="S18" i="2"/>
  <c r="S21" i="2"/>
  <c r="AI21" i="2" s="1"/>
  <c r="P28" i="2"/>
  <c r="S885" i="2"/>
  <c r="AI885" i="2" s="1"/>
  <c r="S61" i="2"/>
  <c r="AI61" i="2" s="1"/>
  <c r="S63" i="2"/>
  <c r="AI63" i="2" s="1"/>
  <c r="P878" i="2"/>
  <c r="S56" i="2"/>
  <c r="AI56" i="2" s="1"/>
  <c r="S26" i="2"/>
  <c r="AI26" i="2" s="1"/>
  <c r="S865" i="2"/>
  <c r="AI865" i="2" s="1"/>
  <c r="S28" i="2"/>
  <c r="AI28" i="2" s="1"/>
  <c r="S880" i="2"/>
  <c r="S878" i="2"/>
  <c r="S900" i="2"/>
  <c r="AI900" i="2" s="1"/>
  <c r="P783" i="2"/>
  <c r="S790" i="2"/>
  <c r="AI790" i="2" s="1"/>
  <c r="P909" i="2"/>
  <c r="S889" i="2"/>
  <c r="AI889" i="2" s="1"/>
  <c r="S763" i="2"/>
  <c r="AI763" i="2" s="1"/>
  <c r="P915" i="2"/>
  <c r="S778" i="2"/>
  <c r="AI778" i="2" s="1"/>
  <c r="S923" i="2"/>
  <c r="AI923" i="2" s="1"/>
  <c r="S917" i="2"/>
  <c r="AI917" i="2" s="1"/>
  <c r="S773" i="2"/>
  <c r="AI773" i="2" s="1"/>
  <c r="S788" i="2"/>
  <c r="S775" i="2"/>
  <c r="AI775" i="2" s="1"/>
  <c r="P760" i="2"/>
  <c r="S785" i="2"/>
  <c r="AI785" i="2" s="1"/>
  <c r="P788" i="2"/>
  <c r="S784" i="2"/>
  <c r="AI784" i="2" s="1"/>
  <c r="S893" i="2"/>
  <c r="AI893" i="2" s="1"/>
  <c r="S766" i="2"/>
  <c r="AI766" i="2" s="1"/>
  <c r="S904" i="2"/>
  <c r="AI904" i="2" s="1"/>
  <c r="P912" i="2"/>
  <c r="S783" i="2"/>
  <c r="AI783" i="2" s="1"/>
  <c r="S899" i="2"/>
  <c r="S781" i="2"/>
  <c r="S915" i="2"/>
  <c r="AI915" i="2" s="1"/>
  <c r="S887" i="2"/>
  <c r="AI887" i="2" s="1"/>
  <c r="S767" i="2"/>
  <c r="AI767" i="2" s="1"/>
  <c r="S907" i="2"/>
  <c r="AI907" i="2" s="1"/>
  <c r="S908" i="2"/>
  <c r="AI908" i="2" s="1"/>
  <c r="P758" i="2"/>
  <c r="S897" i="2"/>
  <c r="AI897" i="2" s="1"/>
  <c r="S777" i="2"/>
  <c r="AI777" i="2" s="1"/>
  <c r="P761" i="2"/>
  <c r="S770" i="2"/>
  <c r="AI770" i="2" s="1"/>
  <c r="S894" i="2"/>
  <c r="S774" i="2"/>
  <c r="S779" i="2"/>
  <c r="AI779" i="2" s="1"/>
  <c r="S910" i="2"/>
  <c r="AI910" i="2" s="1"/>
  <c r="S764" i="2"/>
  <c r="AI764" i="2" s="1"/>
  <c r="S769" i="2"/>
  <c r="AI769" i="2" s="1"/>
  <c r="S921" i="2"/>
  <c r="AI921" i="2" s="1"/>
  <c r="P913" i="2"/>
  <c r="S780" i="2"/>
  <c r="AI780" i="2" s="1"/>
  <c r="S924" i="2"/>
  <c r="AI924" i="2" s="1"/>
  <c r="S909" i="2"/>
  <c r="AI909" i="2" s="1"/>
  <c r="S911" i="2"/>
  <c r="AI911" i="2" s="1"/>
  <c r="P907" i="2"/>
  <c r="S925" i="2"/>
  <c r="S913" i="2"/>
  <c r="AI913" i="2" s="1"/>
  <c r="S902" i="2"/>
  <c r="AI902" i="2" s="1"/>
  <c r="P911" i="2"/>
  <c r="S760" i="2"/>
  <c r="AI760" i="2" s="1"/>
  <c r="S771" i="2"/>
  <c r="AI771" i="2" s="1"/>
  <c r="S782" i="2"/>
  <c r="AI782" i="2" s="1"/>
  <c r="S886" i="2"/>
  <c r="AI886" i="2" s="1"/>
  <c r="S912" i="2"/>
  <c r="AI912" i="2" s="1"/>
  <c r="S768" i="2"/>
  <c r="AI768" i="2" s="1"/>
  <c r="S759" i="2"/>
  <c r="AI759" i="2" s="1"/>
  <c r="S895" i="2"/>
  <c r="AI895" i="2" s="1"/>
  <c r="S765" i="2"/>
  <c r="S922" i="2"/>
  <c r="AI922" i="2" s="1"/>
  <c r="S916" i="2"/>
  <c r="AI916" i="2" s="1"/>
  <c r="P914" i="2"/>
  <c r="S892" i="2"/>
  <c r="AI892" i="2" s="1"/>
  <c r="S905" i="2"/>
  <c r="AI905" i="2" s="1"/>
  <c r="P786" i="2"/>
  <c r="P762" i="2"/>
  <c r="P759" i="2"/>
  <c r="S787" i="2"/>
  <c r="AI787" i="2" s="1"/>
  <c r="S890" i="2"/>
  <c r="AI890" i="2" s="1"/>
  <c r="S918" i="2"/>
  <c r="S864" i="2"/>
  <c r="S914" i="2"/>
  <c r="AI914" i="2" s="1"/>
  <c r="P763" i="2"/>
  <c r="P910" i="2"/>
  <c r="S919" i="2"/>
  <c r="AI919" i="2" s="1"/>
  <c r="P916" i="2"/>
  <c r="S772" i="2"/>
  <c r="AI772" i="2" s="1"/>
  <c r="S888" i="2"/>
  <c r="AI888" i="2" s="1"/>
  <c r="S789" i="2"/>
  <c r="AI789" i="2" s="1"/>
  <c r="P764" i="2"/>
  <c r="P782" i="2"/>
  <c r="S920" i="2"/>
  <c r="S786" i="2"/>
  <c r="AI786" i="2" s="1"/>
  <c r="S758" i="2"/>
  <c r="AI758" i="2" s="1"/>
  <c r="S891" i="2"/>
  <c r="AI891" i="2" s="1"/>
  <c r="P905" i="2"/>
  <c r="P908" i="2"/>
  <c r="S792" i="2"/>
  <c r="AI792" i="2" s="1"/>
  <c r="S791" i="2"/>
  <c r="AI791" i="2" s="1"/>
  <c r="S762" i="2"/>
  <c r="AI762" i="2" s="1"/>
  <c r="S761" i="2"/>
  <c r="AI761" i="2" s="1"/>
  <c r="S776" i="2"/>
  <c r="AI776" i="2" s="1"/>
  <c r="S903" i="2"/>
  <c r="AI903" i="2" s="1"/>
  <c r="S726" i="2"/>
  <c r="S746" i="2"/>
  <c r="S713" i="2"/>
  <c r="AI713" i="2" s="1"/>
  <c r="S753" i="2"/>
  <c r="AI753" i="2" s="1"/>
  <c r="S702" i="2"/>
  <c r="AI702" i="2" s="1"/>
  <c r="S709" i="2"/>
  <c r="AI709" i="2" s="1"/>
  <c r="S730" i="2"/>
  <c r="AI730" i="2" s="1"/>
  <c r="S725" i="2"/>
  <c r="AI725" i="2" s="1"/>
  <c r="S724" i="2"/>
  <c r="AI724" i="2" s="1"/>
  <c r="P714" i="2"/>
  <c r="S729" i="2"/>
  <c r="AI729" i="2" s="1"/>
  <c r="S739" i="2"/>
  <c r="AI739" i="2" s="1"/>
  <c r="P722" i="2"/>
  <c r="S719" i="2"/>
  <c r="AI719" i="2" s="1"/>
  <c r="S740" i="2"/>
  <c r="AI740" i="2" s="1"/>
  <c r="P753" i="2"/>
  <c r="S705" i="2"/>
  <c r="AI705" i="2" s="1"/>
  <c r="P716" i="2"/>
  <c r="S731" i="2"/>
  <c r="AI731" i="2" s="1"/>
  <c r="S714" i="2"/>
  <c r="AI714" i="2" s="1"/>
  <c r="S722" i="2"/>
  <c r="AI722" i="2" s="1"/>
  <c r="S715" i="2"/>
  <c r="AI715" i="2" s="1"/>
  <c r="S748" i="2"/>
  <c r="AI748" i="2" s="1"/>
  <c r="S703" i="2"/>
  <c r="AI703" i="2" s="1"/>
  <c r="S701" i="2"/>
  <c r="S721" i="2"/>
  <c r="AI721" i="2" s="1"/>
  <c r="S737" i="2"/>
  <c r="AI737" i="2" s="1"/>
  <c r="S750" i="2"/>
  <c r="AI750" i="2" s="1"/>
  <c r="S744" i="2"/>
  <c r="AI744" i="2" s="1"/>
  <c r="S711" i="2"/>
  <c r="AI711" i="2" s="1"/>
  <c r="P718" i="2"/>
  <c r="P734" i="2"/>
  <c r="P719" i="2"/>
  <c r="S742" i="2"/>
  <c r="AI742" i="2" s="1"/>
  <c r="S710" i="2"/>
  <c r="AI710" i="2" s="1"/>
  <c r="S735" i="2"/>
  <c r="AI735" i="2" s="1"/>
  <c r="P713" i="2"/>
  <c r="P752" i="2"/>
  <c r="S751" i="2"/>
  <c r="AI751" i="2" s="1"/>
  <c r="S728" i="2"/>
  <c r="AI728" i="2" s="1"/>
  <c r="S707" i="2"/>
  <c r="AI707" i="2" s="1"/>
  <c r="P715" i="2"/>
  <c r="S700" i="2"/>
  <c r="AI700" i="2" s="1"/>
  <c r="S727" i="2"/>
  <c r="AI727" i="2" s="1"/>
  <c r="P750" i="2"/>
  <c r="S734" i="2"/>
  <c r="AI734" i="2" s="1"/>
  <c r="P733" i="2"/>
  <c r="P712" i="2"/>
  <c r="P721" i="2"/>
  <c r="P717" i="2"/>
  <c r="S736" i="2"/>
  <c r="AI736" i="2" s="1"/>
  <c r="S741" i="2"/>
  <c r="AI741" i="2" s="1"/>
  <c r="S704" i="2"/>
  <c r="AI704" i="2" s="1"/>
  <c r="S718" i="2"/>
  <c r="AI718" i="2" s="1"/>
  <c r="S732" i="2"/>
  <c r="AI732" i="2" s="1"/>
  <c r="S738" i="2"/>
  <c r="AI738" i="2" s="1"/>
  <c r="S717" i="2"/>
  <c r="AI717" i="2" s="1"/>
  <c r="P749" i="2"/>
  <c r="S723" i="2"/>
  <c r="AI723" i="2" s="1"/>
  <c r="S733" i="2"/>
  <c r="AI733" i="2" s="1"/>
  <c r="P720" i="2"/>
  <c r="S743" i="2"/>
  <c r="S745" i="2"/>
  <c r="AI745" i="2" s="1"/>
  <c r="P710" i="2"/>
  <c r="S720" i="2"/>
  <c r="AI720" i="2" s="1"/>
  <c r="S716" i="2"/>
  <c r="AI716" i="2" s="1"/>
  <c r="P731" i="2"/>
  <c r="P711" i="2"/>
  <c r="S752" i="2"/>
  <c r="AI752" i="2" s="1"/>
  <c r="P751" i="2"/>
  <c r="S706" i="2"/>
  <c r="AI706" i="2" s="1"/>
  <c r="S747" i="2"/>
  <c r="AI747" i="2" s="1"/>
  <c r="S712" i="2"/>
  <c r="S749" i="2"/>
  <c r="S699" i="2"/>
  <c r="AI699" i="2" s="1"/>
  <c r="P420" i="2"/>
  <c r="S649" i="2"/>
  <c r="AI649" i="2" s="1"/>
  <c r="S683" i="2"/>
  <c r="AI683" i="2" s="1"/>
  <c r="S442" i="2"/>
  <c r="AI442" i="2" s="1"/>
  <c r="P653" i="2"/>
  <c r="P548" i="2"/>
  <c r="S418" i="2"/>
  <c r="AI418" i="2" s="1"/>
  <c r="S420" i="2"/>
  <c r="AI420" i="2" s="1"/>
  <c r="S681" i="2"/>
  <c r="AI681" i="2" s="1"/>
  <c r="S650" i="2"/>
  <c r="S642" i="2"/>
  <c r="P684" i="2"/>
  <c r="S639" i="2"/>
  <c r="AI639" i="2" s="1"/>
  <c r="P536" i="2"/>
  <c r="S422" i="2"/>
  <c r="AI422" i="2" s="1"/>
  <c r="S638" i="2"/>
  <c r="AI638" i="2" s="1"/>
  <c r="S426" i="2"/>
  <c r="AI426" i="2" s="1"/>
  <c r="S655" i="2"/>
  <c r="AI655" i="2" s="1"/>
  <c r="P424" i="2"/>
  <c r="S656" i="2"/>
  <c r="AI656" i="2" s="1"/>
  <c r="P652" i="2"/>
  <c r="P520" i="2"/>
  <c r="S682" i="2"/>
  <c r="P544" i="2"/>
  <c r="P418" i="2"/>
  <c r="S440" i="2"/>
  <c r="AI440" i="2" s="1"/>
  <c r="S654" i="2"/>
  <c r="AI654" i="2" s="1"/>
  <c r="S647" i="2"/>
  <c r="AI647" i="2" s="1"/>
  <c r="P426" i="2"/>
  <c r="S651" i="2"/>
  <c r="AI651" i="2" s="1"/>
  <c r="P516" i="2"/>
  <c r="S640" i="2"/>
  <c r="AI640" i="2" s="1"/>
  <c r="S657" i="2"/>
  <c r="AI657" i="2" s="1"/>
  <c r="S686" i="2"/>
  <c r="P422" i="2"/>
  <c r="S430" i="2"/>
  <c r="AI430" i="2" s="1"/>
  <c r="S687" i="2"/>
  <c r="AI687" i="2" s="1"/>
  <c r="S653" i="2"/>
  <c r="AI653" i="2" s="1"/>
  <c r="P512" i="2"/>
  <c r="S432" i="2"/>
  <c r="AI432" i="2" s="1"/>
  <c r="S652" i="2"/>
  <c r="AI652" i="2" s="1"/>
  <c r="S658" i="2"/>
  <c r="AI658" i="2" s="1"/>
  <c r="S641" i="2"/>
  <c r="AI641" i="2" s="1"/>
  <c r="P540" i="2"/>
  <c r="S685" i="2"/>
  <c r="AI685" i="2" s="1"/>
  <c r="S648" i="2"/>
  <c r="P651" i="2"/>
  <c r="S434" i="2"/>
  <c r="AI434" i="2" s="1"/>
  <c r="S644" i="2"/>
  <c r="AI644" i="2" s="1"/>
  <c r="S646" i="2"/>
  <c r="AI646" i="2" s="1"/>
  <c r="S436" i="2"/>
  <c r="AI436" i="2" s="1"/>
  <c r="S680" i="2"/>
  <c r="AI680" i="2" s="1"/>
  <c r="S424" i="2"/>
  <c r="AI424" i="2" s="1"/>
  <c r="S438" i="2"/>
  <c r="AI438" i="2" s="1"/>
  <c r="S643" i="2"/>
  <c r="AI643" i="2" s="1"/>
  <c r="S645" i="2"/>
  <c r="AI645" i="2" s="1"/>
  <c r="P650" i="2"/>
  <c r="S684" i="2"/>
  <c r="S383" i="2"/>
  <c r="P396" i="2"/>
  <c r="S402" i="2"/>
  <c r="S398" i="2"/>
  <c r="AI398" i="2" s="1"/>
  <c r="S388" i="2"/>
  <c r="AI388" i="2" s="1"/>
  <c r="P400" i="2"/>
  <c r="S406" i="2"/>
  <c r="AI406" i="2" s="1"/>
  <c r="S416" i="2"/>
  <c r="AI416" i="2" s="1"/>
  <c r="S396" i="2"/>
  <c r="AI396" i="2" s="1"/>
  <c r="S412" i="2"/>
  <c r="AI412" i="2" s="1"/>
  <c r="S392" i="2"/>
  <c r="AI392" i="2" s="1"/>
  <c r="S408" i="2"/>
  <c r="P388" i="2"/>
  <c r="S390" i="2"/>
  <c r="AI390" i="2" s="1"/>
  <c r="S386" i="2"/>
  <c r="AI386" i="2" s="1"/>
  <c r="S400" i="2"/>
  <c r="AI400" i="2" s="1"/>
  <c r="S410" i="2"/>
  <c r="AI410" i="2" s="1"/>
  <c r="S394" i="2"/>
  <c r="AI394" i="2" s="1"/>
  <c r="P383" i="2"/>
  <c r="S414" i="2"/>
  <c r="AI414" i="2" s="1"/>
  <c r="P398" i="2"/>
  <c r="P402" i="2"/>
  <c r="P390" i="2"/>
  <c r="P281" i="2"/>
  <c r="S283" i="2"/>
  <c r="S327" i="2"/>
  <c r="AI327" i="2" s="1"/>
  <c r="S334" i="2"/>
  <c r="AI334" i="2" s="1"/>
  <c r="S328" i="2"/>
  <c r="AI328" i="2" s="1"/>
  <c r="P321" i="2"/>
  <c r="S292" i="2"/>
  <c r="AI292" i="2" s="1"/>
  <c r="S282" i="2"/>
  <c r="AI282" i="2" s="1"/>
  <c r="S322" i="2"/>
  <c r="AI322" i="2" s="1"/>
  <c r="P337" i="2"/>
  <c r="S286" i="2"/>
  <c r="AI286" i="2" s="1"/>
  <c r="S281" i="2"/>
  <c r="AI281" i="2" s="1"/>
  <c r="S325" i="2"/>
  <c r="P338" i="2"/>
  <c r="P282" i="2"/>
  <c r="S331" i="2"/>
  <c r="AI331" i="2" s="1"/>
  <c r="P339" i="2"/>
  <c r="S340" i="2"/>
  <c r="AI340" i="2" s="1"/>
  <c r="P340" i="2"/>
  <c r="S277" i="2"/>
  <c r="AI277" i="2" s="1"/>
  <c r="S333" i="2"/>
  <c r="AI333" i="2" s="1"/>
  <c r="S279" i="2"/>
  <c r="AI279" i="2" s="1"/>
  <c r="S323" i="2"/>
  <c r="AI323" i="2" s="1"/>
  <c r="S314" i="2"/>
  <c r="AI314" i="2" s="1"/>
  <c r="S290" i="2"/>
  <c r="AI290" i="2" s="1"/>
  <c r="S345" i="2"/>
  <c r="AI345" i="2" s="1"/>
  <c r="S324" i="2"/>
  <c r="AI324" i="2" s="1"/>
  <c r="P323" i="2"/>
  <c r="S326" i="2"/>
  <c r="AI326" i="2" s="1"/>
  <c r="S315" i="2"/>
  <c r="AI315" i="2" s="1"/>
  <c r="S335" i="2"/>
  <c r="AI335" i="2" s="1"/>
  <c r="S280" i="2"/>
  <c r="AI280" i="2" s="1"/>
  <c r="S287" i="2"/>
  <c r="AI287" i="2" s="1"/>
  <c r="S320" i="2"/>
  <c r="AI320" i="2" s="1"/>
  <c r="S344" i="2"/>
  <c r="AI344" i="2" s="1"/>
  <c r="S350" i="2"/>
  <c r="AI350" i="2" s="1"/>
  <c r="S343" i="2"/>
  <c r="S276" i="2"/>
  <c r="P320" i="2"/>
  <c r="S332" i="2"/>
  <c r="AI332" i="2" s="1"/>
  <c r="S316" i="2"/>
  <c r="AI316" i="2" s="1"/>
  <c r="S329" i="2"/>
  <c r="AI329" i="2" s="1"/>
  <c r="S375" i="2"/>
  <c r="V375" i="2" s="1"/>
  <c r="S376" i="2"/>
  <c r="AI376" i="2" s="1"/>
  <c r="S347" i="2"/>
  <c r="AI347" i="2" s="1"/>
  <c r="S284" i="2"/>
  <c r="AI284" i="2" s="1"/>
  <c r="S330" i="2"/>
  <c r="AI330" i="2" s="1"/>
  <c r="P280" i="2"/>
  <c r="P285" i="2"/>
  <c r="S321" i="2"/>
  <c r="AI321" i="2" s="1"/>
  <c r="S348" i="2"/>
  <c r="AI348" i="2" s="1"/>
  <c r="S339" i="2"/>
  <c r="AI339" i="2" s="1"/>
  <c r="S291" i="2"/>
  <c r="AI291" i="2" s="1"/>
  <c r="P375" i="2"/>
  <c r="S319" i="2"/>
  <c r="AI319" i="2" s="1"/>
  <c r="S346" i="2"/>
  <c r="AI346" i="2" s="1"/>
  <c r="S293" i="2"/>
  <c r="AI293" i="2" s="1"/>
  <c r="S336" i="2"/>
  <c r="AI336" i="2" s="1"/>
  <c r="P283" i="2"/>
  <c r="S285" i="2"/>
  <c r="AI285" i="2" s="1"/>
  <c r="S275" i="2"/>
  <c r="S313" i="2"/>
  <c r="S337" i="2"/>
  <c r="AI337" i="2" s="1"/>
  <c r="S318" i="2"/>
  <c r="AI318" i="2" s="1"/>
  <c r="P342" i="2"/>
  <c r="P319" i="2"/>
  <c r="S349" i="2"/>
  <c r="AI349" i="2" s="1"/>
  <c r="S338" i="2"/>
  <c r="AI338" i="2" s="1"/>
  <c r="S278" i="2"/>
  <c r="AI278" i="2" s="1"/>
  <c r="S374" i="2"/>
  <c r="AI374" i="2" s="1"/>
  <c r="S317" i="2"/>
  <c r="AI317" i="2" s="1"/>
  <c r="P318" i="2"/>
  <c r="S289" i="2"/>
  <c r="S341" i="2"/>
  <c r="S288" i="2"/>
  <c r="AI288" i="2" s="1"/>
  <c r="S342" i="2"/>
  <c r="AI342" i="2" s="1"/>
  <c r="T1452" i="2"/>
  <c r="T1450" i="2"/>
  <c r="T1448" i="2"/>
  <c r="T1443" i="2"/>
  <c r="T1441" i="2"/>
  <c r="T1439" i="2"/>
  <c r="T1437" i="2"/>
  <c r="T1435" i="2"/>
  <c r="T1433" i="2"/>
  <c r="T1431" i="2"/>
  <c r="T1429" i="2"/>
  <c r="T1427" i="2"/>
  <c r="T1425" i="2"/>
  <c r="T1423" i="2"/>
  <c r="T1421" i="2"/>
  <c r="T1419" i="2"/>
  <c r="T1417" i="2"/>
  <c r="T1415" i="2"/>
  <c r="T1413" i="2"/>
  <c r="T1411" i="2"/>
  <c r="T1409" i="2"/>
  <c r="T1407" i="2"/>
  <c r="T1405" i="2"/>
  <c r="T1403" i="2"/>
  <c r="T1401" i="2"/>
  <c r="T1399" i="2"/>
  <c r="T1397" i="2"/>
  <c r="T1395" i="2"/>
  <c r="T1393" i="2"/>
  <c r="T1391" i="2"/>
  <c r="T1389" i="2"/>
  <c r="T1387" i="2"/>
  <c r="T1385" i="2"/>
  <c r="T1383" i="2"/>
  <c r="T1381" i="2"/>
  <c r="T1379" i="2"/>
  <c r="T1377" i="2"/>
  <c r="T1375" i="2"/>
  <c r="T1373" i="2"/>
  <c r="T1371" i="2"/>
  <c r="T1369" i="2"/>
  <c r="T1367" i="2"/>
  <c r="T1365" i="2"/>
  <c r="T1363" i="2"/>
  <c r="T1361" i="2"/>
  <c r="T1359" i="2"/>
  <c r="Q1443" i="2"/>
  <c r="Q1441" i="2"/>
  <c r="Q1439" i="2"/>
  <c r="Q1437" i="2"/>
  <c r="Q1395" i="2"/>
  <c r="T1491" i="2"/>
  <c r="Q1487" i="2"/>
  <c r="Q1485" i="2"/>
  <c r="Q1473" i="2"/>
  <c r="Q1471" i="2"/>
  <c r="Q1469" i="2"/>
  <c r="Q1467" i="2"/>
  <c r="Q1438" i="2"/>
  <c r="Q1436" i="2"/>
  <c r="Q1428" i="2"/>
  <c r="T1481" i="2"/>
  <c r="T1436" i="2"/>
  <c r="T1432" i="2"/>
  <c r="Q1354" i="2"/>
  <c r="T1485" i="2"/>
  <c r="T1477" i="2"/>
  <c r="T1457" i="2"/>
  <c r="T1440" i="2"/>
  <c r="T1428" i="2"/>
  <c r="T1424" i="2"/>
  <c r="T1420" i="2"/>
  <c r="T1410" i="2"/>
  <c r="T1398" i="2"/>
  <c r="T1390" i="2"/>
  <c r="Q1388" i="2"/>
  <c r="T1382" i="2"/>
  <c r="Q1380" i="2"/>
  <c r="T1374" i="2"/>
  <c r="Q1372" i="2"/>
  <c r="T1473" i="2"/>
  <c r="T1467" i="2"/>
  <c r="T1444" i="2"/>
  <c r="T1489" i="2"/>
  <c r="T1461" i="2"/>
  <c r="T1412" i="2"/>
  <c r="T1400" i="2"/>
  <c r="T1353" i="2"/>
  <c r="Q1351" i="2"/>
  <c r="T1348" i="2"/>
  <c r="T1341" i="2"/>
  <c r="T1451" i="2"/>
  <c r="T1392" i="2"/>
  <c r="Q1390" i="2"/>
  <c r="T1384" i="2"/>
  <c r="Q1382" i="2"/>
  <c r="T1376" i="2"/>
  <c r="Q1374" i="2"/>
  <c r="T1368" i="2"/>
  <c r="Q1366" i="2"/>
  <c r="T1360" i="2"/>
  <c r="Q1358" i="2"/>
  <c r="Q626" i="2"/>
  <c r="T622" i="2"/>
  <c r="Q610" i="2"/>
  <c r="T606" i="2"/>
  <c r="T1445" i="2"/>
  <c r="Q1379" i="2"/>
  <c r="Q1363" i="2"/>
  <c r="Q1353" i="2"/>
  <c r="T1350" i="2"/>
  <c r="T1343" i="2"/>
  <c r="T1338" i="2"/>
  <c r="T1326" i="2"/>
  <c r="T875" i="2"/>
  <c r="T871" i="2"/>
  <c r="T1422" i="2"/>
  <c r="T1404" i="2"/>
  <c r="Q1392" i="2"/>
  <c r="Q1384" i="2"/>
  <c r="Q1376" i="2"/>
  <c r="Q1368" i="2"/>
  <c r="Q1360" i="2"/>
  <c r="Q1355" i="2"/>
  <c r="T1328" i="2"/>
  <c r="T1483" i="2"/>
  <c r="T1434" i="2"/>
  <c r="T1430" i="2"/>
  <c r="T1414" i="2"/>
  <c r="T1402" i="2"/>
  <c r="Q1387" i="2"/>
  <c r="Q1371" i="2"/>
  <c r="T1355" i="2"/>
  <c r="T1331" i="2"/>
  <c r="T873" i="2"/>
  <c r="T1352" i="2"/>
  <c r="T1340" i="2"/>
  <c r="T1479" i="2"/>
  <c r="T1471" i="2"/>
  <c r="T1465" i="2"/>
  <c r="T1455" i="2"/>
  <c r="Q1348" i="2"/>
  <c r="T1438" i="2"/>
  <c r="T1426" i="2"/>
  <c r="T1416" i="2"/>
  <c r="T1394" i="2"/>
  <c r="T1386" i="2"/>
  <c r="T1378" i="2"/>
  <c r="T1370" i="2"/>
  <c r="T1362" i="2"/>
  <c r="T1357" i="2"/>
  <c r="T1345" i="2"/>
  <c r="T1333" i="2"/>
  <c r="T1321" i="2"/>
  <c r="T1449" i="2"/>
  <c r="T1418" i="2"/>
  <c r="T1406" i="2"/>
  <c r="T1366" i="2"/>
  <c r="T1351" i="2"/>
  <c r="T1346" i="2"/>
  <c r="T1337" i="2"/>
  <c r="T870" i="2"/>
  <c r="Q614" i="2"/>
  <c r="Q1349" i="2"/>
  <c r="Q634" i="2"/>
  <c r="T1453" i="2"/>
  <c r="T1463" i="2"/>
  <c r="Q1394" i="2"/>
  <c r="Q1386" i="2"/>
  <c r="Q1378" i="2"/>
  <c r="Q1361" i="2"/>
  <c r="Q1356" i="2"/>
  <c r="T1322" i="2"/>
  <c r="T1446" i="2"/>
  <c r="T872" i="2"/>
  <c r="T1329" i="2"/>
  <c r="Q606" i="2"/>
  <c r="T1344" i="2"/>
  <c r="T1335" i="2"/>
  <c r="Q618" i="2"/>
  <c r="T1487" i="2"/>
  <c r="Q1391" i="2"/>
  <c r="T1358" i="2"/>
  <c r="Q1389" i="2"/>
  <c r="Q1365" i="2"/>
  <c r="Q1350" i="2"/>
  <c r="T602" i="2"/>
  <c r="T626" i="2"/>
  <c r="Q1359" i="2"/>
  <c r="Q1375" i="2"/>
  <c r="T1324" i="2"/>
  <c r="T1459" i="2"/>
  <c r="T1442" i="2"/>
  <c r="T1408" i="2"/>
  <c r="Q1393" i="2"/>
  <c r="Q1385" i="2"/>
  <c r="Q1377" i="2"/>
  <c r="T1354" i="2"/>
  <c r="T1336" i="2"/>
  <c r="T1332" i="2"/>
  <c r="T1325" i="2"/>
  <c r="T614" i="2"/>
  <c r="T1339" i="2"/>
  <c r="Q1381" i="2"/>
  <c r="Q1370" i="2"/>
  <c r="T1364" i="2"/>
  <c r="T874" i="2"/>
  <c r="Q1364" i="2"/>
  <c r="T876" i="2"/>
  <c r="T1475" i="2"/>
  <c r="T1349" i="2"/>
  <c r="Q1383" i="2"/>
  <c r="Q1369" i="2"/>
  <c r="T1396" i="2"/>
  <c r="T618" i="2"/>
  <c r="Q602" i="2"/>
  <c r="T1388" i="2"/>
  <c r="T1380" i="2"/>
  <c r="Q1373" i="2"/>
  <c r="Q1357" i="2"/>
  <c r="T1347" i="2"/>
  <c r="T1342" i="2"/>
  <c r="T1334" i="2"/>
  <c r="T1330" i="2"/>
  <c r="T1327" i="2"/>
  <c r="T1323" i="2"/>
  <c r="T634" i="2"/>
  <c r="Q622" i="2"/>
  <c r="T610" i="2"/>
  <c r="Q1367" i="2"/>
  <c r="T1356" i="2"/>
  <c r="Q1347" i="2"/>
  <c r="T1469" i="2"/>
  <c r="Q1362" i="2"/>
  <c r="Q1352" i="2"/>
  <c r="T1447" i="2"/>
  <c r="T1372" i="2"/>
  <c r="T157" i="2"/>
  <c r="Q554" i="2"/>
  <c r="T553" i="2"/>
  <c r="T143" i="2"/>
  <c r="T145" i="2"/>
  <c r="T552" i="2"/>
  <c r="T154" i="2"/>
  <c r="T554" i="2"/>
  <c r="T428" i="2"/>
  <c r="T404" i="2"/>
  <c r="T385" i="2"/>
  <c r="T370" i="2"/>
  <c r="T365" i="2"/>
  <c r="T368" i="2"/>
  <c r="T364" i="2"/>
  <c r="Q370" i="2"/>
  <c r="Q372" i="2"/>
  <c r="T371" i="2"/>
  <c r="T366" i="2"/>
  <c r="T367" i="2"/>
  <c r="Q371" i="2"/>
  <c r="T372" i="2"/>
  <c r="T754" i="2"/>
  <c r="T369" i="2"/>
  <c r="Q369" i="2"/>
  <c r="T363" i="2"/>
  <c r="Q1277" i="2"/>
  <c r="T1282" i="2"/>
  <c r="T1280" i="2"/>
  <c r="Q1282" i="2"/>
  <c r="T1286" i="2"/>
  <c r="T1283" i="2"/>
  <c r="Q1281" i="2"/>
  <c r="T1287" i="2"/>
  <c r="Q1278" i="2"/>
  <c r="T1279" i="2"/>
  <c r="T1285" i="2"/>
  <c r="T1278" i="2"/>
  <c r="Q1280" i="2"/>
  <c r="T1277" i="2"/>
  <c r="T1281" i="2"/>
  <c r="Q1287" i="2"/>
  <c r="T1284" i="2"/>
  <c r="Q1279" i="2"/>
  <c r="Q1284" i="2"/>
  <c r="Q1285" i="2"/>
  <c r="Q1283" i="2"/>
  <c r="Q1286" i="2"/>
  <c r="T1271" i="2"/>
  <c r="T1010" i="2"/>
  <c r="T1006" i="2"/>
  <c r="T1270" i="2"/>
  <c r="Q1274" i="2"/>
  <c r="T1275" i="2"/>
  <c r="Q1288" i="2"/>
  <c r="T1266" i="2"/>
  <c r="Q1295" i="2"/>
  <c r="T1296" i="2"/>
  <c r="Q1269" i="2"/>
  <c r="Q1273" i="2"/>
  <c r="T1015" i="2"/>
  <c r="T1017" i="2"/>
  <c r="T1013" i="2"/>
  <c r="T1290" i="2"/>
  <c r="T1021" i="2"/>
  <c r="Q1272" i="2"/>
  <c r="T1011" i="2"/>
  <c r="T1273" i="2"/>
  <c r="T1276" i="2"/>
  <c r="T1016" i="2"/>
  <c r="Q1024" i="2"/>
  <c r="Q1271" i="2"/>
  <c r="Q1276" i="2"/>
  <c r="Q1267" i="2"/>
  <c r="T1020" i="2"/>
  <c r="Q1270" i="2"/>
  <c r="T1274" i="2"/>
  <c r="T1000" i="2"/>
  <c r="T1024" i="2"/>
  <c r="Q1275" i="2"/>
  <c r="T1294" i="2"/>
  <c r="T1289" i="2"/>
  <c r="Q1297" i="2"/>
  <c r="T1004" i="2"/>
  <c r="Q1021" i="2"/>
  <c r="T1291" i="2"/>
  <c r="Q1296" i="2"/>
  <c r="T1272" i="2"/>
  <c r="T1258" i="2"/>
  <c r="T1259" i="2"/>
  <c r="Q1289" i="2"/>
  <c r="Q1290" i="2"/>
  <c r="T1014" i="2"/>
  <c r="T1297" i="2"/>
  <c r="T1019" i="2"/>
  <c r="T998" i="2"/>
  <c r="T1023" i="2"/>
  <c r="T1267" i="2"/>
  <c r="Q1268" i="2"/>
  <c r="T1298" i="2"/>
  <c r="T1001" i="2"/>
  <c r="T1022" i="2"/>
  <c r="T999" i="2"/>
  <c r="T1268" i="2"/>
  <c r="T1012" i="2"/>
  <c r="T1025" i="2"/>
  <c r="Q1294" i="2"/>
  <c r="T1005" i="2"/>
  <c r="Q1022" i="2"/>
  <c r="Q1023" i="2"/>
  <c r="T1002" i="2"/>
  <c r="Q1293" i="2"/>
  <c r="T1260" i="2"/>
  <c r="Q1025" i="2"/>
  <c r="T1003" i="2"/>
  <c r="T1009" i="2"/>
  <c r="T1008" i="2"/>
  <c r="T1018" i="2"/>
  <c r="T1288" i="2"/>
  <c r="Q1292" i="2"/>
  <c r="Q1291" i="2"/>
  <c r="T1293" i="2"/>
  <c r="T1257" i="2"/>
  <c r="Q1266" i="2"/>
  <c r="T1295" i="2"/>
  <c r="T1269" i="2"/>
  <c r="T1007" i="2"/>
  <c r="T1292" i="2"/>
  <c r="Q1184" i="2"/>
  <c r="Q1176" i="2"/>
  <c r="T1186" i="2"/>
  <c r="T1190" i="2"/>
  <c r="T1184" i="2"/>
  <c r="T1189" i="2"/>
  <c r="T1202" i="2"/>
  <c r="T1215" i="2"/>
  <c r="T1193" i="2"/>
  <c r="T1196" i="2"/>
  <c r="T1185" i="2"/>
  <c r="T1209" i="2"/>
  <c r="Q1178" i="2"/>
  <c r="T1191" i="2"/>
  <c r="T1180" i="2"/>
  <c r="T1176" i="2"/>
  <c r="Q1183" i="2"/>
  <c r="T1192" i="2"/>
  <c r="T1206" i="2"/>
  <c r="T1208" i="2"/>
  <c r="T1200" i="2"/>
  <c r="T1183" i="2"/>
  <c r="T1194" i="2"/>
  <c r="T1177" i="2"/>
  <c r="T1205" i="2"/>
  <c r="T1188" i="2"/>
  <c r="Q1175" i="2"/>
  <c r="T1210" i="2"/>
  <c r="T1187" i="2"/>
  <c r="T1178" i="2"/>
  <c r="Q1180" i="2"/>
  <c r="T1204" i="2"/>
  <c r="T1199" i="2"/>
  <c r="T1175" i="2"/>
  <c r="Q1181" i="2"/>
  <c r="T1207" i="2"/>
  <c r="T1214" i="2"/>
  <c r="T1198" i="2"/>
  <c r="Q1177" i="2"/>
  <c r="Q1182" i="2"/>
  <c r="T1203" i="2"/>
  <c r="T1195" i="2"/>
  <c r="T1201" i="2"/>
  <c r="T1197" i="2"/>
  <c r="T1179" i="2"/>
  <c r="T1181" i="2"/>
  <c r="T1182" i="2"/>
  <c r="Q1179" i="2"/>
  <c r="T896" i="2"/>
  <c r="T20" i="2"/>
  <c r="T863" i="2"/>
  <c r="T898" i="2"/>
  <c r="T708" i="2"/>
  <c r="T901" i="2"/>
  <c r="T906" i="2"/>
  <c r="Q906" i="2"/>
  <c r="T23" i="2"/>
  <c r="T168" i="2"/>
  <c r="T158" i="2"/>
  <c r="T155" i="2"/>
  <c r="T57" i="2"/>
  <c r="Q168" i="2"/>
  <c r="T64" i="2"/>
  <c r="Q67" i="2"/>
  <c r="T60" i="2"/>
  <c r="Q62" i="2"/>
  <c r="T62" i="2"/>
  <c r="Q64" i="2"/>
  <c r="T67" i="2"/>
  <c r="T52" i="2"/>
  <c r="T22" i="2"/>
  <c r="T29" i="2"/>
  <c r="T19" i="2"/>
  <c r="Q29" i="2"/>
  <c r="T25" i="2"/>
  <c r="T55" i="2"/>
  <c r="T50" i="2"/>
  <c r="T1256" i="2"/>
  <c r="T1261" i="2"/>
  <c r="T1264" i="2"/>
  <c r="T1262" i="2"/>
  <c r="Q1264" i="2"/>
  <c r="T1300" i="2"/>
  <c r="T1299" i="2"/>
  <c r="Q66" i="2"/>
  <c r="T54" i="2"/>
  <c r="T59" i="2"/>
  <c r="T66" i="2"/>
  <c r="T1216" i="2"/>
  <c r="Q174" i="2"/>
  <c r="T153" i="2"/>
  <c r="T174" i="2"/>
  <c r="T164" i="2"/>
  <c r="Q1030" i="2"/>
  <c r="T170" i="2"/>
  <c r="T147" i="2"/>
  <c r="T163" i="2"/>
  <c r="Q1070" i="2"/>
  <c r="Q165" i="2"/>
  <c r="T1040" i="2"/>
  <c r="T1074" i="2"/>
  <c r="T1026" i="2"/>
  <c r="T1038" i="2"/>
  <c r="Q1033" i="2"/>
  <c r="Q1035" i="2"/>
  <c r="Q1034" i="2"/>
  <c r="Q1029" i="2"/>
  <c r="T1037" i="2"/>
  <c r="T1071" i="2"/>
  <c r="T1027" i="2"/>
  <c r="T166" i="2"/>
  <c r="T161" i="2"/>
  <c r="T1065" i="2"/>
  <c r="Q162" i="2"/>
  <c r="T1213" i="2"/>
  <c r="T1032" i="2"/>
  <c r="T1068" i="2"/>
  <c r="T152" i="2"/>
  <c r="Q170" i="2"/>
  <c r="T1041" i="2"/>
  <c r="Q1027" i="2"/>
  <c r="Q1026" i="2"/>
  <c r="Q171" i="2"/>
  <c r="T1034" i="2"/>
  <c r="T148" i="2"/>
  <c r="Q1037" i="2"/>
  <c r="T160" i="2"/>
  <c r="T1036" i="2"/>
  <c r="Q169" i="2"/>
  <c r="Q166" i="2"/>
  <c r="Q1038" i="2"/>
  <c r="T1033" i="2"/>
  <c r="T146" i="2"/>
  <c r="Q1032" i="2"/>
  <c r="T165" i="2"/>
  <c r="T1043" i="2"/>
  <c r="T1028" i="2"/>
  <c r="Q1036" i="2"/>
  <c r="Q161" i="2"/>
  <c r="Q1071" i="2"/>
  <c r="T169" i="2"/>
  <c r="T1042" i="2"/>
  <c r="T159" i="2"/>
  <c r="T1035" i="2"/>
  <c r="T1072" i="2"/>
  <c r="T144" i="2"/>
  <c r="Q1031" i="2"/>
  <c r="Q167" i="2"/>
  <c r="T1073" i="2"/>
  <c r="Q1072" i="2"/>
  <c r="Q163" i="2"/>
  <c r="Q164" i="2"/>
  <c r="T1031" i="2"/>
  <c r="T1030" i="2"/>
  <c r="T149" i="2"/>
  <c r="T156" i="2"/>
  <c r="T1069" i="2"/>
  <c r="T1211" i="2"/>
  <c r="T1044" i="2"/>
  <c r="T1070" i="2"/>
  <c r="T1029" i="2"/>
  <c r="T1066" i="2"/>
  <c r="T172" i="2"/>
  <c r="T1212" i="2"/>
  <c r="Q1028" i="2"/>
  <c r="T167" i="2"/>
  <c r="T1075" i="2"/>
  <c r="Q1069" i="2"/>
  <c r="T1067" i="2"/>
  <c r="Q172" i="2"/>
  <c r="Q173" i="2"/>
  <c r="T150" i="2"/>
  <c r="T151" i="2"/>
  <c r="T162" i="2"/>
  <c r="T171" i="2"/>
  <c r="T173" i="2"/>
  <c r="T1039" i="2"/>
  <c r="Q26" i="2"/>
  <c r="T866" i="2"/>
  <c r="T18" i="2"/>
  <c r="Q878" i="2"/>
  <c r="T882" i="2"/>
  <c r="Q879" i="2"/>
  <c r="T881" i="2"/>
  <c r="T58" i="2"/>
  <c r="Q61" i="2"/>
  <c r="T867" i="2"/>
  <c r="Q885" i="2"/>
  <c r="Q884" i="2"/>
  <c r="Q882" i="2"/>
  <c r="Q63" i="2"/>
  <c r="T27" i="2"/>
  <c r="Q28" i="2"/>
  <c r="T883" i="2"/>
  <c r="T63" i="2"/>
  <c r="T56" i="2"/>
  <c r="Q881" i="2"/>
  <c r="T28" i="2"/>
  <c r="T51" i="2"/>
  <c r="T884" i="2"/>
  <c r="Q883" i="2"/>
  <c r="T24" i="2"/>
  <c r="T21" i="2"/>
  <c r="Q880" i="2"/>
  <c r="Q27" i="2"/>
  <c r="T868" i="2"/>
  <c r="T879" i="2"/>
  <c r="Q65" i="2"/>
  <c r="T880" i="2"/>
  <c r="T885" i="2"/>
  <c r="T865" i="2"/>
  <c r="T877" i="2"/>
  <c r="T61" i="2"/>
  <c r="T65" i="2"/>
  <c r="T878" i="2"/>
  <c r="T49" i="2"/>
  <c r="T26" i="2"/>
  <c r="T53" i="2"/>
  <c r="T886" i="2"/>
  <c r="T899" i="2"/>
  <c r="T781" i="2"/>
  <c r="T780" i="2"/>
  <c r="T777" i="2"/>
  <c r="T905" i="2"/>
  <c r="T786" i="2"/>
  <c r="T762" i="2"/>
  <c r="T917" i="2"/>
  <c r="T767" i="2"/>
  <c r="Q907" i="2"/>
  <c r="T775" i="2"/>
  <c r="T773" i="2"/>
  <c r="T922" i="2"/>
  <c r="T916" i="2"/>
  <c r="T778" i="2"/>
  <c r="T890" i="2"/>
  <c r="Q759" i="2"/>
  <c r="Q916" i="2"/>
  <c r="T914" i="2"/>
  <c r="T792" i="2"/>
  <c r="T787" i="2"/>
  <c r="T761" i="2"/>
  <c r="T894" i="2"/>
  <c r="T909" i="2"/>
  <c r="T919" i="2"/>
  <c r="Q764" i="2"/>
  <c r="T913" i="2"/>
  <c r="T900" i="2"/>
  <c r="T770" i="2"/>
  <c r="T783" i="2"/>
  <c r="T791" i="2"/>
  <c r="T763" i="2"/>
  <c r="T903" i="2"/>
  <c r="T864" i="2"/>
  <c r="T768" i="2"/>
  <c r="T925" i="2"/>
  <c r="Q913" i="2"/>
  <c r="T758" i="2"/>
  <c r="T769" i="2"/>
  <c r="T897" i="2"/>
  <c r="T924" i="2"/>
  <c r="Q909" i="2"/>
  <c r="T888" i="2"/>
  <c r="T902" i="2"/>
  <c r="Q911" i="2"/>
  <c r="T904" i="2"/>
  <c r="Q908" i="2"/>
  <c r="T921" i="2"/>
  <c r="T771" i="2"/>
  <c r="Q910" i="2"/>
  <c r="T923" i="2"/>
  <c r="T920" i="2"/>
  <c r="Q783" i="2"/>
  <c r="Q758" i="2"/>
  <c r="T893" i="2"/>
  <c r="T766" i="2"/>
  <c r="T774" i="2"/>
  <c r="T907" i="2"/>
  <c r="T912" i="2"/>
  <c r="T789" i="2"/>
  <c r="Q760" i="2"/>
  <c r="Q914" i="2"/>
  <c r="Q905" i="2"/>
  <c r="Q786" i="2"/>
  <c r="Q762" i="2"/>
  <c r="T776" i="2"/>
  <c r="T782" i="2"/>
  <c r="T790" i="2"/>
  <c r="T889" i="2"/>
  <c r="Q763" i="2"/>
  <c r="Q915" i="2"/>
  <c r="T910" i="2"/>
  <c r="T760" i="2"/>
  <c r="T918" i="2"/>
  <c r="T915" i="2"/>
  <c r="T911" i="2"/>
  <c r="T785" i="2"/>
  <c r="T779" i="2"/>
  <c r="T895" i="2"/>
  <c r="T764" i="2"/>
  <c r="T887" i="2"/>
  <c r="Q912" i="2"/>
  <c r="T891" i="2"/>
  <c r="T772" i="2"/>
  <c r="T892" i="2"/>
  <c r="T908" i="2"/>
  <c r="Q782" i="2"/>
  <c r="T784" i="2"/>
  <c r="Q788" i="2"/>
  <c r="T765" i="2"/>
  <c r="T788" i="2"/>
  <c r="Q761" i="2"/>
  <c r="T759" i="2"/>
  <c r="T709" i="2"/>
  <c r="T706" i="2"/>
  <c r="T724" i="2"/>
  <c r="T710" i="2"/>
  <c r="T723" i="2"/>
  <c r="T725" i="2"/>
  <c r="T704" i="2"/>
  <c r="T731" i="2"/>
  <c r="T747" i="2"/>
  <c r="T713" i="2"/>
  <c r="T712" i="2"/>
  <c r="T753" i="2"/>
  <c r="T729" i="2"/>
  <c r="T707" i="2"/>
  <c r="T748" i="2"/>
  <c r="Q731" i="2"/>
  <c r="T730" i="2"/>
  <c r="T700" i="2"/>
  <c r="T726" i="2"/>
  <c r="T715" i="2"/>
  <c r="Q714" i="2"/>
  <c r="Q722" i="2"/>
  <c r="Q719" i="2"/>
  <c r="T732" i="2"/>
  <c r="T740" i="2"/>
  <c r="Q751" i="2"/>
  <c r="Q718" i="2"/>
  <c r="T734" i="2"/>
  <c r="Q715" i="2"/>
  <c r="T716" i="2"/>
  <c r="T701" i="2"/>
  <c r="T745" i="2"/>
  <c r="T751" i="2"/>
  <c r="T737" i="2"/>
  <c r="Q717" i="2"/>
  <c r="T728" i="2"/>
  <c r="Q713" i="2"/>
  <c r="Q711" i="2"/>
  <c r="T752" i="2"/>
  <c r="T719" i="2"/>
  <c r="Q753" i="2"/>
  <c r="Q734" i="2"/>
  <c r="T722" i="2"/>
  <c r="T702" i="2"/>
  <c r="T721" i="2"/>
  <c r="T744" i="2"/>
  <c r="T735" i="2"/>
  <c r="Q712" i="2"/>
  <c r="T739" i="2"/>
  <c r="Q721" i="2"/>
  <c r="Q749" i="2"/>
  <c r="Q752" i="2"/>
  <c r="T717" i="2"/>
  <c r="T718" i="2"/>
  <c r="T743" i="2"/>
  <c r="T741" i="2"/>
  <c r="T738" i="2"/>
  <c r="Q750" i="2"/>
  <c r="T736" i="2"/>
  <c r="Q716" i="2"/>
  <c r="Q710" i="2"/>
  <c r="Q720" i="2"/>
  <c r="T750" i="2"/>
  <c r="T703" i="2"/>
  <c r="T746" i="2"/>
  <c r="Q733" i="2"/>
  <c r="T749" i="2"/>
  <c r="T714" i="2"/>
  <c r="T733" i="2"/>
  <c r="T742" i="2"/>
  <c r="T705" i="2"/>
  <c r="T711" i="2"/>
  <c r="T727" i="2"/>
  <c r="T720" i="2"/>
  <c r="T699" i="2"/>
  <c r="T681" i="2"/>
  <c r="T650" i="2"/>
  <c r="Q536" i="2"/>
  <c r="T643" i="2"/>
  <c r="T645" i="2"/>
  <c r="T649" i="2"/>
  <c r="T440" i="2"/>
  <c r="T682" i="2"/>
  <c r="Q420" i="2"/>
  <c r="T654" i="2"/>
  <c r="T658" i="2"/>
  <c r="Q651" i="2"/>
  <c r="Q520" i="2"/>
  <c r="T438" i="2"/>
  <c r="T418" i="2"/>
  <c r="Q650" i="2"/>
  <c r="Q422" i="2"/>
  <c r="T647" i="2"/>
  <c r="Q426" i="2"/>
  <c r="Q516" i="2"/>
  <c r="T687" i="2"/>
  <c r="T420" i="2"/>
  <c r="Q652" i="2"/>
  <c r="T638" i="2"/>
  <c r="T430" i="2"/>
  <c r="T680" i="2"/>
  <c r="T432" i="2"/>
  <c r="T644" i="2"/>
  <c r="T424" i="2"/>
  <c r="T652" i="2"/>
  <c r="T426" i="2"/>
  <c r="T641" i="2"/>
  <c r="Q540" i="2"/>
  <c r="T646" i="2"/>
  <c r="T436" i="2"/>
  <c r="Q684" i="2"/>
  <c r="T685" i="2"/>
  <c r="T683" i="2"/>
  <c r="T648" i="2"/>
  <c r="T651" i="2"/>
  <c r="T434" i="2"/>
  <c r="T657" i="2"/>
  <c r="T422" i="2"/>
  <c r="T655" i="2"/>
  <c r="Q424" i="2"/>
  <c r="T640" i="2"/>
  <c r="T642" i="2"/>
  <c r="T639" i="2"/>
  <c r="Q544" i="2"/>
  <c r="T686" i="2"/>
  <c r="Q653" i="2"/>
  <c r="Q512" i="2"/>
  <c r="T684" i="2"/>
  <c r="Q548" i="2"/>
  <c r="Q418" i="2"/>
  <c r="T656" i="2"/>
  <c r="T442" i="2"/>
  <c r="T653" i="2"/>
  <c r="T388" i="2"/>
  <c r="T400" i="2"/>
  <c r="Q390" i="2"/>
  <c r="Q400" i="2"/>
  <c r="T394" i="2"/>
  <c r="T398" i="2"/>
  <c r="T406" i="2"/>
  <c r="T416" i="2"/>
  <c r="T396" i="2"/>
  <c r="T412" i="2"/>
  <c r="T392" i="2"/>
  <c r="Q398" i="2"/>
  <c r="T383" i="2"/>
  <c r="T410" i="2"/>
  <c r="T408" i="2"/>
  <c r="Q388" i="2"/>
  <c r="T402" i="2"/>
  <c r="T390" i="2"/>
  <c r="Q396" i="2"/>
  <c r="Q383" i="2"/>
  <c r="T386" i="2"/>
  <c r="Q402" i="2"/>
  <c r="T414" i="2"/>
  <c r="T293" i="2"/>
  <c r="Q338" i="2"/>
  <c r="T285" i="2"/>
  <c r="Q318" i="2"/>
  <c r="T288" i="2"/>
  <c r="Q280" i="2"/>
  <c r="T277" i="2"/>
  <c r="T336" i="2"/>
  <c r="Q323" i="2"/>
  <c r="T327" i="2"/>
  <c r="T275" i="2"/>
  <c r="Q342" i="2"/>
  <c r="T290" i="2"/>
  <c r="T289" i="2"/>
  <c r="T280" i="2"/>
  <c r="T276" i="2"/>
  <c r="Q320" i="2"/>
  <c r="T340" i="2"/>
  <c r="T324" i="2"/>
  <c r="Q281" i="2"/>
  <c r="T326" i="2"/>
  <c r="T339" i="2"/>
  <c r="T315" i="2"/>
  <c r="T316" i="2"/>
  <c r="T291" i="2"/>
  <c r="T335" i="2"/>
  <c r="T286" i="2"/>
  <c r="T375" i="2"/>
  <c r="T287" i="2"/>
  <c r="T320" i="2"/>
  <c r="T344" i="2"/>
  <c r="Q375" i="2"/>
  <c r="T343" i="2"/>
  <c r="T333" i="2"/>
  <c r="T348" i="2"/>
  <c r="T325" i="2"/>
  <c r="T349" i="2"/>
  <c r="T350" i="2"/>
  <c r="T345" i="2"/>
  <c r="Q340" i="2"/>
  <c r="T376" i="2"/>
  <c r="T331" i="2"/>
  <c r="T328" i="2"/>
  <c r="T281" i="2"/>
  <c r="T284" i="2"/>
  <c r="Q339" i="2"/>
  <c r="T330" i="2"/>
  <c r="T319" i="2"/>
  <c r="T314" i="2"/>
  <c r="T329" i="2"/>
  <c r="T318" i="2"/>
  <c r="T346" i="2"/>
  <c r="Q337" i="2"/>
  <c r="T338" i="2"/>
  <c r="T282" i="2"/>
  <c r="T347" i="2"/>
  <c r="T313" i="2"/>
  <c r="T337" i="2"/>
  <c r="Q321" i="2"/>
  <c r="T292" i="2"/>
  <c r="Q319" i="2"/>
  <c r="T334" i="2"/>
  <c r="Q285" i="2"/>
  <c r="T321" i="2"/>
  <c r="Q282" i="2"/>
  <c r="T317" i="2"/>
  <c r="T341" i="2"/>
  <c r="T332" i="2"/>
  <c r="T279" i="2"/>
  <c r="T323" i="2"/>
  <c r="Q283" i="2"/>
  <c r="T322" i="2"/>
  <c r="T342" i="2"/>
  <c r="T283" i="2"/>
  <c r="T278" i="2"/>
  <c r="T374" i="2"/>
  <c r="P1465" i="2"/>
  <c r="P1463" i="2"/>
  <c r="P1458" i="2"/>
  <c r="P1425" i="2"/>
  <c r="P1421" i="2"/>
  <c r="P1453" i="2"/>
  <c r="P1448" i="2"/>
  <c r="P1462" i="2"/>
  <c r="P1432" i="2"/>
  <c r="P1457" i="2"/>
  <c r="P1452" i="2"/>
  <c r="P1424" i="2"/>
  <c r="P1344" i="2"/>
  <c r="P1435" i="2"/>
  <c r="P1431" i="2"/>
  <c r="P1339" i="2"/>
  <c r="P1327" i="2"/>
  <c r="P1346" i="2"/>
  <c r="P1334" i="2"/>
  <c r="P1322" i="2"/>
  <c r="P1336" i="2"/>
  <c r="P1324" i="2"/>
  <c r="P1461" i="2"/>
  <c r="P1456" i="2"/>
  <c r="P1420" i="2"/>
  <c r="P1451" i="2"/>
  <c r="P1427" i="2"/>
  <c r="P1423" i="2"/>
  <c r="P1341" i="2"/>
  <c r="P1329" i="2"/>
  <c r="P1460" i="2"/>
  <c r="P1434" i="2"/>
  <c r="P1464" i="2"/>
  <c r="P1426" i="2"/>
  <c r="P1422" i="2"/>
  <c r="P1449" i="2"/>
  <c r="P1342" i="2"/>
  <c r="P1323" i="2"/>
  <c r="P1330" i="2"/>
  <c r="P1326" i="2"/>
  <c r="P1333" i="2"/>
  <c r="P1455" i="2"/>
  <c r="P1454" i="2"/>
  <c r="P1332" i="2"/>
  <c r="P1331" i="2"/>
  <c r="P1337" i="2"/>
  <c r="P1335" i="2"/>
  <c r="P1459" i="2"/>
  <c r="P1442" i="2"/>
  <c r="P1419" i="2"/>
  <c r="P1345" i="2"/>
  <c r="P1321" i="2"/>
  <c r="P1343" i="2"/>
  <c r="P1340" i="2"/>
  <c r="P1325" i="2"/>
  <c r="P1328" i="2"/>
  <c r="P1450" i="2"/>
  <c r="P1338" i="2"/>
  <c r="P143" i="2"/>
  <c r="P145" i="2"/>
  <c r="P366" i="2"/>
  <c r="P365" i="2"/>
  <c r="P363" i="2"/>
  <c r="P364" i="2"/>
  <c r="P1002" i="2"/>
  <c r="P1000" i="2"/>
  <c r="P1003" i="2"/>
  <c r="P1009" i="2"/>
  <c r="P1008" i="2"/>
  <c r="P1257" i="2"/>
  <c r="P1006" i="2"/>
  <c r="P1007" i="2"/>
  <c r="P1258" i="2"/>
  <c r="P998" i="2"/>
  <c r="P1260" i="2"/>
  <c r="P999" i="2"/>
  <c r="P1005" i="2"/>
  <c r="P1001" i="2"/>
  <c r="P1004" i="2"/>
  <c r="P1259" i="2"/>
  <c r="P1010" i="2"/>
  <c r="P1194" i="2"/>
  <c r="P1197" i="2"/>
  <c r="P1195" i="2"/>
  <c r="P1200" i="2"/>
  <c r="P1204" i="2"/>
  <c r="P1186" i="2"/>
  <c r="P1188" i="2"/>
  <c r="P1198" i="2"/>
  <c r="P1187" i="2"/>
  <c r="P1189" i="2"/>
  <c r="P1202" i="2"/>
  <c r="P1203" i="2"/>
  <c r="P1193" i="2"/>
  <c r="P1185" i="2"/>
  <c r="P1191" i="2"/>
  <c r="P1190" i="2"/>
  <c r="P1192" i="2"/>
  <c r="P1201" i="2"/>
  <c r="P1196" i="2"/>
  <c r="P1199" i="2"/>
  <c r="P20" i="2"/>
  <c r="P708" i="2"/>
  <c r="P863" i="2"/>
  <c r="P19" i="2"/>
  <c r="P52" i="2"/>
  <c r="P50" i="2"/>
  <c r="P55" i="2"/>
  <c r="P22" i="2"/>
  <c r="P1262" i="2"/>
  <c r="P1261" i="2"/>
  <c r="P1256" i="2"/>
  <c r="P54" i="2"/>
  <c r="P153" i="2"/>
  <c r="P149" i="2"/>
  <c r="P1066" i="2"/>
  <c r="P146" i="2"/>
  <c r="P151" i="2"/>
  <c r="P148" i="2"/>
  <c r="P144" i="2"/>
  <c r="P1068" i="2"/>
  <c r="P152" i="2"/>
  <c r="P1065" i="2"/>
  <c r="P147" i="2"/>
  <c r="P1067" i="2"/>
  <c r="P150" i="2"/>
  <c r="P867" i="2"/>
  <c r="P56" i="2"/>
  <c r="P865" i="2"/>
  <c r="P49" i="2"/>
  <c r="P51" i="2"/>
  <c r="P868" i="2"/>
  <c r="P53" i="2"/>
  <c r="P866" i="2"/>
  <c r="P18" i="2"/>
  <c r="P21" i="2"/>
  <c r="P892" i="2"/>
  <c r="P864" i="2"/>
  <c r="P770" i="2"/>
  <c r="P767" i="2"/>
  <c r="P923" i="2"/>
  <c r="P889" i="2"/>
  <c r="P774" i="2"/>
  <c r="P766" i="2"/>
  <c r="P921" i="2"/>
  <c r="P920" i="2"/>
  <c r="P894" i="2"/>
  <c r="P888" i="2"/>
  <c r="P771" i="2"/>
  <c r="P891" i="2"/>
  <c r="P787" i="2"/>
  <c r="P773" i="2"/>
  <c r="P886" i="2"/>
  <c r="P765" i="2"/>
  <c r="P887" i="2"/>
  <c r="P769" i="2"/>
  <c r="P772" i="2"/>
  <c r="P768" i="2"/>
  <c r="P924" i="2"/>
  <c r="P922" i="2"/>
  <c r="P893" i="2"/>
  <c r="P890" i="2"/>
  <c r="P747" i="2"/>
  <c r="P707" i="2"/>
  <c r="P706" i="2"/>
  <c r="P748" i="2"/>
  <c r="P700" i="2"/>
  <c r="P705" i="2"/>
  <c r="P704" i="2"/>
  <c r="P744" i="2"/>
  <c r="P709" i="2"/>
  <c r="P742" i="2"/>
  <c r="P701" i="2"/>
  <c r="P702" i="2"/>
  <c r="P745" i="2"/>
  <c r="P703" i="2"/>
  <c r="P746" i="2"/>
  <c r="P699" i="2"/>
  <c r="P656" i="2"/>
  <c r="P640" i="2"/>
  <c r="P642" i="2"/>
  <c r="P639" i="2"/>
  <c r="P438" i="2"/>
  <c r="P430" i="2"/>
  <c r="P645" i="2"/>
  <c r="P649" i="2"/>
  <c r="P648" i="2"/>
  <c r="P641" i="2"/>
  <c r="P643" i="2"/>
  <c r="P658" i="2"/>
  <c r="P655" i="2"/>
  <c r="P680" i="2"/>
  <c r="P434" i="2"/>
  <c r="P685" i="2"/>
  <c r="P654" i="2"/>
  <c r="P644" i="2"/>
  <c r="P432" i="2"/>
  <c r="P657" i="2"/>
  <c r="P683" i="2"/>
  <c r="P686" i="2"/>
  <c r="P442" i="2"/>
  <c r="P681" i="2"/>
  <c r="P440" i="2"/>
  <c r="P646" i="2"/>
  <c r="P682" i="2"/>
  <c r="P436" i="2"/>
  <c r="P406" i="2"/>
  <c r="P416" i="2"/>
  <c r="P408" i="2"/>
  <c r="P412" i="2"/>
  <c r="P392" i="2"/>
  <c r="P414" i="2"/>
  <c r="P386" i="2"/>
  <c r="P394" i="2"/>
  <c r="P410" i="2"/>
  <c r="P279" i="2"/>
  <c r="P315" i="2"/>
  <c r="P284" i="2"/>
  <c r="P376" i="2"/>
  <c r="P317" i="2"/>
  <c r="P276" i="2"/>
  <c r="P277" i="2"/>
  <c r="P313" i="2"/>
  <c r="P314" i="2"/>
  <c r="P336" i="2"/>
  <c r="P333" i="2"/>
  <c r="P334" i="2"/>
  <c r="P341" i="2"/>
  <c r="P322" i="2"/>
  <c r="P275" i="2"/>
  <c r="P332" i="2"/>
  <c r="O1464" i="2"/>
  <c r="O1462" i="2"/>
  <c r="O1460" i="2"/>
  <c r="O1458" i="2"/>
  <c r="O1456" i="2"/>
  <c r="O1454" i="2"/>
  <c r="O1452" i="2"/>
  <c r="O1450" i="2"/>
  <c r="O1448" i="2"/>
  <c r="O1435" i="2"/>
  <c r="O1431" i="2"/>
  <c r="O1427" i="2"/>
  <c r="O1425" i="2"/>
  <c r="O1423" i="2"/>
  <c r="O1421" i="2"/>
  <c r="O1419" i="2"/>
  <c r="O1345" i="2"/>
  <c r="O1343" i="2"/>
  <c r="O1341" i="2"/>
  <c r="O1339" i="2"/>
  <c r="O1337" i="2"/>
  <c r="O1335" i="2"/>
  <c r="O1333" i="2"/>
  <c r="O1331" i="2"/>
  <c r="O1329" i="2"/>
  <c r="O1327" i="2"/>
  <c r="O1325" i="2"/>
  <c r="O1323" i="2"/>
  <c r="O1321" i="2"/>
  <c r="O1449" i="2"/>
  <c r="O1340" i="2"/>
  <c r="O1463" i="2"/>
  <c r="O1453" i="2"/>
  <c r="O1432" i="2"/>
  <c r="O1457" i="2"/>
  <c r="O1424" i="2"/>
  <c r="O1344" i="2"/>
  <c r="O1332" i="2"/>
  <c r="O1461" i="2"/>
  <c r="O1420" i="2"/>
  <c r="O1346" i="2"/>
  <c r="O1334" i="2"/>
  <c r="O1322" i="2"/>
  <c r="O1451" i="2"/>
  <c r="O1455" i="2"/>
  <c r="O1465" i="2"/>
  <c r="O1434" i="2"/>
  <c r="O1342" i="2"/>
  <c r="O1330" i="2"/>
  <c r="O1326" i="2"/>
  <c r="O1422" i="2"/>
  <c r="O1328" i="2"/>
  <c r="O1336" i="2"/>
  <c r="O1459" i="2"/>
  <c r="O1442" i="2"/>
  <c r="O1324" i="2"/>
  <c r="O1338" i="2"/>
  <c r="O1426" i="2"/>
  <c r="O145" i="2"/>
  <c r="O143" i="2"/>
  <c r="O363" i="2"/>
  <c r="O366" i="2"/>
  <c r="O365" i="2"/>
  <c r="O364" i="2"/>
  <c r="O1007" i="2"/>
  <c r="O1000" i="2"/>
  <c r="O1009" i="2"/>
  <c r="O1003" i="2"/>
  <c r="O1259" i="2"/>
  <c r="O1010" i="2"/>
  <c r="O1005" i="2"/>
  <c r="O999" i="2"/>
  <c r="O1260" i="2"/>
  <c r="O1004" i="2"/>
  <c r="O1258" i="2"/>
  <c r="O998" i="2"/>
  <c r="O1008" i="2"/>
  <c r="O1257" i="2"/>
  <c r="O1002" i="2"/>
  <c r="O1001" i="2"/>
  <c r="O1006" i="2"/>
  <c r="O1194" i="2"/>
  <c r="O1185" i="2"/>
  <c r="O1199" i="2"/>
  <c r="O1200" i="2"/>
  <c r="O1204" i="2"/>
  <c r="O1191" i="2"/>
  <c r="O1186" i="2"/>
  <c r="O1187" i="2"/>
  <c r="O1189" i="2"/>
  <c r="O1202" i="2"/>
  <c r="O1193" i="2"/>
  <c r="O1196" i="2"/>
  <c r="O1190" i="2"/>
  <c r="O1198" i="2"/>
  <c r="O1192" i="2"/>
  <c r="O1197" i="2"/>
  <c r="O1188" i="2"/>
  <c r="O1203" i="2"/>
  <c r="O1195" i="2"/>
  <c r="O1201" i="2"/>
  <c r="O863" i="2"/>
  <c r="O708" i="2"/>
  <c r="O20" i="2"/>
  <c r="O55" i="2"/>
  <c r="O52" i="2"/>
  <c r="O19" i="2"/>
  <c r="O50" i="2"/>
  <c r="O22" i="2"/>
  <c r="O1262" i="2"/>
  <c r="O1261" i="2"/>
  <c r="O1256" i="2"/>
  <c r="O54" i="2"/>
  <c r="O153" i="2"/>
  <c r="O152" i="2"/>
  <c r="O1066" i="2"/>
  <c r="O148" i="2"/>
  <c r="O146" i="2"/>
  <c r="O149" i="2"/>
  <c r="O144" i="2"/>
  <c r="O151" i="2"/>
  <c r="O1068" i="2"/>
  <c r="O150" i="2"/>
  <c r="O1065" i="2"/>
  <c r="O147" i="2"/>
  <c r="O1067" i="2"/>
  <c r="O865" i="2"/>
  <c r="O49" i="2"/>
  <c r="O866" i="2"/>
  <c r="O868" i="2"/>
  <c r="O21" i="2"/>
  <c r="O56" i="2"/>
  <c r="O867" i="2"/>
  <c r="O53" i="2"/>
  <c r="O51" i="2"/>
  <c r="O18" i="2"/>
  <c r="O890" i="2"/>
  <c r="O887" i="2"/>
  <c r="O922" i="2"/>
  <c r="O772" i="2"/>
  <c r="O888" i="2"/>
  <c r="O886" i="2"/>
  <c r="O892" i="2"/>
  <c r="O771" i="2"/>
  <c r="O894" i="2"/>
  <c r="O893" i="2"/>
  <c r="O766" i="2"/>
  <c r="O770" i="2"/>
  <c r="O769" i="2"/>
  <c r="O920" i="2"/>
  <c r="O923" i="2"/>
  <c r="O765" i="2"/>
  <c r="O889" i="2"/>
  <c r="O767" i="2"/>
  <c r="O864" i="2"/>
  <c r="O891" i="2"/>
  <c r="O773" i="2"/>
  <c r="O921" i="2"/>
  <c r="O924" i="2"/>
  <c r="O787" i="2"/>
  <c r="O768" i="2"/>
  <c r="O774" i="2"/>
  <c r="O702" i="2"/>
  <c r="O705" i="2"/>
  <c r="O707" i="2"/>
  <c r="O701" i="2"/>
  <c r="O700" i="2"/>
  <c r="O704" i="2"/>
  <c r="O742" i="2"/>
  <c r="O709" i="2"/>
  <c r="O747" i="2"/>
  <c r="O706" i="2"/>
  <c r="O703" i="2"/>
  <c r="O744" i="2"/>
  <c r="O748" i="2"/>
  <c r="O745" i="2"/>
  <c r="O746" i="2"/>
  <c r="O699" i="2"/>
  <c r="O643" i="2"/>
  <c r="O645" i="2"/>
  <c r="O440" i="2"/>
  <c r="O436" i="2"/>
  <c r="O656" i="2"/>
  <c r="O640" i="2"/>
  <c r="O683" i="2"/>
  <c r="O430" i="2"/>
  <c r="O681" i="2"/>
  <c r="O641" i="2"/>
  <c r="O648" i="2"/>
  <c r="O644" i="2"/>
  <c r="O686" i="2"/>
  <c r="O432" i="2"/>
  <c r="O642" i="2"/>
  <c r="O442" i="2"/>
  <c r="O655" i="2"/>
  <c r="O654" i="2"/>
  <c r="O658" i="2"/>
  <c r="O680" i="2"/>
  <c r="O685" i="2"/>
  <c r="O682" i="2"/>
  <c r="O438" i="2"/>
  <c r="O657" i="2"/>
  <c r="O434" i="2"/>
  <c r="O646" i="2"/>
  <c r="O649" i="2"/>
  <c r="O639" i="2"/>
  <c r="O412" i="2"/>
  <c r="O392" i="2"/>
  <c r="O386" i="2"/>
  <c r="O406" i="2"/>
  <c r="O416" i="2"/>
  <c r="O408" i="2"/>
  <c r="O414" i="2"/>
  <c r="O410" i="2"/>
  <c r="O394" i="2"/>
  <c r="O332" i="2"/>
  <c r="O277" i="2"/>
  <c r="O279" i="2"/>
  <c r="O334" i="2"/>
  <c r="O341" i="2"/>
  <c r="O376" i="2"/>
  <c r="O313" i="2"/>
  <c r="O284" i="2"/>
  <c r="O314" i="2"/>
  <c r="O315" i="2"/>
  <c r="O333" i="2"/>
  <c r="O276" i="2"/>
  <c r="O317" i="2"/>
  <c r="O322" i="2"/>
  <c r="O336" i="2"/>
  <c r="O275" i="2"/>
  <c r="Q1464" i="2"/>
  <c r="Q1462" i="2"/>
  <c r="Q1460" i="2"/>
  <c r="Q1458" i="2"/>
  <c r="Q1456" i="2"/>
  <c r="Q1454" i="2"/>
  <c r="Q1452" i="2"/>
  <c r="Q1450" i="2"/>
  <c r="Q1448" i="2"/>
  <c r="Q1435" i="2"/>
  <c r="Q1431" i="2"/>
  <c r="Q1427" i="2"/>
  <c r="Q1425" i="2"/>
  <c r="Q1423" i="2"/>
  <c r="Q1421" i="2"/>
  <c r="Q1419" i="2"/>
  <c r="Q1465" i="2"/>
  <c r="Q1463" i="2"/>
  <c r="Q1461" i="2"/>
  <c r="Q1459" i="2"/>
  <c r="Q1457" i="2"/>
  <c r="Q1455" i="2"/>
  <c r="Q1453" i="2"/>
  <c r="Q1451" i="2"/>
  <c r="Q1449" i="2"/>
  <c r="Q1442" i="2"/>
  <c r="Q1434" i="2"/>
  <c r="Q1432" i="2"/>
  <c r="Q1426" i="2"/>
  <c r="Q1424" i="2"/>
  <c r="Q1422" i="2"/>
  <c r="Q1342" i="2"/>
  <c r="Q1420" i="2"/>
  <c r="Q1346" i="2"/>
  <c r="Q1334" i="2"/>
  <c r="Q1322" i="2"/>
  <c r="Q1329" i="2"/>
  <c r="Q1341" i="2"/>
  <c r="Q1336" i="2"/>
  <c r="Q1324" i="2"/>
  <c r="Q1343" i="2"/>
  <c r="Q1331" i="2"/>
  <c r="Q1330" i="2"/>
  <c r="Q1326" i="2"/>
  <c r="Q1335" i="2"/>
  <c r="Q1337" i="2"/>
  <c r="Q1333" i="2"/>
  <c r="Q1332" i="2"/>
  <c r="Q1344" i="2"/>
  <c r="Q1327" i="2"/>
  <c r="Q1321" i="2"/>
  <c r="Q1328" i="2"/>
  <c r="Q1345" i="2"/>
  <c r="Q1340" i="2"/>
  <c r="Q1325" i="2"/>
  <c r="Q1339" i="2"/>
  <c r="Q1323" i="2"/>
  <c r="Q1338" i="2"/>
  <c r="Q145" i="2"/>
  <c r="Q143" i="2"/>
  <c r="Q366" i="2"/>
  <c r="Q364" i="2"/>
  <c r="Q365" i="2"/>
  <c r="Q363" i="2"/>
  <c r="Q1257" i="2"/>
  <c r="Q1003" i="2"/>
  <c r="Q1008" i="2"/>
  <c r="Q1007" i="2"/>
  <c r="Q999" i="2"/>
  <c r="Q1002" i="2"/>
  <c r="Q1009" i="2"/>
  <c r="Q1010" i="2"/>
  <c r="Q1258" i="2"/>
  <c r="Q1001" i="2"/>
  <c r="Q1259" i="2"/>
  <c r="Q1004" i="2"/>
  <c r="Q1260" i="2"/>
  <c r="Q1005" i="2"/>
  <c r="Q998" i="2"/>
  <c r="Q1006" i="2"/>
  <c r="Q1000" i="2"/>
  <c r="Q1200" i="2"/>
  <c r="Q1189" i="2"/>
  <c r="Q1191" i="2"/>
  <c r="Q1194" i="2"/>
  <c r="Q1192" i="2"/>
  <c r="Q1197" i="2"/>
  <c r="Q1187" i="2"/>
  <c r="Q1204" i="2"/>
  <c r="Q1193" i="2"/>
  <c r="Q1199" i="2"/>
  <c r="Q1185" i="2"/>
  <c r="Q1202" i="2"/>
  <c r="Q1186" i="2"/>
  <c r="Q1198" i="2"/>
  <c r="Q1195" i="2"/>
  <c r="Q1196" i="2"/>
  <c r="Q1190" i="2"/>
  <c r="Q1203" i="2"/>
  <c r="Q1201" i="2"/>
  <c r="Q1188" i="2"/>
  <c r="Q863" i="2"/>
  <c r="Q708" i="2"/>
  <c r="Q20" i="2"/>
  <c r="Q19" i="2"/>
  <c r="Q50" i="2"/>
  <c r="Q52" i="2"/>
  <c r="Q55" i="2"/>
  <c r="Q22" i="2"/>
  <c r="Q1256" i="2"/>
  <c r="Q1262" i="2"/>
  <c r="Q1261" i="2"/>
  <c r="Q54" i="2"/>
  <c r="Q153" i="2"/>
  <c r="Q150" i="2"/>
  <c r="Q152" i="2"/>
  <c r="Q146" i="2"/>
  <c r="Q149" i="2"/>
  <c r="Q1068" i="2"/>
  <c r="Q148" i="2"/>
  <c r="Q147" i="2"/>
  <c r="Q1067" i="2"/>
  <c r="Q144" i="2"/>
  <c r="Q151" i="2"/>
  <c r="Q1066" i="2"/>
  <c r="Q1065" i="2"/>
  <c r="Q56" i="2"/>
  <c r="Q868" i="2"/>
  <c r="Q53" i="2"/>
  <c r="Q49" i="2"/>
  <c r="Q867" i="2"/>
  <c r="Q866" i="2"/>
  <c r="Q51" i="2"/>
  <c r="Q18" i="2"/>
  <c r="Q21" i="2"/>
  <c r="Q865" i="2"/>
  <c r="Q887" i="2"/>
  <c r="Q773" i="2"/>
  <c r="Q772" i="2"/>
  <c r="Q923" i="2"/>
  <c r="Q892" i="2"/>
  <c r="Q924" i="2"/>
  <c r="Q894" i="2"/>
  <c r="Q893" i="2"/>
  <c r="Q920" i="2"/>
  <c r="Q770" i="2"/>
  <c r="Q769" i="2"/>
  <c r="Q774" i="2"/>
  <c r="Q890" i="2"/>
  <c r="Q768" i="2"/>
  <c r="Q864" i="2"/>
  <c r="Q921" i="2"/>
  <c r="Q787" i="2"/>
  <c r="Q767" i="2"/>
  <c r="Q922" i="2"/>
  <c r="Q886" i="2"/>
  <c r="Q888" i="2"/>
  <c r="Q765" i="2"/>
  <c r="Q891" i="2"/>
  <c r="Q766" i="2"/>
  <c r="Q889" i="2"/>
  <c r="Q771" i="2"/>
  <c r="Q705" i="2"/>
  <c r="Q746" i="2"/>
  <c r="Q702" i="2"/>
  <c r="Q707" i="2"/>
  <c r="Q748" i="2"/>
  <c r="Q704" i="2"/>
  <c r="Q701" i="2"/>
  <c r="Q700" i="2"/>
  <c r="Q742" i="2"/>
  <c r="Q703" i="2"/>
  <c r="Q744" i="2"/>
  <c r="Q747" i="2"/>
  <c r="Q706" i="2"/>
  <c r="Q745" i="2"/>
  <c r="Q709" i="2"/>
  <c r="Q699" i="2"/>
  <c r="Q438" i="2"/>
  <c r="Q646" i="2"/>
  <c r="Q656" i="2"/>
  <c r="Q641" i="2"/>
  <c r="Q643" i="2"/>
  <c r="Q681" i="2"/>
  <c r="Q440" i="2"/>
  <c r="Q645" i="2"/>
  <c r="Q649" i="2"/>
  <c r="Q658" i="2"/>
  <c r="Q648" i="2"/>
  <c r="Q655" i="2"/>
  <c r="Q680" i="2"/>
  <c r="Q434" i="2"/>
  <c r="Q654" i="2"/>
  <c r="Q657" i="2"/>
  <c r="Q686" i="2"/>
  <c r="Q432" i="2"/>
  <c r="Q430" i="2"/>
  <c r="Q442" i="2"/>
  <c r="Q644" i="2"/>
  <c r="Q685" i="2"/>
  <c r="Q682" i="2"/>
  <c r="Q436" i="2"/>
  <c r="Q639" i="2"/>
  <c r="Q640" i="2"/>
  <c r="Q642" i="2"/>
  <c r="Q683" i="2"/>
  <c r="Q386" i="2"/>
  <c r="Q414" i="2"/>
  <c r="Q394" i="2"/>
  <c r="Q408" i="2"/>
  <c r="Q416" i="2"/>
  <c r="Q392" i="2"/>
  <c r="Q406" i="2"/>
  <c r="Q412" i="2"/>
  <c r="Q410" i="2"/>
  <c r="Q341" i="2"/>
  <c r="Q315" i="2"/>
  <c r="Q284" i="2"/>
  <c r="Q314" i="2"/>
  <c r="Q322" i="2"/>
  <c r="Q279" i="2"/>
  <c r="Q277" i="2"/>
  <c r="Q313" i="2"/>
  <c r="Q333" i="2"/>
  <c r="Q376" i="2"/>
  <c r="Q334" i="2"/>
  <c r="Q275" i="2"/>
  <c r="Q332" i="2"/>
  <c r="Q336" i="2"/>
  <c r="Q276" i="2"/>
  <c r="Q317" i="2"/>
  <c r="AH375" i="2"/>
  <c r="R1243" i="2"/>
  <c r="R1236" i="2"/>
  <c r="R1246" i="2"/>
  <c r="R1315" i="2"/>
  <c r="R1248" i="2"/>
  <c r="O1314" i="2"/>
  <c r="R1316" i="2"/>
  <c r="O1244" i="2"/>
  <c r="R1253" i="2"/>
  <c r="R1305" i="2"/>
  <c r="R1265" i="2"/>
  <c r="O1316" i="2"/>
  <c r="R1252" i="2"/>
  <c r="R1318" i="2"/>
  <c r="R1251" i="2"/>
  <c r="O1240" i="2"/>
  <c r="O1246" i="2"/>
  <c r="O1315" i="2"/>
  <c r="R1254" i="2"/>
  <c r="R1237" i="2"/>
  <c r="R1301" i="2"/>
  <c r="R1235" i="2"/>
  <c r="AF1235" i="2" s="1"/>
  <c r="R1307" i="2"/>
  <c r="R1238" i="2"/>
  <c r="O1265" i="2"/>
  <c r="R1314" i="2"/>
  <c r="O1243" i="2"/>
  <c r="O1305" i="2"/>
  <c r="R1302" i="2"/>
  <c r="O1307" i="2"/>
  <c r="O1308" i="2"/>
  <c r="R1319" i="2"/>
  <c r="R1308" i="2"/>
  <c r="R1263" i="2"/>
  <c r="R1303" i="2"/>
  <c r="O1309" i="2"/>
  <c r="O1239" i="2"/>
  <c r="R1247" i="2"/>
  <c r="O1242" i="2"/>
  <c r="R1310" i="2"/>
  <c r="O1263" i="2"/>
  <c r="O1312" i="2"/>
  <c r="R1309" i="2"/>
  <c r="R1317" i="2"/>
  <c r="R1255" i="2"/>
  <c r="R1249" i="2"/>
  <c r="R1304" i="2"/>
  <c r="O1251" i="2"/>
  <c r="R1245" i="2"/>
  <c r="R1239" i="2"/>
  <c r="AF1239" i="2" s="1"/>
  <c r="O1247" i="2"/>
  <c r="R1242" i="2"/>
  <c r="R1250" i="2"/>
  <c r="AF1250" i="2" s="1"/>
  <c r="O1306" i="2"/>
  <c r="R1241" i="2"/>
  <c r="O1311" i="2"/>
  <c r="R1306" i="2"/>
  <c r="O1317" i="2"/>
  <c r="O1310" i="2"/>
  <c r="R1313" i="2"/>
  <c r="O1249" i="2"/>
  <c r="R1320" i="2"/>
  <c r="O1250" i="2"/>
  <c r="R1244" i="2"/>
  <c r="AF1244" i="2" s="1"/>
  <c r="O1245" i="2"/>
  <c r="O1241" i="2"/>
  <c r="R1311" i="2"/>
  <c r="R1312" i="2"/>
  <c r="R1240" i="2"/>
  <c r="O1313" i="2"/>
  <c r="O1248" i="2"/>
  <c r="R44" i="2"/>
  <c r="AF44" i="2" s="1"/>
  <c r="O48" i="2"/>
  <c r="R48" i="2"/>
  <c r="AF48" i="2" s="1"/>
  <c r="R41" i="2"/>
  <c r="AF41" i="2" s="1"/>
  <c r="R1219" i="2"/>
  <c r="AF1219" i="2" s="1"/>
  <c r="R1221" i="2"/>
  <c r="O1228" i="2"/>
  <c r="R1230" i="2"/>
  <c r="R1233" i="2"/>
  <c r="R1226" i="2"/>
  <c r="AF1226" i="2" s="1"/>
  <c r="R1220" i="2"/>
  <c r="AF1220" i="2" s="1"/>
  <c r="R1228" i="2"/>
  <c r="R1229" i="2"/>
  <c r="O1229" i="2"/>
  <c r="R1232" i="2"/>
  <c r="O1226" i="2"/>
  <c r="R1225" i="2"/>
  <c r="O1232" i="2"/>
  <c r="R1218" i="2"/>
  <c r="R1224" i="2"/>
  <c r="R1222" i="2"/>
  <c r="R1217" i="2"/>
  <c r="R1223" i="2"/>
  <c r="R1227" i="2"/>
  <c r="R1231" i="2"/>
  <c r="R1234" i="2"/>
  <c r="O1227" i="2"/>
  <c r="O1230" i="2"/>
  <c r="O261" i="2"/>
  <c r="R259" i="2"/>
  <c r="AF259" i="2" s="1"/>
  <c r="R270" i="2"/>
  <c r="AF270" i="2" s="1"/>
  <c r="R272" i="2"/>
  <c r="AF272" i="2" s="1"/>
  <c r="R261" i="2"/>
  <c r="AF261" i="2" s="1"/>
  <c r="R267" i="2"/>
  <c r="AF267" i="2" s="1"/>
  <c r="R203" i="2"/>
  <c r="AF203" i="2" s="1"/>
  <c r="R268" i="2"/>
  <c r="AF268" i="2" s="1"/>
  <c r="O203" i="2"/>
  <c r="O262" i="2"/>
  <c r="R266" i="2"/>
  <c r="AF266" i="2" s="1"/>
  <c r="R262" i="2"/>
  <c r="AF262" i="2" s="1"/>
  <c r="O266" i="2"/>
  <c r="R273" i="2"/>
  <c r="AF273" i="2" s="1"/>
  <c r="R256" i="2"/>
  <c r="AF256" i="2" s="1"/>
  <c r="R264" i="2"/>
  <c r="AF264" i="2" s="1"/>
  <c r="R271" i="2"/>
  <c r="AF271" i="2" s="1"/>
  <c r="O264" i="2"/>
  <c r="R269" i="2"/>
  <c r="AF269" i="2" s="1"/>
  <c r="R257" i="2"/>
  <c r="AF257" i="2" s="1"/>
  <c r="R260" i="2"/>
  <c r="AF260" i="2" s="1"/>
  <c r="R265" i="2"/>
  <c r="AF265" i="2" s="1"/>
  <c r="R274" i="2"/>
  <c r="AF274" i="2" s="1"/>
  <c r="O263" i="2"/>
  <c r="R263" i="2"/>
  <c r="AF263" i="2" s="1"/>
  <c r="R258" i="2"/>
  <c r="AF258" i="2" s="1"/>
  <c r="R185" i="2"/>
  <c r="AF185" i="2" s="1"/>
  <c r="R822" i="2"/>
  <c r="R832" i="2"/>
  <c r="R1112" i="2"/>
  <c r="R1130" i="2"/>
  <c r="O1107" i="2"/>
  <c r="R817" i="2"/>
  <c r="O198" i="2"/>
  <c r="R820" i="2"/>
  <c r="R943" i="2"/>
  <c r="R1054" i="2"/>
  <c r="O1105" i="2"/>
  <c r="O202" i="2"/>
  <c r="R955" i="2"/>
  <c r="R793" i="2"/>
  <c r="R1062" i="2"/>
  <c r="R990" i="2"/>
  <c r="R935" i="2"/>
  <c r="R951" i="2"/>
  <c r="O1144" i="2"/>
  <c r="R1082" i="2"/>
  <c r="R929" i="2"/>
  <c r="O1142" i="2"/>
  <c r="R1152" i="2"/>
  <c r="O832" i="2"/>
  <c r="O978" i="2"/>
  <c r="R1158" i="2"/>
  <c r="O196" i="2"/>
  <c r="R798" i="2"/>
  <c r="R974" i="2"/>
  <c r="R941" i="2"/>
  <c r="O1054" i="2"/>
  <c r="R202" i="2"/>
  <c r="R1083" i="2"/>
  <c r="R860" i="2"/>
  <c r="R1116" i="2"/>
  <c r="R1144" i="2"/>
  <c r="R1163" i="2"/>
  <c r="O987" i="2"/>
  <c r="R810" i="2"/>
  <c r="R1117" i="2"/>
  <c r="R826" i="2"/>
  <c r="R801" i="2"/>
  <c r="R1107" i="2"/>
  <c r="R848" i="2"/>
  <c r="R992" i="2"/>
  <c r="R200" i="2"/>
  <c r="O988" i="2"/>
  <c r="R838" i="2"/>
  <c r="R987" i="2"/>
  <c r="R809" i="2"/>
  <c r="R1159" i="2"/>
  <c r="R1157" i="2"/>
  <c r="O195" i="2"/>
  <c r="O1056" i="2"/>
  <c r="R1088" i="2"/>
  <c r="O798" i="2"/>
  <c r="R800" i="2"/>
  <c r="R797" i="2"/>
  <c r="R310" i="2"/>
  <c r="R846" i="2"/>
  <c r="R1173" i="2"/>
  <c r="R199" i="2"/>
  <c r="O200" i="2"/>
  <c r="O1149" i="2"/>
  <c r="O1083" i="2"/>
  <c r="R988" i="2"/>
  <c r="R956" i="2"/>
  <c r="O951" i="2"/>
  <c r="R811" i="2"/>
  <c r="R1059" i="2"/>
  <c r="O981" i="2"/>
  <c r="R1114" i="2"/>
  <c r="R841" i="2"/>
  <c r="O946" i="2"/>
  <c r="R193" i="2"/>
  <c r="O831" i="2"/>
  <c r="R1056" i="2"/>
  <c r="R308" i="2"/>
  <c r="R1128" i="2"/>
  <c r="O943" i="2"/>
  <c r="R182" i="2"/>
  <c r="R970" i="2"/>
  <c r="R1102" i="2"/>
  <c r="R294" i="2"/>
  <c r="O1101" i="2"/>
  <c r="R840" i="2"/>
  <c r="R1160" i="2"/>
  <c r="R859" i="2"/>
  <c r="R807" i="2"/>
  <c r="R939" i="2"/>
  <c r="O193" i="2"/>
  <c r="R1138" i="2"/>
  <c r="R194" i="2"/>
  <c r="R195" i="2"/>
  <c r="O942" i="2"/>
  <c r="R1086" i="2"/>
  <c r="O797" i="2"/>
  <c r="R1174" i="2"/>
  <c r="R996" i="2"/>
  <c r="R994" i="2"/>
  <c r="AF994" i="2" s="1"/>
  <c r="R311" i="2"/>
  <c r="R1101" i="2"/>
  <c r="R1053" i="2"/>
  <c r="R1077" i="2"/>
  <c r="R1076" i="2"/>
  <c r="R1140" i="2"/>
  <c r="R1110" i="2"/>
  <c r="AF1110" i="2" s="1"/>
  <c r="O194" i="2"/>
  <c r="R799" i="2"/>
  <c r="R993" i="2"/>
  <c r="R1124" i="2"/>
  <c r="R971" i="2"/>
  <c r="R989" i="2"/>
  <c r="R814" i="2"/>
  <c r="R1149" i="2"/>
  <c r="R934" i="2"/>
  <c r="O1104" i="2"/>
  <c r="R843" i="2"/>
  <c r="AF843" i="2" s="1"/>
  <c r="R931" i="2"/>
  <c r="AF931" i="2" s="1"/>
  <c r="R1111" i="2"/>
  <c r="R1139" i="2"/>
  <c r="R977" i="2"/>
  <c r="R1137" i="2"/>
  <c r="R1108" i="2"/>
  <c r="R1171" i="2"/>
  <c r="R1104" i="2"/>
  <c r="R192" i="2"/>
  <c r="O794" i="2"/>
  <c r="R946" i="2"/>
  <c r="R821" i="2"/>
  <c r="R1155" i="2"/>
  <c r="R1085" i="2"/>
  <c r="R1084" i="2"/>
  <c r="R936" i="2"/>
  <c r="R1060" i="2"/>
  <c r="O300" i="2"/>
  <c r="R802" i="2"/>
  <c r="R831" i="2"/>
  <c r="R1046" i="2"/>
  <c r="R819" i="2"/>
  <c r="R942" i="2"/>
  <c r="R976" i="2"/>
  <c r="R818" i="2"/>
  <c r="O1055" i="2"/>
  <c r="O1153" i="2"/>
  <c r="O1102" i="2"/>
  <c r="R1121" i="2"/>
  <c r="R1098" i="2"/>
  <c r="R933" i="2"/>
  <c r="R932" i="2"/>
  <c r="R1057" i="2"/>
  <c r="R945" i="2"/>
  <c r="R850" i="2"/>
  <c r="R176" i="2"/>
  <c r="R1055" i="2"/>
  <c r="R960" i="2"/>
  <c r="R1170" i="2"/>
  <c r="R947" i="2"/>
  <c r="R844" i="2"/>
  <c r="R1052" i="2"/>
  <c r="O1098" i="2"/>
  <c r="R967" i="2"/>
  <c r="O984" i="2"/>
  <c r="O1097" i="2"/>
  <c r="R857" i="2"/>
  <c r="R1096" i="2"/>
  <c r="R307" i="2"/>
  <c r="O799" i="2"/>
  <c r="O1108" i="2"/>
  <c r="R178" i="2"/>
  <c r="AF178" i="2" s="1"/>
  <c r="O1109" i="2"/>
  <c r="R847" i="2"/>
  <c r="R1154" i="2"/>
  <c r="R1089" i="2"/>
  <c r="R972" i="2"/>
  <c r="R1131" i="2"/>
  <c r="O192" i="2"/>
  <c r="R1051" i="2"/>
  <c r="R1166" i="2"/>
  <c r="R984" i="2"/>
  <c r="O983" i="2"/>
  <c r="O1057" i="2"/>
  <c r="R1090" i="2"/>
  <c r="R306" i="2"/>
  <c r="R995" i="2"/>
  <c r="O197" i="2"/>
  <c r="R973" i="2"/>
  <c r="R851" i="2"/>
  <c r="R1153" i="2"/>
  <c r="AF1153" i="2" s="1"/>
  <c r="O201" i="2"/>
  <c r="O1081" i="2"/>
  <c r="R813" i="2"/>
  <c r="R1119" i="2"/>
  <c r="R298" i="2"/>
  <c r="R1162" i="2"/>
  <c r="R1091" i="2"/>
  <c r="R1087" i="2"/>
  <c r="R197" i="2"/>
  <c r="R1109" i="2"/>
  <c r="R816" i="2"/>
  <c r="R1125" i="2"/>
  <c r="R304" i="2"/>
  <c r="R201" i="2"/>
  <c r="R1081" i="2"/>
  <c r="O947" i="2"/>
  <c r="R297" i="2"/>
  <c r="R1148" i="2"/>
  <c r="R1097" i="2"/>
  <c r="R927" i="2"/>
  <c r="O1099" i="2"/>
  <c r="O1147" i="2"/>
  <c r="O949" i="2"/>
  <c r="R1123" i="2"/>
  <c r="R305" i="2"/>
  <c r="R979" i="2"/>
  <c r="O830" i="2"/>
  <c r="R1129" i="2"/>
  <c r="R944" i="2"/>
  <c r="R1136" i="2"/>
  <c r="R1135" i="2"/>
  <c r="R1156" i="2"/>
  <c r="AF1156" i="2" s="1"/>
  <c r="R180" i="2"/>
  <c r="AF180" i="2" s="1"/>
  <c r="R965" i="2"/>
  <c r="R983" i="2"/>
  <c r="R1164" i="2"/>
  <c r="R1092" i="2"/>
  <c r="R1120" i="2"/>
  <c r="R962" i="2"/>
  <c r="R1100" i="2"/>
  <c r="R852" i="2"/>
  <c r="R926" i="2"/>
  <c r="O979" i="2"/>
  <c r="O945" i="2"/>
  <c r="O829" i="2"/>
  <c r="R828" i="2"/>
  <c r="R1127" i="2"/>
  <c r="R1126" i="2"/>
  <c r="R179" i="2"/>
  <c r="O304" i="2"/>
  <c r="R957" i="2"/>
  <c r="R1168" i="2"/>
  <c r="O1148" i="2"/>
  <c r="R837" i="2"/>
  <c r="O1103" i="2"/>
  <c r="R1099" i="2"/>
  <c r="R1169" i="2"/>
  <c r="R309" i="2"/>
  <c r="R975" i="2"/>
  <c r="O1106" i="2"/>
  <c r="R803" i="2"/>
  <c r="R1150" i="2"/>
  <c r="R183" i="2"/>
  <c r="O795" i="2"/>
  <c r="R1172" i="2"/>
  <c r="R296" i="2"/>
  <c r="R991" i="2"/>
  <c r="R861" i="2"/>
  <c r="R1165" i="2"/>
  <c r="R963" i="2"/>
  <c r="R1103" i="2"/>
  <c r="O301" i="2"/>
  <c r="R299" i="2"/>
  <c r="R805" i="2"/>
  <c r="O944" i="2"/>
  <c r="R196" i="2"/>
  <c r="R849" i="2"/>
  <c r="AF849" i="2" s="1"/>
  <c r="O796" i="2"/>
  <c r="R1133" i="2"/>
  <c r="R853" i="2"/>
  <c r="R842" i="2"/>
  <c r="R808" i="2"/>
  <c r="R1061" i="2"/>
  <c r="R301" i="2"/>
  <c r="R958" i="2"/>
  <c r="R295" i="2"/>
  <c r="R950" i="2"/>
  <c r="R978" i="2"/>
  <c r="R1047" i="2"/>
  <c r="R830" i="2"/>
  <c r="R829" i="2"/>
  <c r="R1045" i="2"/>
  <c r="R961" i="2"/>
  <c r="R1106" i="2"/>
  <c r="R198" i="2"/>
  <c r="R796" i="2"/>
  <c r="R1105" i="2"/>
  <c r="R815" i="2"/>
  <c r="R1122" i="2"/>
  <c r="O1150" i="2"/>
  <c r="R795" i="2"/>
  <c r="O793" i="2"/>
  <c r="O1151" i="2"/>
  <c r="R839" i="2"/>
  <c r="R1095" i="2"/>
  <c r="R833" i="2"/>
  <c r="O299" i="2"/>
  <c r="O950" i="2"/>
  <c r="R1142" i="2"/>
  <c r="R959" i="2"/>
  <c r="R969" i="2"/>
  <c r="AF969" i="2" s="1"/>
  <c r="R1143" i="2"/>
  <c r="R855" i="2"/>
  <c r="O302" i="2"/>
  <c r="R824" i="2"/>
  <c r="O1141" i="2"/>
  <c r="O1058" i="2"/>
  <c r="R1113" i="2"/>
  <c r="R184" i="2"/>
  <c r="R1049" i="2"/>
  <c r="R938" i="2"/>
  <c r="R1141" i="2"/>
  <c r="R191" i="2"/>
  <c r="R985" i="2"/>
  <c r="R964" i="2"/>
  <c r="O1145" i="2"/>
  <c r="R804" i="2"/>
  <c r="AF804" i="2" s="1"/>
  <c r="R948" i="2"/>
  <c r="R928" i="2"/>
  <c r="R300" i="2"/>
  <c r="O1143" i="2"/>
  <c r="O948" i="2"/>
  <c r="O191" i="2"/>
  <c r="O828" i="2"/>
  <c r="R181" i="2"/>
  <c r="R968" i="2"/>
  <c r="R189" i="2"/>
  <c r="R303" i="2"/>
  <c r="R1134" i="2"/>
  <c r="R930" i="2"/>
  <c r="O1082" i="2"/>
  <c r="R806" i="2"/>
  <c r="R1063" i="2"/>
  <c r="R1058" i="2"/>
  <c r="R1167" i="2"/>
  <c r="R1080" i="2"/>
  <c r="O985" i="2"/>
  <c r="R1064" i="2"/>
  <c r="R1050" i="2"/>
  <c r="R854" i="2"/>
  <c r="R1093" i="2"/>
  <c r="R997" i="2"/>
  <c r="R312" i="2"/>
  <c r="O1080" i="2"/>
  <c r="R966" i="2"/>
  <c r="R835" i="2"/>
  <c r="R1078" i="2"/>
  <c r="O986" i="2"/>
  <c r="R862" i="2"/>
  <c r="R1115" i="2"/>
  <c r="R949" i="2"/>
  <c r="R1094" i="2"/>
  <c r="R986" i="2"/>
  <c r="O1100" i="2"/>
  <c r="R827" i="2"/>
  <c r="R836" i="2"/>
  <c r="R1118" i="2"/>
  <c r="R1161" i="2"/>
  <c r="R1145" i="2"/>
  <c r="O833" i="2"/>
  <c r="R190" i="2"/>
  <c r="O834" i="2"/>
  <c r="O982" i="2"/>
  <c r="R1147" i="2"/>
  <c r="R981" i="2"/>
  <c r="O1152" i="2"/>
  <c r="R856" i="2"/>
  <c r="R825" i="2"/>
  <c r="R187" i="2"/>
  <c r="R953" i="2"/>
  <c r="O1146" i="2"/>
  <c r="R858" i="2"/>
  <c r="R980" i="2"/>
  <c r="R1048" i="2"/>
  <c r="AF1048" i="2" s="1"/>
  <c r="O980" i="2"/>
  <c r="R937" i="2"/>
  <c r="R812" i="2"/>
  <c r="R823" i="2"/>
  <c r="R845" i="2"/>
  <c r="R952" i="2"/>
  <c r="O199" i="2"/>
  <c r="R794" i="2"/>
  <c r="R1079" i="2"/>
  <c r="R954" i="2"/>
  <c r="R834" i="2"/>
  <c r="R302" i="2"/>
  <c r="R940" i="2"/>
  <c r="R1151" i="2"/>
  <c r="R982" i="2"/>
  <c r="R1132" i="2"/>
  <c r="R1146" i="2"/>
  <c r="O952" i="2"/>
  <c r="O47" i="2"/>
  <c r="O46" i="2"/>
  <c r="R17" i="2"/>
  <c r="R47" i="2"/>
  <c r="R40" i="2"/>
  <c r="R46" i="2"/>
  <c r="R39" i="2"/>
  <c r="R43" i="2"/>
  <c r="O45" i="2"/>
  <c r="R45" i="2"/>
  <c r="R42" i="2"/>
  <c r="R869" i="2"/>
  <c r="R38" i="2"/>
  <c r="R755" i="2"/>
  <c r="R756" i="2"/>
  <c r="R757" i="2"/>
  <c r="R453" i="2"/>
  <c r="O492" i="2"/>
  <c r="R659" i="2"/>
  <c r="R675" i="2"/>
  <c r="R580" i="2"/>
  <c r="R439" i="2"/>
  <c r="R459" i="2"/>
  <c r="R603" i="2"/>
  <c r="O463" i="2"/>
  <c r="R586" i="2"/>
  <c r="R595" i="2"/>
  <c r="O476" i="2"/>
  <c r="O425" i="2"/>
  <c r="O489" i="2"/>
  <c r="R612" i="2"/>
  <c r="R471" i="2"/>
  <c r="R490" i="2"/>
  <c r="R511" i="2"/>
  <c r="R480" i="2"/>
  <c r="R584" i="2"/>
  <c r="O462" i="2"/>
  <c r="R545" i="2"/>
  <c r="R568" i="2"/>
  <c r="R507" i="2"/>
  <c r="R548" i="2"/>
  <c r="R476" i="2"/>
  <c r="R506" i="2"/>
  <c r="R489" i="2"/>
  <c r="R546" i="2"/>
  <c r="R589" i="2"/>
  <c r="R672" i="2"/>
  <c r="R470" i="2"/>
  <c r="R613" i="2"/>
  <c r="R534" i="2"/>
  <c r="AF534" i="2" s="1"/>
  <c r="R509" i="2"/>
  <c r="R635" i="2"/>
  <c r="O488" i="2"/>
  <c r="R632" i="2"/>
  <c r="O467" i="2"/>
  <c r="O485" i="2"/>
  <c r="R676" i="2"/>
  <c r="R579" i="2"/>
  <c r="R494" i="2"/>
  <c r="R555" i="2"/>
  <c r="R621" i="2"/>
  <c r="R540" i="2"/>
  <c r="R662" i="2"/>
  <c r="R481" i="2"/>
  <c r="R541" i="2"/>
  <c r="R665" i="2"/>
  <c r="R556" i="2"/>
  <c r="R457" i="2"/>
  <c r="R524" i="2"/>
  <c r="R465" i="2"/>
  <c r="R690" i="2"/>
  <c r="R423" i="2"/>
  <c r="R488" i="2"/>
  <c r="R466" i="2"/>
  <c r="R551" i="2"/>
  <c r="O693" i="2"/>
  <c r="O423" i="2"/>
  <c r="R467" i="2"/>
  <c r="R550" i="2"/>
  <c r="R431" i="2"/>
  <c r="R526" i="2"/>
  <c r="R479" i="2"/>
  <c r="R499" i="2"/>
  <c r="R522" i="2"/>
  <c r="R462" i="2"/>
  <c r="R516" i="2"/>
  <c r="R591" i="2"/>
  <c r="O672" i="2"/>
  <c r="O466" i="2"/>
  <c r="R449" i="2"/>
  <c r="O491" i="2"/>
  <c r="R573" i="2"/>
  <c r="O697" i="2"/>
  <c r="R575" i="2"/>
  <c r="R458" i="2"/>
  <c r="R561" i="2"/>
  <c r="R536" i="2"/>
  <c r="R419" i="2"/>
  <c r="R483" i="2"/>
  <c r="R605" i="2"/>
  <c r="R437" i="2"/>
  <c r="R497" i="2"/>
  <c r="R692" i="2"/>
  <c r="R637" i="2"/>
  <c r="R660" i="2"/>
  <c r="O555" i="2"/>
  <c r="O460" i="2"/>
  <c r="R623" i="2"/>
  <c r="R615" i="2"/>
  <c r="O586" i="2"/>
  <c r="R513" i="2"/>
  <c r="R468" i="2"/>
  <c r="R630" i="2"/>
  <c r="R693" i="2"/>
  <c r="R697" i="2"/>
  <c r="O598" i="2"/>
  <c r="R600" i="2"/>
  <c r="R616" i="2"/>
  <c r="R559" i="2"/>
  <c r="R694" i="2"/>
  <c r="R477" i="2"/>
  <c r="R454" i="2"/>
  <c r="O419" i="2"/>
  <c r="R421" i="2"/>
  <c r="R543" i="2"/>
  <c r="O556" i="2"/>
  <c r="R485" i="2"/>
  <c r="R598" i="2"/>
  <c r="R678" i="2"/>
  <c r="R679" i="2"/>
  <c r="R460" i="2"/>
  <c r="R563" i="2"/>
  <c r="R604" i="2"/>
  <c r="R664" i="2"/>
  <c r="O464" i="2"/>
  <c r="O465" i="2"/>
  <c r="R668" i="2"/>
  <c r="R547" i="2"/>
  <c r="R570" i="2"/>
  <c r="O472" i="2"/>
  <c r="O671" i="2"/>
  <c r="R525" i="2"/>
  <c r="R491" i="2"/>
  <c r="R576" i="2"/>
  <c r="R619" i="2"/>
  <c r="R636" i="2"/>
  <c r="R498" i="2"/>
  <c r="R514" i="2"/>
  <c r="O421" i="2"/>
  <c r="R625" i="2"/>
  <c r="R464" i="2"/>
  <c r="R544" i="2"/>
  <c r="R508" i="2"/>
  <c r="R671" i="2"/>
  <c r="O633" i="2"/>
  <c r="R594" i="2"/>
  <c r="R617" i="2"/>
  <c r="R518" i="2"/>
  <c r="R562" i="2"/>
  <c r="R535" i="2"/>
  <c r="R542" i="2"/>
  <c r="R666" i="2"/>
  <c r="R607" i="2"/>
  <c r="R667" i="2"/>
  <c r="O570" i="2"/>
  <c r="R472" i="2"/>
  <c r="R588" i="2"/>
  <c r="R527" i="2"/>
  <c r="R688" i="2"/>
  <c r="O427" i="2"/>
  <c r="R515" i="2"/>
  <c r="R581" i="2"/>
  <c r="R484" i="2"/>
  <c r="R596" i="2"/>
  <c r="AF596" i="2" s="1"/>
  <c r="R537" i="2"/>
  <c r="R611" i="2"/>
  <c r="O474" i="2"/>
  <c r="R427" i="2"/>
  <c r="R572" i="2"/>
  <c r="R512" i="2"/>
  <c r="R452" i="2"/>
  <c r="R501" i="2"/>
  <c r="R565" i="2"/>
  <c r="R609" i="2"/>
  <c r="O487" i="2"/>
  <c r="O562" i="2"/>
  <c r="R441" i="2"/>
  <c r="R696" i="2"/>
  <c r="R443" i="2"/>
  <c r="R447" i="2"/>
  <c r="R433" i="2"/>
  <c r="R455" i="2"/>
  <c r="R529" i="2"/>
  <c r="R474" i="2"/>
  <c r="R487" i="2"/>
  <c r="R569" i="2"/>
  <c r="R593" i="2"/>
  <c r="O574" i="2"/>
  <c r="O566" i="2"/>
  <c r="R510" i="2"/>
  <c r="O594" i="2"/>
  <c r="R698" i="2"/>
  <c r="R620" i="2"/>
  <c r="R557" i="2"/>
  <c r="AF557" i="2" s="1"/>
  <c r="R478" i="2"/>
  <c r="R519" i="2"/>
  <c r="R583" i="2"/>
  <c r="R482" i="2"/>
  <c r="R624" i="2"/>
  <c r="R503" i="2"/>
  <c r="R435" i="2"/>
  <c r="R486" i="2"/>
  <c r="R590" i="2"/>
  <c r="R445" i="2"/>
  <c r="R689" i="2"/>
  <c r="R691" i="2"/>
  <c r="R469" i="2"/>
  <c r="R567" i="2"/>
  <c r="R531" i="2"/>
  <c r="O490" i="2"/>
  <c r="R473" i="2"/>
  <c r="O557" i="2"/>
  <c r="R661" i="2"/>
  <c r="R475" i="2"/>
  <c r="R538" i="2"/>
  <c r="R582" i="2"/>
  <c r="R380" i="2"/>
  <c r="R663" i="2"/>
  <c r="O696" i="2"/>
  <c r="O578" i="2"/>
  <c r="O496" i="2"/>
  <c r="R566" i="2"/>
  <c r="R528" i="2"/>
  <c r="R670" i="2"/>
  <c r="R608" i="2"/>
  <c r="R558" i="2"/>
  <c r="R444" i="2"/>
  <c r="O470" i="2"/>
  <c r="R597" i="2"/>
  <c r="R574" i="2"/>
  <c r="R500" i="2"/>
  <c r="O380" i="2"/>
  <c r="R521" i="2"/>
  <c r="R564" i="2"/>
  <c r="O484" i="2"/>
  <c r="R627" i="2"/>
  <c r="R505" i="2"/>
  <c r="O486" i="2"/>
  <c r="O590" i="2"/>
  <c r="R587" i="2"/>
  <c r="R628" i="2"/>
  <c r="R446" i="2"/>
  <c r="R451" i="2"/>
  <c r="R673" i="2"/>
  <c r="R674" i="2"/>
  <c r="R549" i="2"/>
  <c r="R677" i="2"/>
  <c r="O473" i="2"/>
  <c r="R560" i="2"/>
  <c r="R504" i="2"/>
  <c r="R631" i="2"/>
  <c r="O469" i="2"/>
  <c r="R592" i="2"/>
  <c r="O673" i="2"/>
  <c r="R492" i="2"/>
  <c r="R601" i="2"/>
  <c r="AF601" i="2" s="1"/>
  <c r="O475" i="2"/>
  <c r="R520" i="2"/>
  <c r="O582" i="2"/>
  <c r="R695" i="2"/>
  <c r="R599" i="2"/>
  <c r="O480" i="2"/>
  <c r="R502" i="2"/>
  <c r="R532" i="2"/>
  <c r="R496" i="2"/>
  <c r="O674" i="2"/>
  <c r="R495" i="2"/>
  <c r="O631" i="2"/>
  <c r="R450" i="2"/>
  <c r="O632" i="2"/>
  <c r="R539" i="2"/>
  <c r="R461" i="2"/>
  <c r="O558" i="2"/>
  <c r="R578" i="2"/>
  <c r="R463" i="2"/>
  <c r="R523" i="2"/>
  <c r="R585" i="2"/>
  <c r="R629" i="2"/>
  <c r="R425" i="2"/>
  <c r="R571" i="2"/>
  <c r="R448" i="2"/>
  <c r="R530" i="2"/>
  <c r="R533" i="2"/>
  <c r="R456" i="2"/>
  <c r="R669" i="2"/>
  <c r="R577" i="2"/>
  <c r="R517" i="2"/>
  <c r="O461" i="2"/>
  <c r="R493" i="2"/>
  <c r="O471" i="2"/>
  <c r="R633" i="2"/>
  <c r="R411" i="2"/>
  <c r="O401" i="2"/>
  <c r="R387" i="2"/>
  <c r="R391" i="2"/>
  <c r="R395" i="2"/>
  <c r="R403" i="2"/>
  <c r="R393" i="2"/>
  <c r="O403" i="2"/>
  <c r="O391" i="2"/>
  <c r="R389" i="2"/>
  <c r="R399" i="2"/>
  <c r="O389" i="2"/>
  <c r="R413" i="2"/>
  <c r="O399" i="2"/>
  <c r="R407" i="2"/>
  <c r="R384" i="2"/>
  <c r="O397" i="2"/>
  <c r="R417" i="2"/>
  <c r="O384" i="2"/>
  <c r="R397" i="2"/>
  <c r="R409" i="2"/>
  <c r="R415" i="2"/>
  <c r="R401" i="2"/>
  <c r="R15" i="2"/>
  <c r="R239" i="2"/>
  <c r="R30" i="2"/>
  <c r="O82" i="2"/>
  <c r="R33" i="2"/>
  <c r="R124" i="2"/>
  <c r="O207" i="2"/>
  <c r="R228" i="2"/>
  <c r="O132" i="2"/>
  <c r="R133" i="2"/>
  <c r="R254" i="2"/>
  <c r="R357" i="2"/>
  <c r="R96" i="2"/>
  <c r="O220" i="2"/>
  <c r="R241" i="2"/>
  <c r="O359" i="2"/>
  <c r="R79" i="2"/>
  <c r="O222" i="2"/>
  <c r="R105" i="2"/>
  <c r="R207" i="2"/>
  <c r="R4" i="2"/>
  <c r="O8" i="2"/>
  <c r="O211" i="2"/>
  <c r="R36" i="2"/>
  <c r="R231" i="2"/>
  <c r="O15" i="2"/>
  <c r="R118" i="2"/>
  <c r="R120" i="2"/>
  <c r="R362" i="2"/>
  <c r="R84" i="2"/>
  <c r="R3" i="2"/>
  <c r="O209" i="2"/>
  <c r="R8" i="2"/>
  <c r="R73" i="2"/>
  <c r="R378" i="2"/>
  <c r="R108" i="2"/>
  <c r="R75" i="2"/>
  <c r="R135" i="2"/>
  <c r="R381" i="2"/>
  <c r="O79" i="2"/>
  <c r="R82" i="2"/>
  <c r="R245" i="2"/>
  <c r="R249" i="2"/>
  <c r="R209" i="2"/>
  <c r="R132" i="2"/>
  <c r="O215" i="2"/>
  <c r="O36" i="2"/>
  <c r="O135" i="2"/>
  <c r="R252" i="2"/>
  <c r="R129" i="2"/>
  <c r="R138" i="2"/>
  <c r="R242" i="2"/>
  <c r="O204" i="2"/>
  <c r="R246" i="2"/>
  <c r="O217" i="2"/>
  <c r="R109" i="2"/>
  <c r="R359" i="2"/>
  <c r="AF359" i="2" s="1"/>
  <c r="R99" i="2"/>
  <c r="R83" i="2"/>
  <c r="R204" i="2"/>
  <c r="O373" i="2"/>
  <c r="O84" i="2"/>
  <c r="R217" i="2"/>
  <c r="R237" i="2"/>
  <c r="R106" i="2"/>
  <c r="R233" i="2"/>
  <c r="R351" i="2"/>
  <c r="R89" i="2"/>
  <c r="R7" i="2"/>
  <c r="O73" i="2"/>
  <c r="O133" i="2"/>
  <c r="R215" i="2"/>
  <c r="R117" i="2"/>
  <c r="R121" i="2"/>
  <c r="R223" i="2"/>
  <c r="R373" i="2"/>
  <c r="R131" i="2"/>
  <c r="R213" i="2"/>
  <c r="R382" i="2"/>
  <c r="R94" i="2"/>
  <c r="O78" i="2"/>
  <c r="R16" i="2"/>
  <c r="R102" i="2"/>
  <c r="O223" i="2"/>
  <c r="R14" i="2"/>
  <c r="O205" i="2"/>
  <c r="R87" i="2"/>
  <c r="R86" i="2"/>
  <c r="R110" i="2"/>
  <c r="R136" i="2"/>
  <c r="O16" i="2"/>
  <c r="R140" i="2"/>
  <c r="R360" i="2"/>
  <c r="O83" i="2"/>
  <c r="R125" i="2"/>
  <c r="O86" i="2"/>
  <c r="O377" i="2"/>
  <c r="R210" i="2"/>
  <c r="R91" i="2"/>
  <c r="O213" i="2"/>
  <c r="R214" i="2"/>
  <c r="R128" i="2"/>
  <c r="R71" i="2"/>
  <c r="R216" i="2"/>
  <c r="R78" i="2"/>
  <c r="O138" i="2"/>
  <c r="R80" i="2"/>
  <c r="O140" i="2"/>
  <c r="R97" i="2"/>
  <c r="O14" i="2"/>
  <c r="R34" i="2"/>
  <c r="R35" i="2"/>
  <c r="R227" i="2"/>
  <c r="R247" i="2"/>
  <c r="O37" i="2"/>
  <c r="R377" i="2"/>
  <c r="O210" i="2"/>
  <c r="O7" i="2"/>
  <c r="R9" i="2"/>
  <c r="R219" i="2"/>
  <c r="R238" i="2"/>
  <c r="AF238" i="2" s="1"/>
  <c r="O139" i="2"/>
  <c r="R141" i="2"/>
  <c r="O224" i="2"/>
  <c r="R205" i="2"/>
  <c r="O35" i="2"/>
  <c r="R37" i="2"/>
  <c r="R93" i="2"/>
  <c r="R230" i="2"/>
  <c r="O136" i="2"/>
  <c r="O80" i="2"/>
  <c r="R31" i="2"/>
  <c r="R224" i="2"/>
  <c r="R137" i="2"/>
  <c r="O131" i="2"/>
  <c r="O9" i="2"/>
  <c r="O214" i="2"/>
  <c r="R130" i="2"/>
  <c r="R235" i="2"/>
  <c r="O134" i="2"/>
  <c r="O216" i="2"/>
  <c r="O219" i="2"/>
  <c r="R119" i="2"/>
  <c r="R139" i="2"/>
  <c r="R81" i="2"/>
  <c r="R32" i="2"/>
  <c r="R122" i="2"/>
  <c r="R243" i="2"/>
  <c r="R85" i="2"/>
  <c r="R208" i="2"/>
  <c r="R253" i="2"/>
  <c r="R90" i="2"/>
  <c r="R229" i="2"/>
  <c r="R74" i="2"/>
  <c r="R134" i="2"/>
  <c r="R95" i="2"/>
  <c r="R221" i="2"/>
  <c r="R356" i="2"/>
  <c r="O141" i="2"/>
  <c r="R103" i="2"/>
  <c r="O77" i="2"/>
  <c r="O137" i="2"/>
  <c r="R116" i="2"/>
  <c r="R126" i="2"/>
  <c r="R251" i="2"/>
  <c r="R68" i="2"/>
  <c r="O70" i="2"/>
  <c r="R236" i="2"/>
  <c r="O142" i="2"/>
  <c r="O352" i="2"/>
  <c r="R358" i="2"/>
  <c r="R206" i="2"/>
  <c r="O208" i="2"/>
  <c r="R250" i="2"/>
  <c r="R92" i="2"/>
  <c r="R353" i="2"/>
  <c r="R70" i="2"/>
  <c r="R100" i="2"/>
  <c r="O221" i="2"/>
  <c r="R77" i="2"/>
  <c r="R225" i="2"/>
  <c r="O85" i="2"/>
  <c r="O206" i="2"/>
  <c r="R69" i="2"/>
  <c r="R232" i="2"/>
  <c r="R234" i="2"/>
  <c r="R212" i="2"/>
  <c r="R222" i="2"/>
  <c r="R244" i="2"/>
  <c r="R355" i="2"/>
  <c r="R240" i="2"/>
  <c r="O81" i="2"/>
  <c r="R123" i="2"/>
  <c r="R218" i="2"/>
  <c r="R104" i="2"/>
  <c r="R113" i="2"/>
  <c r="R88" i="2"/>
  <c r="R72" i="2"/>
  <c r="R10" i="2"/>
  <c r="O212" i="2"/>
  <c r="R98" i="2"/>
  <c r="R361" i="2"/>
  <c r="R379" i="2"/>
  <c r="AF379" i="2" s="1"/>
  <c r="R127" i="2"/>
  <c r="R107" i="2"/>
  <c r="R352" i="2"/>
  <c r="R255" i="2"/>
  <c r="O353" i="2"/>
  <c r="R115" i="2"/>
  <c r="R76" i="2"/>
  <c r="R6" i="2"/>
  <c r="R220" i="2"/>
  <c r="R101" i="2"/>
  <c r="R142" i="2"/>
  <c r="O218" i="2"/>
  <c r="R13" i="2"/>
  <c r="O76" i="2"/>
  <c r="R248" i="2"/>
  <c r="R5" i="2"/>
  <c r="R112" i="2"/>
  <c r="R111" i="2"/>
  <c r="R114" i="2"/>
  <c r="R11" i="2"/>
  <c r="R12" i="2"/>
  <c r="R354" i="2"/>
  <c r="R226" i="2"/>
  <c r="R211" i="2"/>
  <c r="S1248" i="2"/>
  <c r="AI1248" i="2" s="1"/>
  <c r="P1244" i="2"/>
  <c r="S1240" i="2"/>
  <c r="AI1240" i="2" s="1"/>
  <c r="S1253" i="2"/>
  <c r="AI1253" i="2" s="1"/>
  <c r="S1241" i="2"/>
  <c r="AI1241" i="2" s="1"/>
  <c r="S1305" i="2"/>
  <c r="AI1305" i="2" s="1"/>
  <c r="S1254" i="2"/>
  <c r="AI1254" i="2" s="1"/>
  <c r="S1263" i="2"/>
  <c r="AI1263" i="2" s="1"/>
  <c r="S1243" i="2"/>
  <c r="AI1243" i="2" s="1"/>
  <c r="P1240" i="2"/>
  <c r="P1246" i="2"/>
  <c r="P1315" i="2"/>
  <c r="P1316" i="2"/>
  <c r="S1252" i="2"/>
  <c r="AI1252" i="2" s="1"/>
  <c r="S1301" i="2"/>
  <c r="AI1301" i="2" s="1"/>
  <c r="S1235" i="2"/>
  <c r="P1265" i="2"/>
  <c r="S1238" i="2"/>
  <c r="AI1238" i="2" s="1"/>
  <c r="P1243" i="2"/>
  <c r="P1305" i="2"/>
  <c r="S1302" i="2"/>
  <c r="AI1302" i="2" s="1"/>
  <c r="P1307" i="2"/>
  <c r="P1308" i="2"/>
  <c r="S1237" i="2"/>
  <c r="AI1237" i="2" s="1"/>
  <c r="S1308" i="2"/>
  <c r="AI1308" i="2" s="1"/>
  <c r="P1309" i="2"/>
  <c r="S1303" i="2"/>
  <c r="AI1303" i="2" s="1"/>
  <c r="S1319" i="2"/>
  <c r="AI1319" i="2" s="1"/>
  <c r="P1239" i="2"/>
  <c r="P1242" i="2"/>
  <c r="S1255" i="2"/>
  <c r="AI1255" i="2" s="1"/>
  <c r="P1263" i="2"/>
  <c r="S1249" i="2"/>
  <c r="AI1249" i="2" s="1"/>
  <c r="S1304" i="2"/>
  <c r="AI1304" i="2" s="1"/>
  <c r="P1251" i="2"/>
  <c r="P1306" i="2"/>
  <c r="S1265" i="2"/>
  <c r="AI1265" i="2" s="1"/>
  <c r="P1314" i="2"/>
  <c r="P1312" i="2"/>
  <c r="S1245" i="2"/>
  <c r="AI1245" i="2" s="1"/>
  <c r="S1239" i="2"/>
  <c r="P1247" i="2"/>
  <c r="S1242" i="2"/>
  <c r="AI1242" i="2" s="1"/>
  <c r="S1310" i="2"/>
  <c r="AI1310" i="2" s="1"/>
  <c r="S1250" i="2"/>
  <c r="S1306" i="2"/>
  <c r="AI1306" i="2" s="1"/>
  <c r="P1317" i="2"/>
  <c r="P1311" i="2"/>
  <c r="S1314" i="2"/>
  <c r="AI1314" i="2" s="1"/>
  <c r="P1250" i="2"/>
  <c r="P1310" i="2"/>
  <c r="S1313" i="2"/>
  <c r="AI1313" i="2" s="1"/>
  <c r="P1249" i="2"/>
  <c r="S1320" i="2"/>
  <c r="AI1320" i="2" s="1"/>
  <c r="S1318" i="2"/>
  <c r="AI1318" i="2" s="1"/>
  <c r="P1245" i="2"/>
  <c r="S1236" i="2"/>
  <c r="AI1236" i="2" s="1"/>
  <c r="S1247" i="2"/>
  <c r="AI1247" i="2" s="1"/>
  <c r="P1241" i="2"/>
  <c r="S1311" i="2"/>
  <c r="AI1311" i="2" s="1"/>
  <c r="S1251" i="2"/>
  <c r="AI1251" i="2" s="1"/>
  <c r="P1248" i="2"/>
  <c r="S1309" i="2"/>
  <c r="AI1309" i="2" s="1"/>
  <c r="S1307" i="2"/>
  <c r="AI1307" i="2" s="1"/>
  <c r="P1313" i="2"/>
  <c r="S1246" i="2"/>
  <c r="AI1246" i="2" s="1"/>
  <c r="S1317" i="2"/>
  <c r="AI1317" i="2" s="1"/>
  <c r="S1315" i="2"/>
  <c r="AI1315" i="2" s="1"/>
  <c r="S1316" i="2"/>
  <c r="AI1316" i="2" s="1"/>
  <c r="S1244" i="2"/>
  <c r="S1312" i="2"/>
  <c r="AI1312" i="2" s="1"/>
  <c r="S44" i="2"/>
  <c r="S48" i="2"/>
  <c r="P48" i="2"/>
  <c r="S41" i="2"/>
  <c r="S1219" i="2"/>
  <c r="S1228" i="2"/>
  <c r="S1221" i="2"/>
  <c r="S1229" i="2"/>
  <c r="S1220" i="2"/>
  <c r="P1228" i="2"/>
  <c r="P1229" i="2"/>
  <c r="S1233" i="2"/>
  <c r="P1226" i="2"/>
  <c r="P1232" i="2"/>
  <c r="S1218" i="2"/>
  <c r="S1226" i="2"/>
  <c r="S1232" i="2"/>
  <c r="S1222" i="2"/>
  <c r="S1225" i="2"/>
  <c r="S1231" i="2"/>
  <c r="S1224" i="2"/>
  <c r="S1217" i="2"/>
  <c r="P1227" i="2"/>
  <c r="S1227" i="2"/>
  <c r="P1230" i="2"/>
  <c r="S1223" i="2"/>
  <c r="S1230" i="2"/>
  <c r="S1234" i="2"/>
  <c r="S203" i="2"/>
  <c r="S270" i="2"/>
  <c r="S185" i="2"/>
  <c r="S258" i="2"/>
  <c r="P203" i="2"/>
  <c r="S262" i="2"/>
  <c r="S272" i="2"/>
  <c r="S273" i="2"/>
  <c r="P262" i="2"/>
  <c r="S267" i="2"/>
  <c r="S259" i="2"/>
  <c r="S256" i="2"/>
  <c r="S268" i="2"/>
  <c r="S264" i="2"/>
  <c r="S266" i="2"/>
  <c r="S271" i="2"/>
  <c r="P264" i="2"/>
  <c r="P266" i="2"/>
  <c r="S269" i="2"/>
  <c r="S260" i="2"/>
  <c r="S263" i="2"/>
  <c r="S274" i="2"/>
  <c r="P261" i="2"/>
  <c r="S257" i="2"/>
  <c r="P263" i="2"/>
  <c r="S265" i="2"/>
  <c r="S261" i="2"/>
  <c r="P978" i="2"/>
  <c r="S1158" i="2"/>
  <c r="P196" i="2"/>
  <c r="S798" i="2"/>
  <c r="S975" i="2"/>
  <c r="S1106" i="2"/>
  <c r="S848" i="2"/>
  <c r="S970" i="2"/>
  <c r="S1150" i="2"/>
  <c r="S823" i="2"/>
  <c r="S1077" i="2"/>
  <c r="S807" i="2"/>
  <c r="S1116" i="2"/>
  <c r="S987" i="2"/>
  <c r="S801" i="2"/>
  <c r="S1130" i="2"/>
  <c r="S1056" i="2"/>
  <c r="P1106" i="2"/>
  <c r="P796" i="2"/>
  <c r="S311" i="2"/>
  <c r="S815" i="2"/>
  <c r="P988" i="2"/>
  <c r="P793" i="2"/>
  <c r="S1061" i="2"/>
  <c r="S951" i="2"/>
  <c r="S939" i="2"/>
  <c r="S833" i="2"/>
  <c r="S299" i="2"/>
  <c r="S952" i="2"/>
  <c r="S1159" i="2"/>
  <c r="S193" i="2"/>
  <c r="S194" i="2"/>
  <c r="P195" i="2"/>
  <c r="P1056" i="2"/>
  <c r="S1088" i="2"/>
  <c r="S797" i="2"/>
  <c r="S198" i="2"/>
  <c r="S846" i="2"/>
  <c r="P1054" i="2"/>
  <c r="S199" i="2"/>
  <c r="S182" i="2"/>
  <c r="S1122" i="2"/>
  <c r="S294" i="2"/>
  <c r="S312" i="2"/>
  <c r="P1149" i="2"/>
  <c r="P1151" i="2"/>
  <c r="S1062" i="2"/>
  <c r="S860" i="2"/>
  <c r="P1144" i="2"/>
  <c r="S937" i="2"/>
  <c r="S811" i="2"/>
  <c r="S189" i="2"/>
  <c r="S845" i="2"/>
  <c r="S1059" i="2"/>
  <c r="P981" i="2"/>
  <c r="S1114" i="2"/>
  <c r="S1142" i="2"/>
  <c r="S1078" i="2"/>
  <c r="S822" i="2"/>
  <c r="P832" i="2"/>
  <c r="P194" i="2"/>
  <c r="S941" i="2"/>
  <c r="P198" i="2"/>
  <c r="S943" i="2"/>
  <c r="S1054" i="2"/>
  <c r="P202" i="2"/>
  <c r="S1151" i="2"/>
  <c r="S840" i="2"/>
  <c r="S1144" i="2"/>
  <c r="P1082" i="2"/>
  <c r="P987" i="2"/>
  <c r="S809" i="2"/>
  <c r="P1142" i="2"/>
  <c r="S1152" i="2"/>
  <c r="S969" i="2"/>
  <c r="S977" i="2"/>
  <c r="S1137" i="2"/>
  <c r="S195" i="2"/>
  <c r="P942" i="2"/>
  <c r="S1086" i="2"/>
  <c r="P797" i="2"/>
  <c r="S1174" i="2"/>
  <c r="S996" i="2"/>
  <c r="S992" i="2"/>
  <c r="S1124" i="2"/>
  <c r="S200" i="2"/>
  <c r="S814" i="2"/>
  <c r="P1083" i="2"/>
  <c r="S1053" i="2"/>
  <c r="S956" i="2"/>
  <c r="S1076" i="2"/>
  <c r="S1112" i="2"/>
  <c r="S976" i="2"/>
  <c r="S1128" i="2"/>
  <c r="S974" i="2"/>
  <c r="S1155" i="2"/>
  <c r="S1085" i="2"/>
  <c r="S310" i="2"/>
  <c r="P943" i="2"/>
  <c r="P200" i="2"/>
  <c r="S971" i="2"/>
  <c r="S202" i="2"/>
  <c r="S1149" i="2"/>
  <c r="S1083" i="2"/>
  <c r="S955" i="2"/>
  <c r="S935" i="2"/>
  <c r="S931" i="2"/>
  <c r="S1139" i="2"/>
  <c r="P831" i="2"/>
  <c r="P1108" i="2"/>
  <c r="S1173" i="2"/>
  <c r="S1102" i="2"/>
  <c r="P1098" i="2"/>
  <c r="S859" i="2"/>
  <c r="S932" i="2"/>
  <c r="S857" i="2"/>
  <c r="S946" i="2"/>
  <c r="P193" i="2"/>
  <c r="S1046" i="2"/>
  <c r="S308" i="2"/>
  <c r="S1055" i="2"/>
  <c r="S994" i="2"/>
  <c r="S1084" i="2"/>
  <c r="P1101" i="2"/>
  <c r="S1098" i="2"/>
  <c r="S1160" i="2"/>
  <c r="S1096" i="2"/>
  <c r="P300" i="2"/>
  <c r="S1057" i="2"/>
  <c r="S1140" i="2"/>
  <c r="S831" i="2"/>
  <c r="S1138" i="2"/>
  <c r="S942" i="2"/>
  <c r="S1087" i="2"/>
  <c r="S818" i="2"/>
  <c r="P1055" i="2"/>
  <c r="S993" i="2"/>
  <c r="S960" i="2"/>
  <c r="P1102" i="2"/>
  <c r="S934" i="2"/>
  <c r="S1104" i="2"/>
  <c r="S843" i="2"/>
  <c r="S933" i="2"/>
  <c r="S1097" i="2"/>
  <c r="P946" i="2"/>
  <c r="P1057" i="2"/>
  <c r="S1110" i="2"/>
  <c r="S850" i="2"/>
  <c r="S799" i="2"/>
  <c r="S201" i="2"/>
  <c r="S989" i="2"/>
  <c r="P947" i="2"/>
  <c r="S1171" i="2"/>
  <c r="S1101" i="2"/>
  <c r="S813" i="2"/>
  <c r="P1104" i="2"/>
  <c r="P192" i="2"/>
  <c r="S967" i="2"/>
  <c r="S1166" i="2"/>
  <c r="P1097" i="2"/>
  <c r="S1060" i="2"/>
  <c r="S1111" i="2"/>
  <c r="P799" i="2"/>
  <c r="S1108" i="2"/>
  <c r="S178" i="2"/>
  <c r="P1109" i="2"/>
  <c r="S847" i="2"/>
  <c r="S1154" i="2"/>
  <c r="S851" i="2"/>
  <c r="S1089" i="2"/>
  <c r="S816" i="2"/>
  <c r="S972" i="2"/>
  <c r="S1153" i="2"/>
  <c r="S304" i="2"/>
  <c r="S192" i="2"/>
  <c r="P983" i="2"/>
  <c r="S802" i="2"/>
  <c r="S926" i="2"/>
  <c r="S819" i="2"/>
  <c r="S1135" i="2"/>
  <c r="S1125" i="2"/>
  <c r="P304" i="2"/>
  <c r="P201" i="2"/>
  <c r="S1170" i="2"/>
  <c r="S1121" i="2"/>
  <c r="S945" i="2"/>
  <c r="S821" i="2"/>
  <c r="S1109" i="2"/>
  <c r="S1127" i="2"/>
  <c r="S947" i="2"/>
  <c r="S1168" i="2"/>
  <c r="S1052" i="2"/>
  <c r="S936" i="2"/>
  <c r="P1148" i="2"/>
  <c r="S1051" i="2"/>
  <c r="S984" i="2"/>
  <c r="S1080" i="2"/>
  <c r="P1099" i="2"/>
  <c r="S1169" i="2"/>
  <c r="S1064" i="2"/>
  <c r="S305" i="2"/>
  <c r="P945" i="2"/>
  <c r="S1090" i="2"/>
  <c r="S307" i="2"/>
  <c r="S176" i="2"/>
  <c r="S1136" i="2"/>
  <c r="S1126" i="2"/>
  <c r="S179" i="2"/>
  <c r="S1156" i="2"/>
  <c r="P1153" i="2"/>
  <c r="S180" i="2"/>
  <c r="S1131" i="2"/>
  <c r="S844" i="2"/>
  <c r="S1119" i="2"/>
  <c r="S1165" i="2"/>
  <c r="S1103" i="2"/>
  <c r="P1080" i="2"/>
  <c r="S962" i="2"/>
  <c r="S301" i="2"/>
  <c r="S1047" i="2"/>
  <c r="P197" i="2"/>
  <c r="S828" i="2"/>
  <c r="S973" i="2"/>
  <c r="S181" i="2"/>
  <c r="S803" i="2"/>
  <c r="S957" i="2"/>
  <c r="S296" i="2"/>
  <c r="S991" i="2"/>
  <c r="S837" i="2"/>
  <c r="P1103" i="2"/>
  <c r="S1099" i="2"/>
  <c r="S950" i="2"/>
  <c r="S949" i="2"/>
  <c r="S959" i="2"/>
  <c r="S953" i="2"/>
  <c r="S1091" i="2"/>
  <c r="S306" i="2"/>
  <c r="S830" i="2"/>
  <c r="P944" i="2"/>
  <c r="S309" i="2"/>
  <c r="S197" i="2"/>
  <c r="S1081" i="2"/>
  <c r="P795" i="2"/>
  <c r="S842" i="2"/>
  <c r="S297" i="2"/>
  <c r="P984" i="2"/>
  <c r="S983" i="2"/>
  <c r="S1095" i="2"/>
  <c r="P301" i="2"/>
  <c r="S958" i="2"/>
  <c r="S298" i="2"/>
  <c r="S805" i="2"/>
  <c r="P949" i="2"/>
  <c r="P830" i="2"/>
  <c r="S995" i="2"/>
  <c r="S196" i="2"/>
  <c r="P828" i="2"/>
  <c r="S961" i="2"/>
  <c r="S1134" i="2"/>
  <c r="S849" i="2"/>
  <c r="S796" i="2"/>
  <c r="S940" i="2"/>
  <c r="S853" i="2"/>
  <c r="S990" i="2"/>
  <c r="S1167" i="2"/>
  <c r="S808" i="2"/>
  <c r="S1164" i="2"/>
  <c r="S1092" i="2"/>
  <c r="S295" i="2"/>
  <c r="P950" i="2"/>
  <c r="S1162" i="2"/>
  <c r="S852" i="2"/>
  <c r="S978" i="2"/>
  <c r="S979" i="2"/>
  <c r="S1129" i="2"/>
  <c r="S829" i="2"/>
  <c r="S1045" i="2"/>
  <c r="S817" i="2"/>
  <c r="S820" i="2"/>
  <c r="S1105" i="2"/>
  <c r="P1081" i="2"/>
  <c r="P1150" i="2"/>
  <c r="S183" i="2"/>
  <c r="S795" i="2"/>
  <c r="S793" i="2"/>
  <c r="S861" i="2"/>
  <c r="S839" i="2"/>
  <c r="S1148" i="2"/>
  <c r="S965" i="2"/>
  <c r="S184" i="2"/>
  <c r="S1120" i="2"/>
  <c r="P833" i="2"/>
  <c r="P299" i="2"/>
  <c r="S929" i="2"/>
  <c r="S1123" i="2"/>
  <c r="S997" i="2"/>
  <c r="S1157" i="2"/>
  <c r="S944" i="2"/>
  <c r="S1107" i="2"/>
  <c r="S1133" i="2"/>
  <c r="P199" i="2"/>
  <c r="S812" i="2"/>
  <c r="S1172" i="2"/>
  <c r="S838" i="2"/>
  <c r="P951" i="2"/>
  <c r="S963" i="2"/>
  <c r="S836" i="2"/>
  <c r="S1049" i="2"/>
  <c r="S810" i="2"/>
  <c r="S855" i="2"/>
  <c r="P1100" i="2"/>
  <c r="S1132" i="2"/>
  <c r="S1146" i="2"/>
  <c r="P1145" i="2"/>
  <c r="S948" i="2"/>
  <c r="P979" i="2"/>
  <c r="P798" i="2"/>
  <c r="S300" i="2"/>
  <c r="P1143" i="2"/>
  <c r="S841" i="2"/>
  <c r="S1063" i="2"/>
  <c r="S804" i="2"/>
  <c r="P948" i="2"/>
  <c r="P191" i="2"/>
  <c r="P1141" i="2"/>
  <c r="S1113" i="2"/>
  <c r="S928" i="2"/>
  <c r="S988" i="2"/>
  <c r="S968" i="2"/>
  <c r="P1058" i="2"/>
  <c r="P985" i="2"/>
  <c r="S835" i="2"/>
  <c r="S1058" i="2"/>
  <c r="S1082" i="2"/>
  <c r="S806" i="2"/>
  <c r="S1141" i="2"/>
  <c r="S303" i="2"/>
  <c r="S832" i="2"/>
  <c r="S985" i="2"/>
  <c r="S964" i="2"/>
  <c r="S930" i="2"/>
  <c r="S986" i="2"/>
  <c r="P986" i="2"/>
  <c r="S1115" i="2"/>
  <c r="S1094" i="2"/>
  <c r="S1050" i="2"/>
  <c r="S927" i="2"/>
  <c r="S1100" i="2"/>
  <c r="S800" i="2"/>
  <c r="S827" i="2"/>
  <c r="P1107" i="2"/>
  <c r="S966" i="2"/>
  <c r="S1118" i="2"/>
  <c r="S854" i="2"/>
  <c r="P1105" i="2"/>
  <c r="S862" i="2"/>
  <c r="S1147" i="2"/>
  <c r="S190" i="2"/>
  <c r="S980" i="2"/>
  <c r="S1093" i="2"/>
  <c r="P980" i="2"/>
  <c r="S1048" i="2"/>
  <c r="S191" i="2"/>
  <c r="P982" i="2"/>
  <c r="P1147" i="2"/>
  <c r="S1117" i="2"/>
  <c r="P794" i="2"/>
  <c r="S858" i="2"/>
  <c r="S826" i="2"/>
  <c r="S1143" i="2"/>
  <c r="S794" i="2"/>
  <c r="S981" i="2"/>
  <c r="P1152" i="2"/>
  <c r="P834" i="2"/>
  <c r="P1146" i="2"/>
  <c r="S982" i="2"/>
  <c r="S302" i="2"/>
  <c r="S834" i="2"/>
  <c r="S1163" i="2"/>
  <c r="S938" i="2"/>
  <c r="P952" i="2"/>
  <c r="S824" i="2"/>
  <c r="S1161" i="2"/>
  <c r="S1079" i="2"/>
  <c r="P829" i="2"/>
  <c r="S825" i="2"/>
  <c r="P302" i="2"/>
  <c r="S187" i="2"/>
  <c r="S954" i="2"/>
  <c r="S1145" i="2"/>
  <c r="S856" i="2"/>
  <c r="P47" i="2"/>
  <c r="S47" i="2"/>
  <c r="S46" i="2"/>
  <c r="P46" i="2"/>
  <c r="S40" i="2"/>
  <c r="S43" i="2"/>
  <c r="P45" i="2"/>
  <c r="S39" i="2"/>
  <c r="S17" i="2"/>
  <c r="S869" i="2"/>
  <c r="AI869" i="2" s="1"/>
  <c r="S38" i="2"/>
  <c r="S45" i="2"/>
  <c r="S42" i="2"/>
  <c r="S757" i="2"/>
  <c r="S755" i="2"/>
  <c r="S756" i="2"/>
  <c r="S458" i="2"/>
  <c r="S695" i="2"/>
  <c r="S480" i="2"/>
  <c r="AI480" i="2" s="1"/>
  <c r="S584" i="2"/>
  <c r="P462" i="2"/>
  <c r="S665" i="2"/>
  <c r="S568" i="2"/>
  <c r="S548" i="2"/>
  <c r="AI548" i="2" s="1"/>
  <c r="S546" i="2"/>
  <c r="S589" i="2"/>
  <c r="S449" i="2"/>
  <c r="S470" i="2"/>
  <c r="S490" i="2"/>
  <c r="P671" i="2"/>
  <c r="S427" i="2"/>
  <c r="S577" i="2"/>
  <c r="S579" i="2"/>
  <c r="S555" i="2"/>
  <c r="S621" i="2"/>
  <c r="S662" i="2"/>
  <c r="S499" i="2"/>
  <c r="P558" i="2"/>
  <c r="P463" i="2"/>
  <c r="S457" i="2"/>
  <c r="P674" i="2"/>
  <c r="S468" i="2"/>
  <c r="AI468" i="2" s="1"/>
  <c r="S612" i="2"/>
  <c r="P466" i="2"/>
  <c r="S551" i="2"/>
  <c r="S673" i="2"/>
  <c r="S692" i="2"/>
  <c r="P467" i="2"/>
  <c r="S693" i="2"/>
  <c r="S660" i="2"/>
  <c r="S479" i="2"/>
  <c r="S454" i="2"/>
  <c r="S522" i="2"/>
  <c r="S586" i="2"/>
  <c r="AI586" i="2" s="1"/>
  <c r="S425" i="2"/>
  <c r="S591" i="2"/>
  <c r="P672" i="2"/>
  <c r="S497" i="2"/>
  <c r="P491" i="2"/>
  <c r="P693" i="2"/>
  <c r="S671" i="2"/>
  <c r="S485" i="2"/>
  <c r="P697" i="2"/>
  <c r="S575" i="2"/>
  <c r="S580" i="2"/>
  <c r="S561" i="2"/>
  <c r="S536" i="2"/>
  <c r="AI536" i="2" s="1"/>
  <c r="S623" i="2"/>
  <c r="S558" i="2"/>
  <c r="AI558" i="2" s="1"/>
  <c r="S615" i="2"/>
  <c r="S463" i="2"/>
  <c r="S545" i="2"/>
  <c r="S506" i="2"/>
  <c r="S635" i="2"/>
  <c r="P423" i="2"/>
  <c r="P488" i="2"/>
  <c r="S550" i="2"/>
  <c r="S467" i="2"/>
  <c r="S491" i="2"/>
  <c r="S526" i="2"/>
  <c r="P555" i="2"/>
  <c r="P460" i="2"/>
  <c r="S462" i="2"/>
  <c r="S556" i="2"/>
  <c r="S464" i="2"/>
  <c r="AI464" i="2" s="1"/>
  <c r="S524" i="2"/>
  <c r="AI524" i="2" s="1"/>
  <c r="P586" i="2"/>
  <c r="S513" i="2"/>
  <c r="S630" i="2"/>
  <c r="AI630" i="2" s="1"/>
  <c r="P633" i="2"/>
  <c r="S423" i="2"/>
  <c r="S633" i="2"/>
  <c r="P490" i="2"/>
  <c r="S632" i="2"/>
  <c r="S453" i="2"/>
  <c r="S676" i="2"/>
  <c r="S679" i="2"/>
  <c r="S559" i="2"/>
  <c r="S694" i="2"/>
  <c r="P419" i="2"/>
  <c r="S481" i="2"/>
  <c r="S563" i="2"/>
  <c r="S664" i="2"/>
  <c r="S543" i="2"/>
  <c r="S605" i="2"/>
  <c r="P556" i="2"/>
  <c r="S465" i="2"/>
  <c r="S690" i="2"/>
  <c r="S437" i="2"/>
  <c r="S488" i="2"/>
  <c r="AI488" i="2" s="1"/>
  <c r="S431" i="2"/>
  <c r="S494" i="2"/>
  <c r="S604" i="2"/>
  <c r="P464" i="2"/>
  <c r="P465" i="2"/>
  <c r="S667" i="2"/>
  <c r="S516" i="2"/>
  <c r="AI516" i="2" s="1"/>
  <c r="S547" i="2"/>
  <c r="S570" i="2"/>
  <c r="AI570" i="2" s="1"/>
  <c r="P630" i="2"/>
  <c r="P472" i="2"/>
  <c r="S527" i="2"/>
  <c r="S511" i="2"/>
  <c r="S637" i="2"/>
  <c r="S697" i="2"/>
  <c r="S540" i="2"/>
  <c r="AI540" i="2" s="1"/>
  <c r="S419" i="2"/>
  <c r="S501" i="2"/>
  <c r="S625" i="2"/>
  <c r="S534" i="2"/>
  <c r="S509" i="2"/>
  <c r="P427" i="2"/>
  <c r="S569" i="2"/>
  <c r="S594" i="2"/>
  <c r="AI594" i="2" s="1"/>
  <c r="S616" i="2"/>
  <c r="S562" i="2"/>
  <c r="AI562" i="2" s="1"/>
  <c r="S542" i="2"/>
  <c r="S666" i="2"/>
  <c r="P570" i="2"/>
  <c r="S588" i="2"/>
  <c r="S474" i="2"/>
  <c r="P598" i="2"/>
  <c r="S678" i="2"/>
  <c r="S600" i="2"/>
  <c r="S581" i="2"/>
  <c r="S460" i="2"/>
  <c r="AI460" i="2" s="1"/>
  <c r="S441" i="2"/>
  <c r="S483" i="2"/>
  <c r="S565" i="2"/>
  <c r="S537" i="2"/>
  <c r="S668" i="2"/>
  <c r="S611" i="2"/>
  <c r="P474" i="2"/>
  <c r="S572" i="2"/>
  <c r="P594" i="2"/>
  <c r="S512" i="2"/>
  <c r="AI512" i="2" s="1"/>
  <c r="S661" i="2"/>
  <c r="S477" i="2"/>
  <c r="S498" i="2"/>
  <c r="P421" i="2"/>
  <c r="S435" i="2"/>
  <c r="S544" i="2"/>
  <c r="AI544" i="2" s="1"/>
  <c r="S609" i="2"/>
  <c r="S508" i="2"/>
  <c r="AI508" i="2" s="1"/>
  <c r="S445" i="2"/>
  <c r="S691" i="2"/>
  <c r="S525" i="2"/>
  <c r="S510" i="2"/>
  <c r="P632" i="2"/>
  <c r="S598" i="2"/>
  <c r="AI598" i="2" s="1"/>
  <c r="S576" i="2"/>
  <c r="S619" i="2"/>
  <c r="S518" i="2"/>
  <c r="S478" i="2"/>
  <c r="P562" i="2"/>
  <c r="S535" i="2"/>
  <c r="S583" i="2"/>
  <c r="S421" i="2"/>
  <c r="S607" i="2"/>
  <c r="S447" i="2"/>
  <c r="S472" i="2"/>
  <c r="AI472" i="2" s="1"/>
  <c r="S689" i="2"/>
  <c r="S529" i="2"/>
  <c r="S698" i="2"/>
  <c r="S620" i="2"/>
  <c r="S519" i="2"/>
  <c r="S624" i="2"/>
  <c r="S484" i="2"/>
  <c r="AI484" i="2" s="1"/>
  <c r="S596" i="2"/>
  <c r="S590" i="2"/>
  <c r="AI590" i="2" s="1"/>
  <c r="S469" i="2"/>
  <c r="S515" i="2"/>
  <c r="S451" i="2"/>
  <c r="S593" i="2"/>
  <c r="S450" i="2"/>
  <c r="S595" i="2"/>
  <c r="S573" i="2"/>
  <c r="P485" i="2"/>
  <c r="S617" i="2"/>
  <c r="S636" i="2"/>
  <c r="S452" i="2"/>
  <c r="AI452" i="2" s="1"/>
  <c r="S521" i="2"/>
  <c r="S514" i="2"/>
  <c r="P631" i="2"/>
  <c r="S446" i="2"/>
  <c r="S608" i="2"/>
  <c r="S531" i="2"/>
  <c r="S675" i="2"/>
  <c r="P425" i="2"/>
  <c r="S613" i="2"/>
  <c r="S574" i="2"/>
  <c r="AI574" i="2" s="1"/>
  <c r="S500" i="2"/>
  <c r="AI500" i="2" s="1"/>
  <c r="S564" i="2"/>
  <c r="P484" i="2"/>
  <c r="P590" i="2"/>
  <c r="S455" i="2"/>
  <c r="S628" i="2"/>
  <c r="S487" i="2"/>
  <c r="S448" i="2"/>
  <c r="AI448" i="2" s="1"/>
  <c r="P469" i="2"/>
  <c r="P473" i="2"/>
  <c r="S495" i="2"/>
  <c r="S517" i="2"/>
  <c r="S557" i="2"/>
  <c r="S601" i="2"/>
  <c r="S482" i="2"/>
  <c r="S503" i="2"/>
  <c r="P496" i="2"/>
  <c r="S631" i="2"/>
  <c r="P487" i="2"/>
  <c r="S592" i="2"/>
  <c r="S456" i="2"/>
  <c r="AI456" i="2" s="1"/>
  <c r="P475" i="2"/>
  <c r="S507" i="2"/>
  <c r="S489" i="2"/>
  <c r="S492" i="2"/>
  <c r="AI492" i="2" s="1"/>
  <c r="P574" i="2"/>
  <c r="S439" i="2"/>
  <c r="S520" i="2"/>
  <c r="AI520" i="2" s="1"/>
  <c r="P582" i="2"/>
  <c r="S599" i="2"/>
  <c r="P380" i="2"/>
  <c r="P480" i="2"/>
  <c r="S461" i="2"/>
  <c r="S696" i="2"/>
  <c r="S502" i="2"/>
  <c r="S532" i="2"/>
  <c r="AI532" i="2" s="1"/>
  <c r="P578" i="2"/>
  <c r="S443" i="2"/>
  <c r="S566" i="2"/>
  <c r="AI566" i="2" s="1"/>
  <c r="S674" i="2"/>
  <c r="S486" i="2"/>
  <c r="S528" i="2"/>
  <c r="AI528" i="2" s="1"/>
  <c r="S670" i="2"/>
  <c r="S433" i="2"/>
  <c r="S567" i="2"/>
  <c r="S541" i="2"/>
  <c r="S496" i="2"/>
  <c r="AI496" i="2" s="1"/>
  <c r="S466" i="2"/>
  <c r="S597" i="2"/>
  <c r="S560" i="2"/>
  <c r="P557" i="2"/>
  <c r="S539" i="2"/>
  <c r="S538" i="2"/>
  <c r="S380" i="2"/>
  <c r="P461" i="2"/>
  <c r="S603" i="2"/>
  <c r="P696" i="2"/>
  <c r="S578" i="2"/>
  <c r="AI578" i="2" s="1"/>
  <c r="S523" i="2"/>
  <c r="S585" i="2"/>
  <c r="S504" i="2"/>
  <c r="AI504" i="2" s="1"/>
  <c r="S627" i="2"/>
  <c r="S505" i="2"/>
  <c r="P486" i="2"/>
  <c r="S629" i="2"/>
  <c r="S476" i="2"/>
  <c r="AI476" i="2" s="1"/>
  <c r="S587" i="2"/>
  <c r="P489" i="2"/>
  <c r="S571" i="2"/>
  <c r="S530" i="2"/>
  <c r="S533" i="2"/>
  <c r="S669" i="2"/>
  <c r="S471" i="2"/>
  <c r="S659" i="2"/>
  <c r="S663" i="2"/>
  <c r="P476" i="2"/>
  <c r="S688" i="2"/>
  <c r="S677" i="2"/>
  <c r="S473" i="2"/>
  <c r="P492" i="2"/>
  <c r="S475" i="2"/>
  <c r="S459" i="2"/>
  <c r="S582" i="2"/>
  <c r="AI582" i="2" s="1"/>
  <c r="S493" i="2"/>
  <c r="S444" i="2"/>
  <c r="AI444" i="2" s="1"/>
  <c r="P566" i="2"/>
  <c r="P470" i="2"/>
  <c r="P471" i="2"/>
  <c r="P673" i="2"/>
  <c r="S672" i="2"/>
  <c r="S549" i="2"/>
  <c r="S415" i="2"/>
  <c r="S387" i="2"/>
  <c r="S391" i="2"/>
  <c r="S395" i="2"/>
  <c r="P403" i="2"/>
  <c r="S401" i="2"/>
  <c r="S393" i="2"/>
  <c r="P391" i="2"/>
  <c r="AI402" i="2"/>
  <c r="S411" i="2"/>
  <c r="S413" i="2"/>
  <c r="S407" i="2"/>
  <c r="S389" i="2"/>
  <c r="P401" i="2"/>
  <c r="P389" i="2"/>
  <c r="P399" i="2"/>
  <c r="S384" i="2"/>
  <c r="S399" i="2"/>
  <c r="P384" i="2"/>
  <c r="S417" i="2"/>
  <c r="S397" i="2"/>
  <c r="S403" i="2"/>
  <c r="P397" i="2"/>
  <c r="S409" i="2"/>
  <c r="S96" i="2"/>
  <c r="S220" i="2"/>
  <c r="P359" i="2"/>
  <c r="S79" i="2"/>
  <c r="P222" i="2"/>
  <c r="S362" i="2"/>
  <c r="AI362" i="2" s="1"/>
  <c r="S105" i="2"/>
  <c r="P209" i="2"/>
  <c r="P8" i="2"/>
  <c r="P211" i="2"/>
  <c r="S10" i="2"/>
  <c r="S352" i="2"/>
  <c r="S36" i="2"/>
  <c r="P135" i="2"/>
  <c r="S118" i="2"/>
  <c r="S120" i="2"/>
  <c r="S82" i="2"/>
  <c r="P142" i="2"/>
  <c r="P218" i="2"/>
  <c r="S124" i="2"/>
  <c r="S245" i="2"/>
  <c r="S84" i="2"/>
  <c r="S379" i="2"/>
  <c r="S76" i="2"/>
  <c r="S209" i="2"/>
  <c r="S132" i="2"/>
  <c r="P352" i="2"/>
  <c r="S135" i="2"/>
  <c r="S216" i="2"/>
  <c r="S101" i="2"/>
  <c r="S223" i="2"/>
  <c r="S204" i="2"/>
  <c r="S373" i="2"/>
  <c r="AI373" i="2" s="1"/>
  <c r="S4" i="2"/>
  <c r="S110" i="2"/>
  <c r="S133" i="2"/>
  <c r="S111" i="2"/>
  <c r="P215" i="2"/>
  <c r="P36" i="2"/>
  <c r="S11" i="2"/>
  <c r="P15" i="2"/>
  <c r="S357" i="2"/>
  <c r="P204" i="2"/>
  <c r="P84" i="2"/>
  <c r="S246" i="2"/>
  <c r="S13" i="2"/>
  <c r="P207" i="2"/>
  <c r="P76" i="2"/>
  <c r="S248" i="2"/>
  <c r="S228" i="2"/>
  <c r="S112" i="2"/>
  <c r="S351" i="2"/>
  <c r="S109" i="2"/>
  <c r="S381" i="2"/>
  <c r="S15" i="2"/>
  <c r="S30" i="2"/>
  <c r="P140" i="2"/>
  <c r="S359" i="2"/>
  <c r="S99" i="2"/>
  <c r="S83" i="2"/>
  <c r="P373" i="2"/>
  <c r="S8" i="2"/>
  <c r="S233" i="2"/>
  <c r="S89" i="2"/>
  <c r="S7" i="2"/>
  <c r="S213" i="2"/>
  <c r="P73" i="2"/>
  <c r="P133" i="2"/>
  <c r="S75" i="2"/>
  <c r="S138" i="2"/>
  <c r="S16" i="2"/>
  <c r="S121" i="2"/>
  <c r="P223" i="2"/>
  <c r="S14" i="2"/>
  <c r="S207" i="2"/>
  <c r="S249" i="2"/>
  <c r="S86" i="2"/>
  <c r="S108" i="2"/>
  <c r="S252" i="2"/>
  <c r="S94" i="2"/>
  <c r="P78" i="2"/>
  <c r="S140" i="2"/>
  <c r="S31" i="2"/>
  <c r="S242" i="2"/>
  <c r="S102" i="2"/>
  <c r="P83" i="2"/>
  <c r="P205" i="2"/>
  <c r="S106" i="2"/>
  <c r="P86" i="2"/>
  <c r="S73" i="2"/>
  <c r="S214" i="2"/>
  <c r="S378" i="2"/>
  <c r="S136" i="2"/>
  <c r="S80" i="2"/>
  <c r="S125" i="2"/>
  <c r="S217" i="2"/>
  <c r="S3" i="2"/>
  <c r="AI3" i="2" s="1"/>
  <c r="P7" i="2"/>
  <c r="S9" i="2"/>
  <c r="P214" i="2"/>
  <c r="S128" i="2"/>
  <c r="S215" i="2"/>
  <c r="S129" i="2"/>
  <c r="P138" i="2"/>
  <c r="S97" i="2"/>
  <c r="S243" i="2"/>
  <c r="S224" i="2"/>
  <c r="P14" i="2"/>
  <c r="S35" i="2"/>
  <c r="P37" i="2"/>
  <c r="S131" i="2"/>
  <c r="P16" i="2"/>
  <c r="S117" i="2"/>
  <c r="P139" i="2"/>
  <c r="P224" i="2"/>
  <c r="S205" i="2"/>
  <c r="P217" i="2"/>
  <c r="S237" i="2"/>
  <c r="S251" i="2"/>
  <c r="P213" i="2"/>
  <c r="S95" i="2"/>
  <c r="P216" i="2"/>
  <c r="P136" i="2"/>
  <c r="P80" i="2"/>
  <c r="S137" i="2"/>
  <c r="P206" i="2"/>
  <c r="P131" i="2"/>
  <c r="S253" i="2"/>
  <c r="P210" i="2"/>
  <c r="S90" i="2"/>
  <c r="P9" i="2"/>
  <c r="S130" i="2"/>
  <c r="S382" i="2"/>
  <c r="S134" i="2"/>
  <c r="S78" i="2"/>
  <c r="P219" i="2"/>
  <c r="S119" i="2"/>
  <c r="S221" i="2"/>
  <c r="S139" i="2"/>
  <c r="S360" i="2"/>
  <c r="S122" i="2"/>
  <c r="S103" i="2"/>
  <c r="P35" i="2"/>
  <c r="S227" i="2"/>
  <c r="S247" i="2"/>
  <c r="S87" i="2"/>
  <c r="S126" i="2"/>
  <c r="S377" i="2"/>
  <c r="S210" i="2"/>
  <c r="S74" i="2"/>
  <c r="S71" i="2"/>
  <c r="S100" i="2"/>
  <c r="S356" i="2"/>
  <c r="P141" i="2"/>
  <c r="P77" i="2"/>
  <c r="P137" i="2"/>
  <c r="S37" i="2"/>
  <c r="S91" i="2"/>
  <c r="S234" i="2"/>
  <c r="S68" i="2"/>
  <c r="S235" i="2"/>
  <c r="S353" i="2"/>
  <c r="P70" i="2"/>
  <c r="S236" i="2"/>
  <c r="S239" i="2"/>
  <c r="S33" i="2"/>
  <c r="S361" i="2"/>
  <c r="AI361" i="2" s="1"/>
  <c r="S34" i="2"/>
  <c r="S206" i="2"/>
  <c r="P377" i="2"/>
  <c r="S92" i="2"/>
  <c r="S93" i="2"/>
  <c r="S230" i="2"/>
  <c r="S240" i="2"/>
  <c r="S232" i="2"/>
  <c r="S219" i="2"/>
  <c r="P221" i="2"/>
  <c r="S238" i="2"/>
  <c r="P81" i="2"/>
  <c r="S244" i="2"/>
  <c r="S77" i="2"/>
  <c r="P85" i="2"/>
  <c r="S69" i="2"/>
  <c r="S212" i="2"/>
  <c r="P134" i="2"/>
  <c r="P82" i="2"/>
  <c r="S81" i="2"/>
  <c r="S141" i="2"/>
  <c r="S104" i="2"/>
  <c r="S127" i="2"/>
  <c r="S113" i="2"/>
  <c r="P353" i="2"/>
  <c r="S70" i="2"/>
  <c r="S72" i="2"/>
  <c r="S115" i="2"/>
  <c r="P220" i="2"/>
  <c r="S98" i="2"/>
  <c r="S208" i="2"/>
  <c r="S5" i="2"/>
  <c r="S250" i="2"/>
  <c r="S229" i="2"/>
  <c r="S12" i="2"/>
  <c r="S354" i="2"/>
  <c r="P79" i="2"/>
  <c r="S218" i="2"/>
  <c r="S241" i="2"/>
  <c r="S32" i="2"/>
  <c r="S142" i="2"/>
  <c r="S225" i="2"/>
  <c r="S85" i="2"/>
  <c r="S116" i="2"/>
  <c r="P208" i="2"/>
  <c r="S211" i="2"/>
  <c r="S6" i="2"/>
  <c r="S114" i="2"/>
  <c r="S231" i="2"/>
  <c r="P132" i="2"/>
  <c r="S255" i="2"/>
  <c r="S358" i="2"/>
  <c r="S222" i="2"/>
  <c r="S123" i="2"/>
  <c r="S226" i="2"/>
  <c r="S355" i="2"/>
  <c r="S107" i="2"/>
  <c r="S254" i="2"/>
  <c r="S88" i="2"/>
  <c r="P212" i="2"/>
  <c r="O1235" i="2"/>
  <c r="O1238" i="2"/>
  <c r="O1301" i="2"/>
  <c r="O1237" i="2"/>
  <c r="O1302" i="2"/>
  <c r="O1255" i="2"/>
  <c r="O1303" i="2"/>
  <c r="O1304" i="2"/>
  <c r="O1236" i="2"/>
  <c r="O41" i="2"/>
  <c r="O1219" i="2"/>
  <c r="O1218" i="2"/>
  <c r="O1233" i="2"/>
  <c r="O1222" i="2"/>
  <c r="O1225" i="2"/>
  <c r="O1217" i="2"/>
  <c r="O1224" i="2"/>
  <c r="O1231" i="2"/>
  <c r="O1223" i="2"/>
  <c r="O258" i="2"/>
  <c r="O256" i="2"/>
  <c r="O257" i="2"/>
  <c r="O260" i="2"/>
  <c r="O265" i="2"/>
  <c r="O185" i="2"/>
  <c r="O1045" i="2"/>
  <c r="O963" i="2"/>
  <c r="O970" i="2"/>
  <c r="O840" i="2"/>
  <c r="O807" i="2"/>
  <c r="O836" i="2"/>
  <c r="O969" i="2"/>
  <c r="O1077" i="2"/>
  <c r="O1076" i="2"/>
  <c r="O966" i="2"/>
  <c r="O1078" i="2"/>
  <c r="O1139" i="2"/>
  <c r="O1173" i="2"/>
  <c r="O932" i="2"/>
  <c r="O182" i="2"/>
  <c r="O996" i="2"/>
  <c r="O294" i="2"/>
  <c r="O931" i="2"/>
  <c r="O968" i="2"/>
  <c r="O802" i="2"/>
  <c r="O967" i="2"/>
  <c r="O1138" i="2"/>
  <c r="O1137" i="2"/>
  <c r="O178" i="2"/>
  <c r="O1089" i="2"/>
  <c r="O843" i="2"/>
  <c r="O926" i="2"/>
  <c r="O1140" i="2"/>
  <c r="O993" i="2"/>
  <c r="O1131" i="2"/>
  <c r="O927" i="2"/>
  <c r="O1046" i="2"/>
  <c r="O176" i="2"/>
  <c r="O934" i="2"/>
  <c r="O1091" i="2"/>
  <c r="O1087" i="2"/>
  <c r="O960" i="2"/>
  <c r="O844" i="2"/>
  <c r="O1132" i="2"/>
  <c r="O1129" i="2"/>
  <c r="O1135" i="2"/>
  <c r="O803" i="2"/>
  <c r="O933" i="2"/>
  <c r="O808" i="2"/>
  <c r="O295" i="2"/>
  <c r="O298" i="2"/>
  <c r="O1090" i="2"/>
  <c r="O995" i="2"/>
  <c r="O183" i="2"/>
  <c r="O839" i="2"/>
  <c r="O957" i="2"/>
  <c r="O184" i="2"/>
  <c r="O1047" i="2"/>
  <c r="O1136" i="2"/>
  <c r="O179" i="2"/>
  <c r="O180" i="2"/>
  <c r="O837" i="2"/>
  <c r="O1049" i="2"/>
  <c r="O1095" i="2"/>
  <c r="O805" i="2"/>
  <c r="O800" i="2"/>
  <c r="O1134" i="2"/>
  <c r="O181" i="2"/>
  <c r="O965" i="2"/>
  <c r="O929" i="2"/>
  <c r="O962" i="2"/>
  <c r="O809" i="2"/>
  <c r="O841" i="2"/>
  <c r="O964" i="2"/>
  <c r="O1093" i="2"/>
  <c r="O303" i="2"/>
  <c r="O930" i="2"/>
  <c r="O804" i="2"/>
  <c r="O928" i="2"/>
  <c r="O801" i="2"/>
  <c r="O806" i="2"/>
  <c r="O835" i="2"/>
  <c r="O1094" i="2"/>
  <c r="O1048" i="2"/>
  <c r="O1088" i="2"/>
  <c r="O1092" i="2"/>
  <c r="O296" i="2"/>
  <c r="O959" i="2"/>
  <c r="O1133" i="2"/>
  <c r="O1079" i="2"/>
  <c r="O842" i="2"/>
  <c r="O838" i="2"/>
  <c r="O1096" i="2"/>
  <c r="O38" i="2"/>
  <c r="O42" i="2"/>
  <c r="O40" i="2"/>
  <c r="O39" i="2"/>
  <c r="O17" i="2"/>
  <c r="O756" i="2"/>
  <c r="O431" i="2"/>
  <c r="O677" i="2"/>
  <c r="O444" i="2"/>
  <c r="O468" i="2"/>
  <c r="O449" i="2"/>
  <c r="O692" i="2"/>
  <c r="O676" i="2"/>
  <c r="O659" i="2"/>
  <c r="O660" i="2"/>
  <c r="O694" i="2"/>
  <c r="O662" i="2"/>
  <c r="O690" i="2"/>
  <c r="O666" i="2"/>
  <c r="O667" i="2"/>
  <c r="O437" i="2"/>
  <c r="O688" i="2"/>
  <c r="O678" i="2"/>
  <c r="O668" i="2"/>
  <c r="O679" i="2"/>
  <c r="O664" i="2"/>
  <c r="O452" i="2"/>
  <c r="O441" i="2"/>
  <c r="O435" i="2"/>
  <c r="O445" i="2"/>
  <c r="O661" i="2"/>
  <c r="O450" i="2"/>
  <c r="O439" i="2"/>
  <c r="O443" i="2"/>
  <c r="O433" i="2"/>
  <c r="O451" i="2"/>
  <c r="O698" i="2"/>
  <c r="O447" i="2"/>
  <c r="O691" i="2"/>
  <c r="O448" i="2"/>
  <c r="O669" i="2"/>
  <c r="O675" i="2"/>
  <c r="O695" i="2"/>
  <c r="O446" i="2"/>
  <c r="O663" i="2"/>
  <c r="O456" i="2"/>
  <c r="O665" i="2"/>
  <c r="O670" i="2"/>
  <c r="O393" i="2"/>
  <c r="O411" i="2"/>
  <c r="O413" i="2"/>
  <c r="O387" i="2"/>
  <c r="O395" i="2"/>
  <c r="O407" i="2"/>
  <c r="O417" i="2"/>
  <c r="O415" i="2"/>
  <c r="O409" i="2"/>
  <c r="O118" i="2"/>
  <c r="O357" i="2"/>
  <c r="O120" i="2"/>
  <c r="O123" i="2"/>
  <c r="O5" i="2"/>
  <c r="O231" i="2"/>
  <c r="O112" i="2"/>
  <c r="O11" i="2"/>
  <c r="O12" i="2"/>
  <c r="O106" i="2"/>
  <c r="O228" i="2"/>
  <c r="O89" i="2"/>
  <c r="O30" i="2"/>
  <c r="O33" i="2"/>
  <c r="O237" i="2"/>
  <c r="O378" i="2"/>
  <c r="O124" i="2"/>
  <c r="O3" i="2"/>
  <c r="O4" i="2"/>
  <c r="O125" i="2"/>
  <c r="O381" i="2"/>
  <c r="O121" i="2"/>
  <c r="O351" i="2"/>
  <c r="O94" i="2"/>
  <c r="O31" i="2"/>
  <c r="O227" i="2"/>
  <c r="O87" i="2"/>
  <c r="O233" i="2"/>
  <c r="O93" i="2"/>
  <c r="O68" i="2"/>
  <c r="O252" i="2"/>
  <c r="O235" i="2"/>
  <c r="O117" i="2"/>
  <c r="O238" i="2"/>
  <c r="O251" i="2"/>
  <c r="O230" i="2"/>
  <c r="O71" i="2"/>
  <c r="O225" i="2"/>
  <c r="O91" i="2"/>
  <c r="O122" i="2"/>
  <c r="O116" i="2"/>
  <c r="O253" i="2"/>
  <c r="O114" i="2"/>
  <c r="O119" i="2"/>
  <c r="O32" i="2"/>
  <c r="O126" i="2"/>
  <c r="O250" i="2"/>
  <c r="O90" i="2"/>
  <c r="O88" i="2"/>
  <c r="O74" i="2"/>
  <c r="O105" i="2"/>
  <c r="O113" i="2"/>
  <c r="O361" i="2"/>
  <c r="O226" i="2"/>
  <c r="O115" i="2"/>
  <c r="O236" i="2"/>
  <c r="O104" i="2"/>
  <c r="O232" i="2"/>
  <c r="O92" i="2"/>
  <c r="O10" i="2"/>
  <c r="O234" i="2"/>
  <c r="O229" i="2"/>
  <c r="P1238" i="2"/>
  <c r="P1237" i="2"/>
  <c r="P1301" i="2"/>
  <c r="P1235" i="2"/>
  <c r="P1304" i="2"/>
  <c r="P1302" i="2"/>
  <c r="P1303" i="2"/>
  <c r="P1255" i="2"/>
  <c r="P1236" i="2"/>
  <c r="P41" i="2"/>
  <c r="P1219" i="2"/>
  <c r="P1233" i="2"/>
  <c r="P1222" i="2"/>
  <c r="P1218" i="2"/>
  <c r="P1224" i="2"/>
  <c r="P1225" i="2"/>
  <c r="P1231" i="2"/>
  <c r="P1223" i="2"/>
  <c r="P1217" i="2"/>
  <c r="P258" i="2"/>
  <c r="P185" i="2"/>
  <c r="P256" i="2"/>
  <c r="P265" i="2"/>
  <c r="P260" i="2"/>
  <c r="P257" i="2"/>
  <c r="P1045" i="2"/>
  <c r="P800" i="2"/>
  <c r="P838" i="2"/>
  <c r="P963" i="2"/>
  <c r="P970" i="2"/>
  <c r="P1077" i="2"/>
  <c r="P807" i="2"/>
  <c r="P1076" i="2"/>
  <c r="P966" i="2"/>
  <c r="P996" i="2"/>
  <c r="P182" i="2"/>
  <c r="P294" i="2"/>
  <c r="P836" i="2"/>
  <c r="P1139" i="2"/>
  <c r="P1138" i="2"/>
  <c r="P932" i="2"/>
  <c r="P931" i="2"/>
  <c r="P1137" i="2"/>
  <c r="P843" i="2"/>
  <c r="P840" i="2"/>
  <c r="P1173" i="2"/>
  <c r="P178" i="2"/>
  <c r="P1089" i="2"/>
  <c r="P1087" i="2"/>
  <c r="P960" i="2"/>
  <c r="P934" i="2"/>
  <c r="P1096" i="2"/>
  <c r="P802" i="2"/>
  <c r="P1046" i="2"/>
  <c r="P1140" i="2"/>
  <c r="P993" i="2"/>
  <c r="P967" i="2"/>
  <c r="P926" i="2"/>
  <c r="P1129" i="2"/>
  <c r="P1135" i="2"/>
  <c r="P933" i="2"/>
  <c r="P808" i="2"/>
  <c r="P295" i="2"/>
  <c r="P806" i="2"/>
  <c r="P995" i="2"/>
  <c r="P1131" i="2"/>
  <c r="P183" i="2"/>
  <c r="P844" i="2"/>
  <c r="P805" i="2"/>
  <c r="P1047" i="2"/>
  <c r="P176" i="2"/>
  <c r="P180" i="2"/>
  <c r="P184" i="2"/>
  <c r="P959" i="2"/>
  <c r="P1091" i="2"/>
  <c r="P1090" i="2"/>
  <c r="P1136" i="2"/>
  <c r="P179" i="2"/>
  <c r="P1133" i="2"/>
  <c r="P181" i="2"/>
  <c r="P839" i="2"/>
  <c r="P965" i="2"/>
  <c r="P837" i="2"/>
  <c r="P1049" i="2"/>
  <c r="P1095" i="2"/>
  <c r="P1134" i="2"/>
  <c r="P803" i="2"/>
  <c r="P957" i="2"/>
  <c r="P296" i="2"/>
  <c r="P1092" i="2"/>
  <c r="P298" i="2"/>
  <c r="P801" i="2"/>
  <c r="P1088" i="2"/>
  <c r="P842" i="2"/>
  <c r="P1078" i="2"/>
  <c r="P809" i="2"/>
  <c r="P303" i="2"/>
  <c r="P1132" i="2"/>
  <c r="P964" i="2"/>
  <c r="P841" i="2"/>
  <c r="P930" i="2"/>
  <c r="P804" i="2"/>
  <c r="P969" i="2"/>
  <c r="P968" i="2"/>
  <c r="P1048" i="2"/>
  <c r="P835" i="2"/>
  <c r="P1094" i="2"/>
  <c r="P927" i="2"/>
  <c r="P928" i="2"/>
  <c r="P929" i="2"/>
  <c r="P962" i="2"/>
  <c r="P1079" i="2"/>
  <c r="P1093" i="2"/>
  <c r="P40" i="2"/>
  <c r="P39" i="2"/>
  <c r="P17" i="2"/>
  <c r="P38" i="2"/>
  <c r="P42" i="2"/>
  <c r="P756" i="2"/>
  <c r="P677" i="2"/>
  <c r="P676" i="2"/>
  <c r="P675" i="2"/>
  <c r="P444" i="2"/>
  <c r="P690" i="2"/>
  <c r="P449" i="2"/>
  <c r="P451" i="2"/>
  <c r="P659" i="2"/>
  <c r="P437" i="2"/>
  <c r="P688" i="2"/>
  <c r="P665" i="2"/>
  <c r="P664" i="2"/>
  <c r="P468" i="2"/>
  <c r="P692" i="2"/>
  <c r="P678" i="2"/>
  <c r="P666" i="2"/>
  <c r="P668" i="2"/>
  <c r="P660" i="2"/>
  <c r="P694" i="2"/>
  <c r="P679" i="2"/>
  <c r="P441" i="2"/>
  <c r="P667" i="2"/>
  <c r="P445" i="2"/>
  <c r="P661" i="2"/>
  <c r="P435" i="2"/>
  <c r="P450" i="2"/>
  <c r="P447" i="2"/>
  <c r="P456" i="2"/>
  <c r="P698" i="2"/>
  <c r="P691" i="2"/>
  <c r="P669" i="2"/>
  <c r="P452" i="2"/>
  <c r="P663" i="2"/>
  <c r="P439" i="2"/>
  <c r="P443" i="2"/>
  <c r="P433" i="2"/>
  <c r="P446" i="2"/>
  <c r="P448" i="2"/>
  <c r="P662" i="2"/>
  <c r="P431" i="2"/>
  <c r="P695" i="2"/>
  <c r="P670" i="2"/>
  <c r="P415" i="2"/>
  <c r="P395" i="2"/>
  <c r="P411" i="2"/>
  <c r="P387" i="2"/>
  <c r="P393" i="2"/>
  <c r="P413" i="2"/>
  <c r="P407" i="2"/>
  <c r="P417" i="2"/>
  <c r="P409" i="2"/>
  <c r="P112" i="2"/>
  <c r="P114" i="2"/>
  <c r="P11" i="2"/>
  <c r="P123" i="2"/>
  <c r="P226" i="2"/>
  <c r="P89" i="2"/>
  <c r="P357" i="2"/>
  <c r="P30" i="2"/>
  <c r="P33" i="2"/>
  <c r="P105" i="2"/>
  <c r="P106" i="2"/>
  <c r="P124" i="2"/>
  <c r="P3" i="2"/>
  <c r="P4" i="2"/>
  <c r="P228" i="2"/>
  <c r="P125" i="2"/>
  <c r="P378" i="2"/>
  <c r="P237" i="2"/>
  <c r="P351" i="2"/>
  <c r="P117" i="2"/>
  <c r="P31" i="2"/>
  <c r="P252" i="2"/>
  <c r="P381" i="2"/>
  <c r="P233" i="2"/>
  <c r="P93" i="2"/>
  <c r="P68" i="2"/>
  <c r="P235" i="2"/>
  <c r="P94" i="2"/>
  <c r="P121" i="2"/>
  <c r="P87" i="2"/>
  <c r="P91" i="2"/>
  <c r="P71" i="2"/>
  <c r="P251" i="2"/>
  <c r="P230" i="2"/>
  <c r="P225" i="2"/>
  <c r="P227" i="2"/>
  <c r="P126" i="2"/>
  <c r="P5" i="2"/>
  <c r="P90" i="2"/>
  <c r="P234" i="2"/>
  <c r="P104" i="2"/>
  <c r="P115" i="2"/>
  <c r="P119" i="2"/>
  <c r="P32" i="2"/>
  <c r="P88" i="2"/>
  <c r="P229" i="2"/>
  <c r="P74" i="2"/>
  <c r="P236" i="2"/>
  <c r="P238" i="2"/>
  <c r="P122" i="2"/>
  <c r="P361" i="2"/>
  <c r="P253" i="2"/>
  <c r="P116" i="2"/>
  <c r="P92" i="2"/>
  <c r="P10" i="2"/>
  <c r="P250" i="2"/>
  <c r="P12" i="2"/>
  <c r="P120" i="2"/>
  <c r="P232" i="2"/>
  <c r="P113" i="2"/>
  <c r="P118" i="2"/>
  <c r="P231" i="2"/>
  <c r="Q1238" i="2"/>
  <c r="Q1236" i="2"/>
  <c r="Q1237" i="2"/>
  <c r="Q1301" i="2"/>
  <c r="Q1235" i="2"/>
  <c r="Q1302" i="2"/>
  <c r="Q1303" i="2"/>
  <c r="Q1255" i="2"/>
  <c r="Q1304" i="2"/>
  <c r="Q41" i="2"/>
  <c r="Q1219" i="2"/>
  <c r="Q1218" i="2"/>
  <c r="Q1233" i="2"/>
  <c r="Q1224" i="2"/>
  <c r="Q1225" i="2"/>
  <c r="Q1222" i="2"/>
  <c r="Q1217" i="2"/>
  <c r="Q1231" i="2"/>
  <c r="Q1223" i="2"/>
  <c r="Q185" i="2"/>
  <c r="Q260" i="2"/>
  <c r="Q256" i="2"/>
  <c r="Q258" i="2"/>
  <c r="Q257" i="2"/>
  <c r="Q265" i="2"/>
  <c r="Q809" i="2"/>
  <c r="Q969" i="2"/>
  <c r="Q1088" i="2"/>
  <c r="Q800" i="2"/>
  <c r="Q836" i="2"/>
  <c r="Q1049" i="2"/>
  <c r="Q929" i="2"/>
  <c r="Q1078" i="2"/>
  <c r="Q1077" i="2"/>
  <c r="Q801" i="2"/>
  <c r="Q970" i="2"/>
  <c r="Q838" i="2"/>
  <c r="Q1173" i="2"/>
  <c r="Q843" i="2"/>
  <c r="Q182" i="2"/>
  <c r="Q294" i="2"/>
  <c r="Q807" i="2"/>
  <c r="Q802" i="2"/>
  <c r="Q1138" i="2"/>
  <c r="Q1046" i="2"/>
  <c r="Q178" i="2"/>
  <c r="Q996" i="2"/>
  <c r="Q840" i="2"/>
  <c r="Q967" i="2"/>
  <c r="Q1076" i="2"/>
  <c r="Q934" i="2"/>
  <c r="Q1139" i="2"/>
  <c r="Q1137" i="2"/>
  <c r="Q932" i="2"/>
  <c r="Q1096" i="2"/>
  <c r="Q1140" i="2"/>
  <c r="Q993" i="2"/>
  <c r="Q931" i="2"/>
  <c r="Q933" i="2"/>
  <c r="Q1087" i="2"/>
  <c r="Q960" i="2"/>
  <c r="Q844" i="2"/>
  <c r="Q803" i="2"/>
  <c r="Q957" i="2"/>
  <c r="Q837" i="2"/>
  <c r="Q927" i="2"/>
  <c r="Q806" i="2"/>
  <c r="Q926" i="2"/>
  <c r="Q995" i="2"/>
  <c r="Q1089" i="2"/>
  <c r="Q298" i="2"/>
  <c r="Q805" i="2"/>
  <c r="Q1090" i="2"/>
  <c r="Q176" i="2"/>
  <c r="Q1134" i="2"/>
  <c r="Q179" i="2"/>
  <c r="Q842" i="2"/>
  <c r="Q808" i="2"/>
  <c r="Q184" i="2"/>
  <c r="Q295" i="2"/>
  <c r="Q1129" i="2"/>
  <c r="Q1136" i="2"/>
  <c r="Q1135" i="2"/>
  <c r="Q1133" i="2"/>
  <c r="Q1131" i="2"/>
  <c r="Q296" i="2"/>
  <c r="Q965" i="2"/>
  <c r="Q1092" i="2"/>
  <c r="Q962" i="2"/>
  <c r="Q180" i="2"/>
  <c r="Q1091" i="2"/>
  <c r="Q181" i="2"/>
  <c r="Q841" i="2"/>
  <c r="Q183" i="2"/>
  <c r="Q303" i="2"/>
  <c r="Q1045" i="2"/>
  <c r="Q964" i="2"/>
  <c r="Q930" i="2"/>
  <c r="Q804" i="2"/>
  <c r="Q968" i="2"/>
  <c r="Q1094" i="2"/>
  <c r="Q963" i="2"/>
  <c r="Q835" i="2"/>
  <c r="Q839" i="2"/>
  <c r="Q966" i="2"/>
  <c r="Q928" i="2"/>
  <c r="Q1047" i="2"/>
  <c r="Q1093" i="2"/>
  <c r="Q1132" i="2"/>
  <c r="Q1095" i="2"/>
  <c r="Q959" i="2"/>
  <c r="Q1048" i="2"/>
  <c r="Q1079" i="2"/>
  <c r="Q38" i="2"/>
  <c r="Q40" i="2"/>
  <c r="Q39" i="2"/>
  <c r="Q17" i="2"/>
  <c r="Q42" i="2"/>
  <c r="Q756" i="2"/>
  <c r="Q676" i="2"/>
  <c r="Q444" i="2"/>
  <c r="Q659" i="2"/>
  <c r="Q439" i="2"/>
  <c r="Q695" i="2"/>
  <c r="Q665" i="2"/>
  <c r="Q449" i="2"/>
  <c r="Q694" i="2"/>
  <c r="Q431" i="2"/>
  <c r="Q468" i="2"/>
  <c r="Q690" i="2"/>
  <c r="Q678" i="2"/>
  <c r="Q666" i="2"/>
  <c r="Q668" i="2"/>
  <c r="Q688" i="2"/>
  <c r="Q679" i="2"/>
  <c r="Q660" i="2"/>
  <c r="Q437" i="2"/>
  <c r="Q441" i="2"/>
  <c r="Q664" i="2"/>
  <c r="Q435" i="2"/>
  <c r="Q445" i="2"/>
  <c r="Q698" i="2"/>
  <c r="Q667" i="2"/>
  <c r="Q691" i="2"/>
  <c r="Q450" i="2"/>
  <c r="Q677" i="2"/>
  <c r="Q443" i="2"/>
  <c r="Q433" i="2"/>
  <c r="Q452" i="2"/>
  <c r="Q447" i="2"/>
  <c r="Q446" i="2"/>
  <c r="Q669" i="2"/>
  <c r="Q692" i="2"/>
  <c r="Q661" i="2"/>
  <c r="Q663" i="2"/>
  <c r="Q448" i="2"/>
  <c r="Q456" i="2"/>
  <c r="Q670" i="2"/>
  <c r="Q675" i="2"/>
  <c r="Q662" i="2"/>
  <c r="Q451" i="2"/>
  <c r="Q411" i="2"/>
  <c r="Q413" i="2"/>
  <c r="Q387" i="2"/>
  <c r="Q395" i="2"/>
  <c r="Q393" i="2"/>
  <c r="Q407" i="2"/>
  <c r="Q409" i="2"/>
  <c r="Q417" i="2"/>
  <c r="Q415" i="2"/>
  <c r="Q226" i="2"/>
  <c r="Q89" i="2"/>
  <c r="Q12" i="2"/>
  <c r="Q30" i="2"/>
  <c r="Q33" i="2"/>
  <c r="Q5" i="2"/>
  <c r="Q228" i="2"/>
  <c r="Q10" i="2"/>
  <c r="Q114" i="2"/>
  <c r="Q105" i="2"/>
  <c r="Q381" i="2"/>
  <c r="Q120" i="2"/>
  <c r="Q124" i="2"/>
  <c r="Q3" i="2"/>
  <c r="Q4" i="2"/>
  <c r="Q378" i="2"/>
  <c r="Q125" i="2"/>
  <c r="Q351" i="2"/>
  <c r="Q357" i="2"/>
  <c r="Q252" i="2"/>
  <c r="Q237" i="2"/>
  <c r="Q106" i="2"/>
  <c r="Q233" i="2"/>
  <c r="Q121" i="2"/>
  <c r="Q230" i="2"/>
  <c r="Q87" i="2"/>
  <c r="Q91" i="2"/>
  <c r="Q71" i="2"/>
  <c r="Q94" i="2"/>
  <c r="Q117" i="2"/>
  <c r="Q31" i="2"/>
  <c r="Q251" i="2"/>
  <c r="Q68" i="2"/>
  <c r="Q238" i="2"/>
  <c r="Q93" i="2"/>
  <c r="Q250" i="2"/>
  <c r="Q119" i="2"/>
  <c r="Q32" i="2"/>
  <c r="Q122" i="2"/>
  <c r="Q227" i="2"/>
  <c r="Q253" i="2"/>
  <c r="Q229" i="2"/>
  <c r="Q74" i="2"/>
  <c r="Q235" i="2"/>
  <c r="Q361" i="2"/>
  <c r="Q126" i="2"/>
  <c r="Q90" i="2"/>
  <c r="Q116" i="2"/>
  <c r="Q92" i="2"/>
  <c r="Q112" i="2"/>
  <c r="Q11" i="2"/>
  <c r="Q225" i="2"/>
  <c r="Q232" i="2"/>
  <c r="Q234" i="2"/>
  <c r="Q113" i="2"/>
  <c r="Q236" i="2"/>
  <c r="Q118" i="2"/>
  <c r="Q104" i="2"/>
  <c r="Q231" i="2"/>
  <c r="Q115" i="2"/>
  <c r="Q123" i="2"/>
  <c r="Q88" i="2"/>
  <c r="Q1240" i="2"/>
  <c r="T1253" i="2"/>
  <c r="T1241" i="2"/>
  <c r="T1305" i="2"/>
  <c r="T1313" i="2"/>
  <c r="Q1316" i="2"/>
  <c r="T1243" i="2"/>
  <c r="Q1246" i="2"/>
  <c r="Q1315" i="2"/>
  <c r="Q1313" i="2"/>
  <c r="T1252" i="2"/>
  <c r="Q1307" i="2"/>
  <c r="T1306" i="2"/>
  <c r="T1301" i="2"/>
  <c r="T1235" i="2"/>
  <c r="T1254" i="2"/>
  <c r="T1238" i="2"/>
  <c r="Q1248" i="2"/>
  <c r="T1309" i="2"/>
  <c r="Q1243" i="2"/>
  <c r="Q1305" i="2"/>
  <c r="T1248" i="2"/>
  <c r="T1265" i="2"/>
  <c r="Q1306" i="2"/>
  <c r="T1302" i="2"/>
  <c r="Q1265" i="2"/>
  <c r="T1318" i="2"/>
  <c r="T1307" i="2"/>
  <c r="Q1309" i="2"/>
  <c r="T1312" i="2"/>
  <c r="T1263" i="2"/>
  <c r="T1237" i="2"/>
  <c r="Q1312" i="2"/>
  <c r="T1308" i="2"/>
  <c r="T1319" i="2"/>
  <c r="T1249" i="2"/>
  <c r="T1303" i="2"/>
  <c r="Q1239" i="2"/>
  <c r="Q1242" i="2"/>
  <c r="T1255" i="2"/>
  <c r="Q1308" i="2"/>
  <c r="T1310" i="2"/>
  <c r="T1239" i="2"/>
  <c r="Q1247" i="2"/>
  <c r="T1242" i="2"/>
  <c r="T1250" i="2"/>
  <c r="Q1314" i="2"/>
  <c r="T1311" i="2"/>
  <c r="T1320" i="2"/>
  <c r="T1314" i="2"/>
  <c r="Q1251" i="2"/>
  <c r="T1251" i="2"/>
  <c r="Q1263" i="2"/>
  <c r="Q1310" i="2"/>
  <c r="Q1249" i="2"/>
  <c r="Q1244" i="2"/>
  <c r="Q1245" i="2"/>
  <c r="T1236" i="2"/>
  <c r="T1247" i="2"/>
  <c r="Q1317" i="2"/>
  <c r="Q1250" i="2"/>
  <c r="T1244" i="2"/>
  <c r="T1240" i="2"/>
  <c r="T1246" i="2"/>
  <c r="T1317" i="2"/>
  <c r="T1315" i="2"/>
  <c r="T1316" i="2"/>
  <c r="T1304" i="2"/>
  <c r="T1245" i="2"/>
  <c r="Q1241" i="2"/>
  <c r="Q1311" i="2"/>
  <c r="T48" i="2"/>
  <c r="Q48" i="2"/>
  <c r="T41" i="2"/>
  <c r="T44" i="2"/>
  <c r="T1219" i="2"/>
  <c r="T1229" i="2"/>
  <c r="T1230" i="2"/>
  <c r="T1233" i="2"/>
  <c r="Q1229" i="2"/>
  <c r="Q1226" i="2"/>
  <c r="T1232" i="2"/>
  <c r="T1226" i="2"/>
  <c r="T1221" i="2"/>
  <c r="T1218" i="2"/>
  <c r="T1217" i="2"/>
  <c r="T1222" i="2"/>
  <c r="T1225" i="2"/>
  <c r="Q1232" i="2"/>
  <c r="T1224" i="2"/>
  <c r="T1227" i="2"/>
  <c r="T1231" i="2"/>
  <c r="T1228" i="2"/>
  <c r="Q1227" i="2"/>
  <c r="Q1230" i="2"/>
  <c r="T1234" i="2"/>
  <c r="Q1228" i="2"/>
  <c r="T1223" i="2"/>
  <c r="T1220" i="2"/>
  <c r="T185" i="2"/>
  <c r="T272" i="2"/>
  <c r="T203" i="2"/>
  <c r="Q203" i="2"/>
  <c r="T262" i="2"/>
  <c r="T258" i="2"/>
  <c r="T259" i="2"/>
  <c r="T267" i="2"/>
  <c r="Q266" i="2"/>
  <c r="T256" i="2"/>
  <c r="Q262" i="2"/>
  <c r="T268" i="2"/>
  <c r="T271" i="2"/>
  <c r="T273" i="2"/>
  <c r="T269" i="2"/>
  <c r="T266" i="2"/>
  <c r="T260" i="2"/>
  <c r="Q264" i="2"/>
  <c r="T264" i="2"/>
  <c r="T263" i="2"/>
  <c r="T257" i="2"/>
  <c r="Q263" i="2"/>
  <c r="T265" i="2"/>
  <c r="T261" i="2"/>
  <c r="T270" i="2"/>
  <c r="T274" i="2"/>
  <c r="Q261" i="2"/>
  <c r="T801" i="2"/>
  <c r="T1056" i="2"/>
  <c r="T1088" i="2"/>
  <c r="Q796" i="2"/>
  <c r="T311" i="2"/>
  <c r="Q199" i="2"/>
  <c r="T815" i="2"/>
  <c r="Q200" i="2"/>
  <c r="T1122" i="2"/>
  <c r="T1083" i="2"/>
  <c r="Q988" i="2"/>
  <c r="T1151" i="2"/>
  <c r="T861" i="2"/>
  <c r="T1061" i="2"/>
  <c r="T836" i="2"/>
  <c r="T1049" i="2"/>
  <c r="T1163" i="2"/>
  <c r="T833" i="2"/>
  <c r="T810" i="2"/>
  <c r="Q299" i="2"/>
  <c r="T187" i="2"/>
  <c r="T1159" i="2"/>
  <c r="T1107" i="2"/>
  <c r="T310" i="2"/>
  <c r="T198" i="2"/>
  <c r="T820" i="2"/>
  <c r="Q943" i="2"/>
  <c r="T848" i="2"/>
  <c r="Q1105" i="2"/>
  <c r="T199" i="2"/>
  <c r="T200" i="2"/>
  <c r="Q1150" i="2"/>
  <c r="T1172" i="2"/>
  <c r="Q1151" i="2"/>
  <c r="T823" i="2"/>
  <c r="T838" i="2"/>
  <c r="T189" i="2"/>
  <c r="Q1082" i="2"/>
  <c r="T809" i="2"/>
  <c r="T1114" i="2"/>
  <c r="T1142" i="2"/>
  <c r="Q1152" i="2"/>
  <c r="T969" i="2"/>
  <c r="T832" i="2"/>
  <c r="T1112" i="2"/>
  <c r="T1157" i="2"/>
  <c r="Q798" i="2"/>
  <c r="T800" i="2"/>
  <c r="T996" i="2"/>
  <c r="T943" i="2"/>
  <c r="T1173" i="2"/>
  <c r="Q202" i="2"/>
  <c r="Q1083" i="2"/>
  <c r="T1053" i="2"/>
  <c r="T956" i="2"/>
  <c r="T935" i="2"/>
  <c r="T859" i="2"/>
  <c r="Q951" i="2"/>
  <c r="T1082" i="2"/>
  <c r="T855" i="2"/>
  <c r="T1152" i="2"/>
  <c r="T841" i="2"/>
  <c r="T952" i="2"/>
  <c r="T1145" i="2"/>
  <c r="T826" i="2"/>
  <c r="T193" i="2"/>
  <c r="T977" i="2"/>
  <c r="Q1107" i="2"/>
  <c r="T1174" i="2"/>
  <c r="T992" i="2"/>
  <c r="T1124" i="2"/>
  <c r="T860" i="2"/>
  <c r="T807" i="2"/>
  <c r="T939" i="2"/>
  <c r="T845" i="2"/>
  <c r="T822" i="2"/>
  <c r="T194" i="2"/>
  <c r="T976" i="2"/>
  <c r="T974" i="2"/>
  <c r="T1155" i="2"/>
  <c r="T1085" i="2"/>
  <c r="T846" i="2"/>
  <c r="T202" i="2"/>
  <c r="T1149" i="2"/>
  <c r="T955" i="2"/>
  <c r="Q1104" i="2"/>
  <c r="T1062" i="2"/>
  <c r="T1077" i="2"/>
  <c r="T1116" i="2"/>
  <c r="Q300" i="2"/>
  <c r="T968" i="2"/>
  <c r="T946" i="2"/>
  <c r="Q831" i="2"/>
  <c r="T1130" i="2"/>
  <c r="Q1056" i="2"/>
  <c r="T941" i="2"/>
  <c r="T1084" i="2"/>
  <c r="T970" i="2"/>
  <c r="Q1102" i="2"/>
  <c r="T1104" i="2"/>
  <c r="T300" i="2"/>
  <c r="Q946" i="2"/>
  <c r="Q193" i="2"/>
  <c r="T1137" i="2"/>
  <c r="Q195" i="2"/>
  <c r="T942" i="2"/>
  <c r="T1055" i="2"/>
  <c r="T797" i="2"/>
  <c r="T294" i="2"/>
  <c r="Q1101" i="2"/>
  <c r="T192" i="2"/>
  <c r="T1160" i="2"/>
  <c r="T802" i="2"/>
  <c r="T1140" i="2"/>
  <c r="T831" i="2"/>
  <c r="T1138" i="2"/>
  <c r="Q194" i="2"/>
  <c r="T195" i="2"/>
  <c r="T799" i="2"/>
  <c r="Q942" i="2"/>
  <c r="T1086" i="2"/>
  <c r="T178" i="2"/>
  <c r="T1128" i="2"/>
  <c r="Q797" i="2"/>
  <c r="T993" i="2"/>
  <c r="T182" i="2"/>
  <c r="T989" i="2"/>
  <c r="T1102" i="2"/>
  <c r="T814" i="2"/>
  <c r="Q1149" i="2"/>
  <c r="T843" i="2"/>
  <c r="T840" i="2"/>
  <c r="T967" i="2"/>
  <c r="T932" i="2"/>
  <c r="T1076" i="2"/>
  <c r="T1111" i="2"/>
  <c r="T1046" i="2"/>
  <c r="Q799" i="2"/>
  <c r="T819" i="2"/>
  <c r="Q1108" i="2"/>
  <c r="T847" i="2"/>
  <c r="T972" i="2"/>
  <c r="T1153" i="2"/>
  <c r="T971" i="2"/>
  <c r="T201" i="2"/>
  <c r="T947" i="2"/>
  <c r="T1171" i="2"/>
  <c r="T1101" i="2"/>
  <c r="Q192" i="2"/>
  <c r="Q1098" i="2"/>
  <c r="T931" i="2"/>
  <c r="T927" i="2"/>
  <c r="T1139" i="2"/>
  <c r="T308" i="2"/>
  <c r="T1108" i="2"/>
  <c r="T1154" i="2"/>
  <c r="T994" i="2"/>
  <c r="T857" i="2"/>
  <c r="T306" i="2"/>
  <c r="T1087" i="2"/>
  <c r="T1135" i="2"/>
  <c r="T1125" i="2"/>
  <c r="Q201" i="2"/>
  <c r="T934" i="2"/>
  <c r="T1121" i="2"/>
  <c r="T1166" i="2"/>
  <c r="Q1057" i="2"/>
  <c r="Q945" i="2"/>
  <c r="T1110" i="2"/>
  <c r="T821" i="2"/>
  <c r="Q1055" i="2"/>
  <c r="T851" i="2"/>
  <c r="Q1153" i="2"/>
  <c r="Q947" i="2"/>
  <c r="T813" i="2"/>
  <c r="T1119" i="2"/>
  <c r="T1098" i="2"/>
  <c r="T936" i="2"/>
  <c r="T933" i="2"/>
  <c r="Q1097" i="2"/>
  <c r="T305" i="2"/>
  <c r="T307" i="2"/>
  <c r="T850" i="2"/>
  <c r="T176" i="2"/>
  <c r="T1136" i="2"/>
  <c r="T818" i="2"/>
  <c r="T179" i="2"/>
  <c r="T1089" i="2"/>
  <c r="T1156" i="2"/>
  <c r="T816" i="2"/>
  <c r="T180" i="2"/>
  <c r="Q304" i="2"/>
  <c r="T1131" i="2"/>
  <c r="T1165" i="2"/>
  <c r="T1097" i="2"/>
  <c r="Q983" i="2"/>
  <c r="T1103" i="2"/>
  <c r="T962" i="2"/>
  <c r="T301" i="2"/>
  <c r="Q1147" i="2"/>
  <c r="T805" i="2"/>
  <c r="T949" i="2"/>
  <c r="T1123" i="2"/>
  <c r="T1063" i="2"/>
  <c r="T1057" i="2"/>
  <c r="T960" i="2"/>
  <c r="T957" i="2"/>
  <c r="T1168" i="2"/>
  <c r="T984" i="2"/>
  <c r="T837" i="2"/>
  <c r="T983" i="2"/>
  <c r="T1060" i="2"/>
  <c r="T1164" i="2"/>
  <c r="T1132" i="2"/>
  <c r="T926" i="2"/>
  <c r="T1091" i="2"/>
  <c r="T945" i="2"/>
  <c r="T829" i="2"/>
  <c r="T309" i="2"/>
  <c r="Q1109" i="2"/>
  <c r="T1127" i="2"/>
  <c r="T1126" i="2"/>
  <c r="T849" i="2"/>
  <c r="T1133" i="2"/>
  <c r="T304" i="2"/>
  <c r="T1081" i="2"/>
  <c r="T1170" i="2"/>
  <c r="T853" i="2"/>
  <c r="Q795" i="2"/>
  <c r="T297" i="2"/>
  <c r="T1052" i="2"/>
  <c r="T839" i="2"/>
  <c r="Q1148" i="2"/>
  <c r="T1051" i="2"/>
  <c r="Q984" i="2"/>
  <c r="T1080" i="2"/>
  <c r="T1095" i="2"/>
  <c r="Q301" i="2"/>
  <c r="T958" i="2"/>
  <c r="T1162" i="2"/>
  <c r="T1169" i="2"/>
  <c r="T1109" i="2"/>
  <c r="T961" i="2"/>
  <c r="T1134" i="2"/>
  <c r="T940" i="2"/>
  <c r="T181" i="2"/>
  <c r="T803" i="2"/>
  <c r="T844" i="2"/>
  <c r="T991" i="2"/>
  <c r="T808" i="2"/>
  <c r="Q1080" i="2"/>
  <c r="T1120" i="2"/>
  <c r="T295" i="2"/>
  <c r="Q950" i="2"/>
  <c r="T852" i="2"/>
  <c r="T978" i="2"/>
  <c r="T1047" i="2"/>
  <c r="T979" i="2"/>
  <c r="T1129" i="2"/>
  <c r="T944" i="2"/>
  <c r="Q829" i="2"/>
  <c r="T1045" i="2"/>
  <c r="T197" i="2"/>
  <c r="T973" i="2"/>
  <c r="T1105" i="2"/>
  <c r="Q1081" i="2"/>
  <c r="T812" i="2"/>
  <c r="T842" i="2"/>
  <c r="Q793" i="2"/>
  <c r="T1148" i="2"/>
  <c r="Q1099" i="2"/>
  <c r="Q833" i="2"/>
  <c r="T298" i="2"/>
  <c r="T929" i="2"/>
  <c r="T997" i="2"/>
  <c r="T1090" i="2"/>
  <c r="T830" i="2"/>
  <c r="T995" i="2"/>
  <c r="Q197" i="2"/>
  <c r="Q828" i="2"/>
  <c r="Q1106" i="2"/>
  <c r="T990" i="2"/>
  <c r="T963" i="2"/>
  <c r="Q1103" i="2"/>
  <c r="T1099" i="2"/>
  <c r="T959" i="2"/>
  <c r="Q832" i="2"/>
  <c r="Q979" i="2"/>
  <c r="T196" i="2"/>
  <c r="T798" i="2"/>
  <c r="T828" i="2"/>
  <c r="Q1054" i="2"/>
  <c r="T183" i="2"/>
  <c r="T312" i="2"/>
  <c r="T988" i="2"/>
  <c r="T296" i="2"/>
  <c r="T1167" i="2"/>
  <c r="T184" i="2"/>
  <c r="Q1144" i="2"/>
  <c r="T1092" i="2"/>
  <c r="T937" i="2"/>
  <c r="Q987" i="2"/>
  <c r="T1150" i="2"/>
  <c r="T299" i="2"/>
  <c r="Q952" i="2"/>
  <c r="Q1145" i="2"/>
  <c r="T948" i="2"/>
  <c r="Q191" i="2"/>
  <c r="T1093" i="2"/>
  <c r="T1144" i="2"/>
  <c r="Q1143" i="2"/>
  <c r="T1141" i="2"/>
  <c r="T928" i="2"/>
  <c r="T303" i="2"/>
  <c r="T856" i="2"/>
  <c r="T1113" i="2"/>
  <c r="Q1141" i="2"/>
  <c r="T964" i="2"/>
  <c r="T804" i="2"/>
  <c r="T854" i="2"/>
  <c r="Q985" i="2"/>
  <c r="Q948" i="2"/>
  <c r="T793" i="2"/>
  <c r="T1058" i="2"/>
  <c r="T1158" i="2"/>
  <c r="T1054" i="2"/>
  <c r="T951" i="2"/>
  <c r="T985" i="2"/>
  <c r="T835" i="2"/>
  <c r="T1064" i="2"/>
  <c r="T986" i="2"/>
  <c r="T1094" i="2"/>
  <c r="Q978" i="2"/>
  <c r="T1115" i="2"/>
  <c r="T1078" i="2"/>
  <c r="T806" i="2"/>
  <c r="T930" i="2"/>
  <c r="Q1058" i="2"/>
  <c r="Q944" i="2"/>
  <c r="Q198" i="2"/>
  <c r="T950" i="2"/>
  <c r="T827" i="2"/>
  <c r="Q986" i="2"/>
  <c r="T966" i="2"/>
  <c r="Q1100" i="2"/>
  <c r="T190" i="2"/>
  <c r="T1118" i="2"/>
  <c r="T1050" i="2"/>
  <c r="T796" i="2"/>
  <c r="T811" i="2"/>
  <c r="T862" i="2"/>
  <c r="Q949" i="2"/>
  <c r="T1059" i="2"/>
  <c r="T1100" i="2"/>
  <c r="T858" i="2"/>
  <c r="T1048" i="2"/>
  <c r="T1161" i="2"/>
  <c r="T954" i="2"/>
  <c r="T965" i="2"/>
  <c r="T987" i="2"/>
  <c r="T981" i="2"/>
  <c r="Q196" i="2"/>
  <c r="Q1142" i="2"/>
  <c r="T834" i="2"/>
  <c r="T980" i="2"/>
  <c r="Q830" i="2"/>
  <c r="T982" i="2"/>
  <c r="T1147" i="2"/>
  <c r="T302" i="2"/>
  <c r="T975" i="2"/>
  <c r="T1096" i="2"/>
  <c r="T794" i="2"/>
  <c r="T825" i="2"/>
  <c r="Q981" i="2"/>
  <c r="T938" i="2"/>
  <c r="Q1146" i="2"/>
  <c r="T824" i="2"/>
  <c r="T795" i="2"/>
  <c r="T817" i="2"/>
  <c r="Q982" i="2"/>
  <c r="Q302" i="2"/>
  <c r="T1146" i="2"/>
  <c r="T1117" i="2"/>
  <c r="Q980" i="2"/>
  <c r="T1106" i="2"/>
  <c r="Q794" i="2"/>
  <c r="T1143" i="2"/>
  <c r="T1079" i="2"/>
  <c r="T953" i="2"/>
  <c r="Q834" i="2"/>
  <c r="T191" i="2"/>
  <c r="T46" i="2"/>
  <c r="Q46" i="2"/>
  <c r="Q47" i="2"/>
  <c r="T47" i="2"/>
  <c r="T40" i="2"/>
  <c r="T43" i="2"/>
  <c r="T39" i="2"/>
  <c r="T17" i="2"/>
  <c r="T869" i="2"/>
  <c r="Q45" i="2"/>
  <c r="T42" i="2"/>
  <c r="T38" i="2"/>
  <c r="T45" i="2"/>
  <c r="T755" i="2"/>
  <c r="T757" i="2"/>
  <c r="T756" i="2"/>
  <c r="T579" i="2"/>
  <c r="T555" i="2"/>
  <c r="T621" i="2"/>
  <c r="T662" i="2"/>
  <c r="T499" i="2"/>
  <c r="T541" i="2"/>
  <c r="Q558" i="2"/>
  <c r="T605" i="2"/>
  <c r="T457" i="2"/>
  <c r="Q674" i="2"/>
  <c r="T545" i="2"/>
  <c r="T468" i="2"/>
  <c r="T690" i="2"/>
  <c r="Q423" i="2"/>
  <c r="T488" i="2"/>
  <c r="Q672" i="2"/>
  <c r="T497" i="2"/>
  <c r="Q466" i="2"/>
  <c r="T613" i="2"/>
  <c r="T673" i="2"/>
  <c r="Q491" i="2"/>
  <c r="T526" i="2"/>
  <c r="Q633" i="2"/>
  <c r="T492" i="2"/>
  <c r="T481" i="2"/>
  <c r="T504" i="2"/>
  <c r="T586" i="2"/>
  <c r="T425" i="2"/>
  <c r="T423" i="2"/>
  <c r="Q488" i="2"/>
  <c r="T471" i="2"/>
  <c r="T693" i="2"/>
  <c r="T688" i="2"/>
  <c r="T612" i="2"/>
  <c r="Q467" i="2"/>
  <c r="T632" i="2"/>
  <c r="T515" i="2"/>
  <c r="T511" i="2"/>
  <c r="Q697" i="2"/>
  <c r="T575" i="2"/>
  <c r="T458" i="2"/>
  <c r="T561" i="2"/>
  <c r="Q419" i="2"/>
  <c r="T558" i="2"/>
  <c r="T615" i="2"/>
  <c r="T462" i="2"/>
  <c r="T463" i="2"/>
  <c r="T547" i="2"/>
  <c r="T630" i="2"/>
  <c r="T506" i="2"/>
  <c r="T635" i="2"/>
  <c r="T550" i="2"/>
  <c r="T467" i="2"/>
  <c r="T449" i="2"/>
  <c r="Q470" i="2"/>
  <c r="T551" i="2"/>
  <c r="T490" i="2"/>
  <c r="Q555" i="2"/>
  <c r="T459" i="2"/>
  <c r="T454" i="2"/>
  <c r="T419" i="2"/>
  <c r="T584" i="2"/>
  <c r="T556" i="2"/>
  <c r="T444" i="2"/>
  <c r="T524" i="2"/>
  <c r="Q586" i="2"/>
  <c r="Q465" i="2"/>
  <c r="Q630" i="2"/>
  <c r="T437" i="2"/>
  <c r="Q425" i="2"/>
  <c r="T470" i="2"/>
  <c r="T591" i="2"/>
  <c r="Q693" i="2"/>
  <c r="T485" i="2"/>
  <c r="T453" i="2"/>
  <c r="T637" i="2"/>
  <c r="T676" i="2"/>
  <c r="T679" i="2"/>
  <c r="T494" i="2"/>
  <c r="T600" i="2"/>
  <c r="T660" i="2"/>
  <c r="T559" i="2"/>
  <c r="T694" i="2"/>
  <c r="T623" i="2"/>
  <c r="T543" i="2"/>
  <c r="T465" i="2"/>
  <c r="T570" i="2"/>
  <c r="T527" i="2"/>
  <c r="T491" i="2"/>
  <c r="T697" i="2"/>
  <c r="T479" i="2"/>
  <c r="T536" i="2"/>
  <c r="T522" i="2"/>
  <c r="Q462" i="2"/>
  <c r="T464" i="2"/>
  <c r="T516" i="2"/>
  <c r="T668" i="2"/>
  <c r="Q570" i="2"/>
  <c r="T678" i="2"/>
  <c r="T619" i="2"/>
  <c r="T518" i="2"/>
  <c r="T460" i="2"/>
  <c r="T540" i="2"/>
  <c r="T498" i="2"/>
  <c r="T563" i="2"/>
  <c r="T664" i="2"/>
  <c r="T625" i="2"/>
  <c r="T508" i="2"/>
  <c r="T534" i="2"/>
  <c r="T509" i="2"/>
  <c r="T671" i="2"/>
  <c r="T525" i="2"/>
  <c r="T692" i="2"/>
  <c r="T633" i="2"/>
  <c r="T572" i="2"/>
  <c r="T549" i="2"/>
  <c r="T616" i="2"/>
  <c r="Q421" i="2"/>
  <c r="Q556" i="2"/>
  <c r="T666" i="2"/>
  <c r="T588" i="2"/>
  <c r="Q632" i="2"/>
  <c r="Q598" i="2"/>
  <c r="T617" i="2"/>
  <c r="T581" i="2"/>
  <c r="Q460" i="2"/>
  <c r="T535" i="2"/>
  <c r="T501" i="2"/>
  <c r="T483" i="2"/>
  <c r="T565" i="2"/>
  <c r="T607" i="2"/>
  <c r="T667" i="2"/>
  <c r="T513" i="2"/>
  <c r="T537" i="2"/>
  <c r="T609" i="2"/>
  <c r="T472" i="2"/>
  <c r="T611" i="2"/>
  <c r="Q427" i="2"/>
  <c r="T477" i="2"/>
  <c r="T604" i="2"/>
  <c r="T421" i="2"/>
  <c r="T435" i="2"/>
  <c r="Q464" i="2"/>
  <c r="T544" i="2"/>
  <c r="T445" i="2"/>
  <c r="Q671" i="2"/>
  <c r="Q490" i="2"/>
  <c r="Q485" i="2"/>
  <c r="T598" i="2"/>
  <c r="T576" i="2"/>
  <c r="T620" i="2"/>
  <c r="T478" i="2"/>
  <c r="T519" i="2"/>
  <c r="Q562" i="2"/>
  <c r="T447" i="2"/>
  <c r="T590" i="2"/>
  <c r="Q472" i="2"/>
  <c r="T689" i="2"/>
  <c r="T529" i="2"/>
  <c r="T487" i="2"/>
  <c r="T573" i="2"/>
  <c r="T594" i="2"/>
  <c r="T698" i="2"/>
  <c r="T661" i="2"/>
  <c r="T542" i="2"/>
  <c r="T484" i="2"/>
  <c r="T596" i="2"/>
  <c r="Q590" i="2"/>
  <c r="T455" i="2"/>
  <c r="T474" i="2"/>
  <c r="T427" i="2"/>
  <c r="Q594" i="2"/>
  <c r="T560" i="2"/>
  <c r="T557" i="2"/>
  <c r="T636" i="2"/>
  <c r="T538" i="2"/>
  <c r="T452" i="2"/>
  <c r="Q380" i="2"/>
  <c r="T583" i="2"/>
  <c r="T482" i="2"/>
  <c r="T514" i="2"/>
  <c r="T503" i="2"/>
  <c r="T486" i="2"/>
  <c r="T528" i="2"/>
  <c r="Q631" i="2"/>
  <c r="T691" i="2"/>
  <c r="T446" i="2"/>
  <c r="T567" i="2"/>
  <c r="T608" i="2"/>
  <c r="T582" i="2"/>
  <c r="T502" i="2"/>
  <c r="T568" i="2"/>
  <c r="T448" i="2"/>
  <c r="T531" i="2"/>
  <c r="T500" i="2"/>
  <c r="T562" i="2"/>
  <c r="T380" i="2"/>
  <c r="T441" i="2"/>
  <c r="Q696" i="2"/>
  <c r="Q484" i="2"/>
  <c r="T628" i="2"/>
  <c r="Q474" i="2"/>
  <c r="Q487" i="2"/>
  <c r="T451" i="2"/>
  <c r="Q673" i="2"/>
  <c r="T695" i="2"/>
  <c r="T603" i="2"/>
  <c r="T597" i="2"/>
  <c r="T517" i="2"/>
  <c r="T601" i="2"/>
  <c r="T599" i="2"/>
  <c r="Q461" i="2"/>
  <c r="T521" i="2"/>
  <c r="T627" i="2"/>
  <c r="T505" i="2"/>
  <c r="Q486" i="2"/>
  <c r="T629" i="2"/>
  <c r="T587" i="2"/>
  <c r="T631" i="2"/>
  <c r="T510" i="2"/>
  <c r="T592" i="2"/>
  <c r="T456" i="2"/>
  <c r="T450" i="2"/>
  <c r="T593" i="2"/>
  <c r="Q471" i="2"/>
  <c r="T578" i="2"/>
  <c r="T546" i="2"/>
  <c r="Q473" i="2"/>
  <c r="T512" i="2"/>
  <c r="Q475" i="2"/>
  <c r="Q582" i="2"/>
  <c r="T461" i="2"/>
  <c r="T696" i="2"/>
  <c r="Q578" i="2"/>
  <c r="T443" i="2"/>
  <c r="T566" i="2"/>
  <c r="T670" i="2"/>
  <c r="T433" i="2"/>
  <c r="T469" i="2"/>
  <c r="T669" i="2"/>
  <c r="Q492" i="2"/>
  <c r="Q480" i="2"/>
  <c r="T665" i="2"/>
  <c r="T569" i="2"/>
  <c r="Q557" i="2"/>
  <c r="T539" i="2"/>
  <c r="T475" i="2"/>
  <c r="T523" i="2"/>
  <c r="T585" i="2"/>
  <c r="T493" i="2"/>
  <c r="T496" i="2"/>
  <c r="T495" i="2"/>
  <c r="T507" i="2"/>
  <c r="T476" i="2"/>
  <c r="Q489" i="2"/>
  <c r="T571" i="2"/>
  <c r="T589" i="2"/>
  <c r="T530" i="2"/>
  <c r="T533" i="2"/>
  <c r="T532" i="2"/>
  <c r="T431" i="2"/>
  <c r="T677" i="2"/>
  <c r="T473" i="2"/>
  <c r="T675" i="2"/>
  <c r="T574" i="2"/>
  <c r="T564" i="2"/>
  <c r="T624" i="2"/>
  <c r="Q566" i="2"/>
  <c r="Q469" i="2"/>
  <c r="Q463" i="2"/>
  <c r="T577" i="2"/>
  <c r="T659" i="2"/>
  <c r="T580" i="2"/>
  <c r="Q574" i="2"/>
  <c r="T439" i="2"/>
  <c r="T520" i="2"/>
  <c r="T480" i="2"/>
  <c r="T663" i="2"/>
  <c r="Q496" i="2"/>
  <c r="T674" i="2"/>
  <c r="T548" i="2"/>
  <c r="T595" i="2"/>
  <c r="Q476" i="2"/>
  <c r="T489" i="2"/>
  <c r="T672" i="2"/>
  <c r="T466" i="2"/>
  <c r="Q403" i="2"/>
  <c r="T391" i="2"/>
  <c r="T393" i="2"/>
  <c r="T395" i="2"/>
  <c r="T413" i="2"/>
  <c r="T411" i="2"/>
  <c r="Q389" i="2"/>
  <c r="Q399" i="2"/>
  <c r="T387" i="2"/>
  <c r="T399" i="2"/>
  <c r="T407" i="2"/>
  <c r="T389" i="2"/>
  <c r="Q397" i="2"/>
  <c r="T397" i="2"/>
  <c r="Q384" i="2"/>
  <c r="T417" i="2"/>
  <c r="T384" i="2"/>
  <c r="T409" i="2"/>
  <c r="T415" i="2"/>
  <c r="Q401" i="2"/>
  <c r="T401" i="2"/>
  <c r="T403" i="2"/>
  <c r="Q391" i="2"/>
  <c r="Q142" i="2"/>
  <c r="T218" i="2"/>
  <c r="T245" i="2"/>
  <c r="T84" i="2"/>
  <c r="T76" i="2"/>
  <c r="T355" i="2"/>
  <c r="T4" i="2"/>
  <c r="T135" i="2"/>
  <c r="Q15" i="2"/>
  <c r="T101" i="2"/>
  <c r="T248" i="2"/>
  <c r="T133" i="2"/>
  <c r="T111" i="2"/>
  <c r="T354" i="2"/>
  <c r="T359" i="2"/>
  <c r="Q79" i="2"/>
  <c r="T99" i="2"/>
  <c r="Q82" i="2"/>
  <c r="T124" i="2"/>
  <c r="T13" i="2"/>
  <c r="Q207" i="2"/>
  <c r="Q76" i="2"/>
  <c r="T249" i="2"/>
  <c r="T112" i="2"/>
  <c r="T351" i="2"/>
  <c r="T132" i="2"/>
  <c r="T254" i="2"/>
  <c r="T109" i="2"/>
  <c r="T381" i="2"/>
  <c r="T118" i="2"/>
  <c r="Q359" i="2"/>
  <c r="T242" i="2"/>
  <c r="T223" i="2"/>
  <c r="Q373" i="2"/>
  <c r="T110" i="2"/>
  <c r="Q8" i="2"/>
  <c r="T89" i="2"/>
  <c r="Q73" i="2"/>
  <c r="Q133" i="2"/>
  <c r="T11" i="2"/>
  <c r="T75" i="2"/>
  <c r="T94" i="2"/>
  <c r="Q135" i="2"/>
  <c r="T357" i="2"/>
  <c r="T16" i="2"/>
  <c r="T97" i="2"/>
  <c r="T121" i="2"/>
  <c r="Q223" i="2"/>
  <c r="T14" i="2"/>
  <c r="Q84" i="2"/>
  <c r="T207" i="2"/>
  <c r="T106" i="2"/>
  <c r="T86" i="2"/>
  <c r="T108" i="2"/>
  <c r="Q215" i="2"/>
  <c r="T15" i="2"/>
  <c r="T30" i="2"/>
  <c r="T140" i="2"/>
  <c r="T102" i="2"/>
  <c r="T228" i="2"/>
  <c r="T8" i="2"/>
  <c r="T213" i="2"/>
  <c r="T129" i="2"/>
  <c r="T138" i="2"/>
  <c r="T136" i="2"/>
  <c r="Q16" i="2"/>
  <c r="T80" i="2"/>
  <c r="Q204" i="2"/>
  <c r="Q14" i="2"/>
  <c r="T35" i="2"/>
  <c r="T246" i="2"/>
  <c r="T217" i="2"/>
  <c r="T3" i="2"/>
  <c r="T87" i="2"/>
  <c r="T233" i="2"/>
  <c r="Q210" i="2"/>
  <c r="T7" i="2"/>
  <c r="T9" i="2"/>
  <c r="T128" i="2"/>
  <c r="T215" i="2"/>
  <c r="Q138" i="2"/>
  <c r="Q140" i="2"/>
  <c r="T360" i="2"/>
  <c r="Q83" i="2"/>
  <c r="T204" i="2"/>
  <c r="T373" i="2"/>
  <c r="Q35" i="2"/>
  <c r="T131" i="2"/>
  <c r="T210" i="2"/>
  <c r="Q213" i="2"/>
  <c r="T73" i="2"/>
  <c r="T378" i="2"/>
  <c r="T216" i="2"/>
  <c r="T78" i="2"/>
  <c r="Q80" i="2"/>
  <c r="T117" i="2"/>
  <c r="Q139" i="2"/>
  <c r="T34" i="2"/>
  <c r="T205" i="2"/>
  <c r="Q137" i="2"/>
  <c r="Q217" i="2"/>
  <c r="T237" i="2"/>
  <c r="T251" i="2"/>
  <c r="Q7" i="2"/>
  <c r="Q9" i="2"/>
  <c r="T252" i="2"/>
  <c r="T95" i="2"/>
  <c r="Q136" i="2"/>
  <c r="T31" i="2"/>
  <c r="T83" i="2"/>
  <c r="T137" i="2"/>
  <c r="T125" i="2"/>
  <c r="Q86" i="2"/>
  <c r="Q131" i="2"/>
  <c r="Q214" i="2"/>
  <c r="T230" i="2"/>
  <c r="T130" i="2"/>
  <c r="Q78" i="2"/>
  <c r="T119" i="2"/>
  <c r="T221" i="2"/>
  <c r="T122" i="2"/>
  <c r="T103" i="2"/>
  <c r="T77" i="2"/>
  <c r="T227" i="2"/>
  <c r="T247" i="2"/>
  <c r="T126" i="2"/>
  <c r="T377" i="2"/>
  <c r="T214" i="2"/>
  <c r="T74" i="2"/>
  <c r="T235" i="2"/>
  <c r="T70" i="2"/>
  <c r="Q216" i="2"/>
  <c r="Q141" i="2"/>
  <c r="T243" i="2"/>
  <c r="Q77" i="2"/>
  <c r="Q205" i="2"/>
  <c r="T206" i="2"/>
  <c r="Q37" i="2"/>
  <c r="T253" i="2"/>
  <c r="T90" i="2"/>
  <c r="T91" i="2"/>
  <c r="T68" i="2"/>
  <c r="Q70" i="2"/>
  <c r="T382" i="2"/>
  <c r="Q221" i="2"/>
  <c r="T361" i="2"/>
  <c r="Q224" i="2"/>
  <c r="Q206" i="2"/>
  <c r="T116" i="2"/>
  <c r="Q377" i="2"/>
  <c r="T92" i="2"/>
  <c r="T93" i="2"/>
  <c r="T219" i="2"/>
  <c r="T100" i="2"/>
  <c r="T238" i="2"/>
  <c r="T139" i="2"/>
  <c r="Q81" i="2"/>
  <c r="T224" i="2"/>
  <c r="Q85" i="2"/>
  <c r="Q208" i="2"/>
  <c r="T37" i="2"/>
  <c r="T250" i="2"/>
  <c r="T353" i="2"/>
  <c r="T71" i="2"/>
  <c r="Q134" i="2"/>
  <c r="T120" i="2"/>
  <c r="Q209" i="2"/>
  <c r="T36" i="2"/>
  <c r="T98" i="2"/>
  <c r="T141" i="2"/>
  <c r="T104" i="2"/>
  <c r="T225" i="2"/>
  <c r="T107" i="2"/>
  <c r="T232" i="2"/>
  <c r="T113" i="2"/>
  <c r="T234" i="2"/>
  <c r="T72" i="2"/>
  <c r="T115" i="2"/>
  <c r="T69" i="2"/>
  <c r="Q219" i="2"/>
  <c r="T356" i="2"/>
  <c r="T240" i="2"/>
  <c r="T208" i="2"/>
  <c r="T229" i="2"/>
  <c r="T134" i="2"/>
  <c r="T236" i="2"/>
  <c r="Q220" i="2"/>
  <c r="T241" i="2"/>
  <c r="T222" i="2"/>
  <c r="T32" i="2"/>
  <c r="T142" i="2"/>
  <c r="T244" i="2"/>
  <c r="T85" i="2"/>
  <c r="T379" i="2"/>
  <c r="T127" i="2"/>
  <c r="T211" i="2"/>
  <c r="T352" i="2"/>
  <c r="T6" i="2"/>
  <c r="T114" i="2"/>
  <c r="Q353" i="2"/>
  <c r="T231" i="2"/>
  <c r="Q212" i="2"/>
  <c r="T96" i="2"/>
  <c r="T239" i="2"/>
  <c r="T220" i="2"/>
  <c r="T358" i="2"/>
  <c r="T81" i="2"/>
  <c r="Q222" i="2"/>
  <c r="T123" i="2"/>
  <c r="Q218" i="2"/>
  <c r="T226" i="2"/>
  <c r="T5" i="2"/>
  <c r="T88" i="2"/>
  <c r="T212" i="2"/>
  <c r="T362" i="2"/>
  <c r="T12" i="2"/>
  <c r="T79" i="2"/>
  <c r="T82" i="2"/>
  <c r="T33" i="2"/>
  <c r="T105" i="2"/>
  <c r="T209" i="2"/>
  <c r="Q211" i="2"/>
  <c r="Q132" i="2"/>
  <c r="T10" i="2"/>
  <c r="Q352" i="2"/>
  <c r="T255" i="2"/>
  <c r="Q36" i="2"/>
  <c r="AC375" i="2"/>
  <c r="A17" i="13"/>
  <c r="A19" i="13"/>
  <c r="A18" i="13"/>
  <c r="A2" i="13"/>
  <c r="A3" i="13"/>
  <c r="A4" i="13"/>
  <c r="X341" i="2" l="1"/>
  <c r="V341" i="2"/>
  <c r="U341" i="2"/>
  <c r="U313" i="2"/>
  <c r="X313" i="2"/>
  <c r="V313" i="2"/>
  <c r="U321" i="2"/>
  <c r="X321" i="2"/>
  <c r="V321" i="2"/>
  <c r="X276" i="2"/>
  <c r="V276" i="2"/>
  <c r="U276" i="2"/>
  <c r="X345" i="2"/>
  <c r="U345" i="2"/>
  <c r="V345" i="2"/>
  <c r="U283" i="2"/>
  <c r="X283" i="2"/>
  <c r="V283" i="2"/>
  <c r="X383" i="2"/>
  <c r="V383" i="2"/>
  <c r="U383" i="2"/>
  <c r="X682" i="2"/>
  <c r="U682" i="2"/>
  <c r="V682" i="2"/>
  <c r="X642" i="2"/>
  <c r="U642" i="2"/>
  <c r="V642" i="2"/>
  <c r="V749" i="2"/>
  <c r="X749" i="2"/>
  <c r="U749" i="2"/>
  <c r="X743" i="2"/>
  <c r="U743" i="2"/>
  <c r="V743" i="2"/>
  <c r="X721" i="2"/>
  <c r="U721" i="2"/>
  <c r="V721" i="2"/>
  <c r="X719" i="2"/>
  <c r="V719" i="2"/>
  <c r="U719" i="2"/>
  <c r="U746" i="2"/>
  <c r="X746" i="2"/>
  <c r="V746" i="2"/>
  <c r="U786" i="2"/>
  <c r="X786" i="2"/>
  <c r="V786" i="2"/>
  <c r="U864" i="2"/>
  <c r="X864" i="2"/>
  <c r="V864" i="2"/>
  <c r="X765" i="2"/>
  <c r="U765" i="2"/>
  <c r="V765" i="2"/>
  <c r="U925" i="2"/>
  <c r="X925" i="2"/>
  <c r="V925" i="2"/>
  <c r="X774" i="2"/>
  <c r="V774" i="2"/>
  <c r="U774" i="2"/>
  <c r="X781" i="2"/>
  <c r="U781" i="2"/>
  <c r="V781" i="2"/>
  <c r="U788" i="2"/>
  <c r="X788" i="2"/>
  <c r="V788" i="2"/>
  <c r="U878" i="2"/>
  <c r="X878" i="2"/>
  <c r="V878" i="2"/>
  <c r="V18" i="2"/>
  <c r="U18" i="2"/>
  <c r="X18" i="2"/>
  <c r="X867" i="2"/>
  <c r="U867" i="2"/>
  <c r="V867" i="2"/>
  <c r="U868" i="2"/>
  <c r="X868" i="2"/>
  <c r="V868" i="2"/>
  <c r="V1073" i="2"/>
  <c r="U1073" i="2"/>
  <c r="X1073" i="2"/>
  <c r="U1028" i="2"/>
  <c r="X1028" i="2"/>
  <c r="V1028" i="2"/>
  <c r="U1038" i="2"/>
  <c r="X1038" i="2"/>
  <c r="V1038" i="2"/>
  <c r="V1044" i="2"/>
  <c r="U1044" i="2"/>
  <c r="X1044" i="2"/>
  <c r="V172" i="2"/>
  <c r="U172" i="2"/>
  <c r="X172" i="2"/>
  <c r="V66" i="2"/>
  <c r="U66" i="2"/>
  <c r="X66" i="2"/>
  <c r="U50" i="2"/>
  <c r="V50" i="2"/>
  <c r="X50" i="2"/>
  <c r="V168" i="2"/>
  <c r="X168" i="2"/>
  <c r="AI168" i="2"/>
  <c r="U168" i="2"/>
  <c r="AI863" i="2"/>
  <c r="X863" i="2"/>
  <c r="V863" i="2"/>
  <c r="U863" i="2"/>
  <c r="AI1195" i="2"/>
  <c r="U1195" i="2"/>
  <c r="V1195" i="2"/>
  <c r="X1195" i="2"/>
  <c r="AI1182" i="2"/>
  <c r="V1182" i="2"/>
  <c r="U1182" i="2"/>
  <c r="X1182" i="2"/>
  <c r="AI1202" i="2"/>
  <c r="U1202" i="2"/>
  <c r="X1202" i="2"/>
  <c r="V1202" i="2"/>
  <c r="AI1185" i="2"/>
  <c r="U1185" i="2"/>
  <c r="X1185" i="2"/>
  <c r="V1185" i="2"/>
  <c r="AI999" i="2"/>
  <c r="U999" i="2"/>
  <c r="X999" i="2"/>
  <c r="V999" i="2"/>
  <c r="V1289" i="2"/>
  <c r="U1289" i="2"/>
  <c r="AI1289" i="2"/>
  <c r="X1289" i="2"/>
  <c r="AI1276" i="2"/>
  <c r="U1276" i="2"/>
  <c r="X1276" i="2"/>
  <c r="V1276" i="2"/>
  <c r="AI1005" i="2"/>
  <c r="V1005" i="2"/>
  <c r="X1005" i="2"/>
  <c r="U1005" i="2"/>
  <c r="AI1006" i="2"/>
  <c r="U1006" i="2"/>
  <c r="V1006" i="2"/>
  <c r="X1006" i="2"/>
  <c r="AI1287" i="2"/>
  <c r="U1287" i="2"/>
  <c r="V1287" i="2"/>
  <c r="X1287" i="2"/>
  <c r="U364" i="2"/>
  <c r="V364" i="2"/>
  <c r="X364" i="2"/>
  <c r="V404" i="2"/>
  <c r="X404" i="2"/>
  <c r="U404" i="2"/>
  <c r="X1447" i="2"/>
  <c r="V1447" i="2"/>
  <c r="U1447" i="2"/>
  <c r="AI1447" i="2"/>
  <c r="U1328" i="2"/>
  <c r="AI1328" i="2"/>
  <c r="X1328" i="2"/>
  <c r="V1328" i="2"/>
  <c r="V1374" i="2"/>
  <c r="U1374" i="2"/>
  <c r="X1374" i="2"/>
  <c r="AI1374" i="2"/>
  <c r="AI1352" i="2"/>
  <c r="U1352" i="2"/>
  <c r="V1352" i="2"/>
  <c r="X1352" i="2"/>
  <c r="V1420" i="2"/>
  <c r="U1420" i="2"/>
  <c r="AI1420" i="2"/>
  <c r="X1420" i="2"/>
  <c r="X1396" i="2"/>
  <c r="V1396" i="2"/>
  <c r="U1396" i="2"/>
  <c r="AI1396" i="2"/>
  <c r="U1428" i="2"/>
  <c r="V1428" i="2"/>
  <c r="AI1428" i="2"/>
  <c r="X1428" i="2"/>
  <c r="AI1455" i="2"/>
  <c r="V1455" i="2"/>
  <c r="X1455" i="2"/>
  <c r="U1455" i="2"/>
  <c r="U1479" i="2"/>
  <c r="AI1479" i="2"/>
  <c r="X1479" i="2"/>
  <c r="V1479" i="2"/>
  <c r="U1331" i="2"/>
  <c r="X1331" i="2"/>
  <c r="V1331" i="2"/>
  <c r="AI1331" i="2"/>
  <c r="V1355" i="2"/>
  <c r="AI1355" i="2"/>
  <c r="X1355" i="2"/>
  <c r="U1355" i="2"/>
  <c r="AI1379" i="2"/>
  <c r="U1379" i="2"/>
  <c r="V1379" i="2"/>
  <c r="X1379" i="2"/>
  <c r="X1403" i="2"/>
  <c r="V1403" i="2"/>
  <c r="AI1403" i="2"/>
  <c r="U1403" i="2"/>
  <c r="V1427" i="2"/>
  <c r="U1427" i="2"/>
  <c r="X1427" i="2"/>
  <c r="AI1427" i="2"/>
  <c r="W906" i="2"/>
  <c r="AF906" i="2"/>
  <c r="W1206" i="2"/>
  <c r="AF1206" i="2"/>
  <c r="W1185" i="2"/>
  <c r="AF1185" i="2"/>
  <c r="W1193" i="2"/>
  <c r="AF1193" i="2"/>
  <c r="W1023" i="2"/>
  <c r="AF1023" i="2"/>
  <c r="AF1260" i="2"/>
  <c r="W1260" i="2"/>
  <c r="W1004" i="2"/>
  <c r="AF1004" i="2"/>
  <c r="W1296" i="2"/>
  <c r="AF1296" i="2"/>
  <c r="AF1276" i="2"/>
  <c r="W1276" i="2"/>
  <c r="W1266" i="2"/>
  <c r="AF1266" i="2"/>
  <c r="W553" i="2"/>
  <c r="AF553" i="2"/>
  <c r="W1449" i="2"/>
  <c r="AF1449" i="2"/>
  <c r="AF634" i="2"/>
  <c r="W634" i="2"/>
  <c r="W1359" i="2"/>
  <c r="AF1359" i="2"/>
  <c r="W1322" i="2"/>
  <c r="AF1322" i="2"/>
  <c r="W1469" i="2"/>
  <c r="AF1469" i="2"/>
  <c r="AF1475" i="2"/>
  <c r="W1475" i="2"/>
  <c r="W1331" i="2"/>
  <c r="AF1331" i="2"/>
  <c r="W1392" i="2"/>
  <c r="AF1392" i="2"/>
  <c r="W1395" i="2"/>
  <c r="AF1395" i="2"/>
  <c r="W1336" i="2"/>
  <c r="AF1336" i="2"/>
  <c r="W1398" i="2"/>
  <c r="AF1398" i="2"/>
  <c r="AF1440" i="2"/>
  <c r="W1440" i="2"/>
  <c r="W1436" i="2"/>
  <c r="AF1436" i="2"/>
  <c r="W1454" i="2"/>
  <c r="AF1454" i="2"/>
  <c r="W1478" i="2"/>
  <c r="AF1478" i="2"/>
  <c r="X1462" i="2"/>
  <c r="U1462" i="2"/>
  <c r="AI1462" i="2"/>
  <c r="V1462" i="2"/>
  <c r="U1486" i="2"/>
  <c r="AI1486" i="2"/>
  <c r="V1486" i="2"/>
  <c r="X1486" i="2"/>
  <c r="U275" i="2"/>
  <c r="X275" i="2"/>
  <c r="V275" i="2"/>
  <c r="U343" i="2"/>
  <c r="V343" i="2"/>
  <c r="X343" i="2"/>
  <c r="X325" i="2"/>
  <c r="V325" i="2"/>
  <c r="U325" i="2"/>
  <c r="U408" i="2"/>
  <c r="V408" i="2"/>
  <c r="X408" i="2"/>
  <c r="X648" i="2"/>
  <c r="V648" i="2"/>
  <c r="U648" i="2"/>
  <c r="X650" i="2"/>
  <c r="U650" i="2"/>
  <c r="V650" i="2"/>
  <c r="U918" i="2"/>
  <c r="X918" i="2"/>
  <c r="V918" i="2"/>
  <c r="U894" i="2"/>
  <c r="X894" i="2"/>
  <c r="V894" i="2"/>
  <c r="X163" i="2"/>
  <c r="U163" i="2"/>
  <c r="V163" i="2"/>
  <c r="U158" i="2"/>
  <c r="X158" i="2"/>
  <c r="V158" i="2"/>
  <c r="AI158" i="2"/>
  <c r="AI1203" i="2"/>
  <c r="U1203" i="2"/>
  <c r="X1203" i="2"/>
  <c r="V1203" i="2"/>
  <c r="X1258" i="2"/>
  <c r="AI1258" i="2"/>
  <c r="U1258" i="2"/>
  <c r="V1258" i="2"/>
  <c r="AI1016" i="2"/>
  <c r="U1016" i="2"/>
  <c r="V1016" i="2"/>
  <c r="X1016" i="2"/>
  <c r="V428" i="2"/>
  <c r="U428" i="2"/>
  <c r="X428" i="2"/>
  <c r="V1322" i="2"/>
  <c r="U1322" i="2"/>
  <c r="X1322" i="2"/>
  <c r="AI1322" i="2"/>
  <c r="V1382" i="2"/>
  <c r="U1382" i="2"/>
  <c r="X1382" i="2"/>
  <c r="AI1382" i="2"/>
  <c r="AI1400" i="2"/>
  <c r="V1400" i="2"/>
  <c r="U1400" i="2"/>
  <c r="X1400" i="2"/>
  <c r="X1408" i="2"/>
  <c r="V1408" i="2"/>
  <c r="U1408" i="2"/>
  <c r="AI1408" i="2"/>
  <c r="V1430" i="2"/>
  <c r="U1430" i="2"/>
  <c r="AI1430" i="2"/>
  <c r="X1430" i="2"/>
  <c r="U1457" i="2"/>
  <c r="AI1457" i="2"/>
  <c r="V1457" i="2"/>
  <c r="X1457" i="2"/>
  <c r="V1481" i="2"/>
  <c r="X1481" i="2"/>
  <c r="U1481" i="2"/>
  <c r="AI1481" i="2"/>
  <c r="AI1333" i="2"/>
  <c r="U1333" i="2"/>
  <c r="X1333" i="2"/>
  <c r="V1333" i="2"/>
  <c r="U1357" i="2"/>
  <c r="V1357" i="2"/>
  <c r="X1357" i="2"/>
  <c r="AI1357" i="2"/>
  <c r="U1381" i="2"/>
  <c r="X1381" i="2"/>
  <c r="V1381" i="2"/>
  <c r="AI1381" i="2"/>
  <c r="X1429" i="2"/>
  <c r="U1429" i="2"/>
  <c r="V1429" i="2"/>
  <c r="AI1429" i="2"/>
  <c r="AF708" i="2"/>
  <c r="W708" i="2"/>
  <c r="W1195" i="2"/>
  <c r="AF1195" i="2"/>
  <c r="W1208" i="2"/>
  <c r="AF1208" i="2"/>
  <c r="W1182" i="2"/>
  <c r="AF1182" i="2"/>
  <c r="W1204" i="2"/>
  <c r="AF1204" i="2"/>
  <c r="W999" i="2"/>
  <c r="AF999" i="2"/>
  <c r="W1259" i="2"/>
  <c r="AF1259" i="2"/>
  <c r="AF1267" i="2"/>
  <c r="W1267" i="2"/>
  <c r="AF1257" i="2"/>
  <c r="W1257" i="2"/>
  <c r="AF1272" i="2"/>
  <c r="W1272" i="2"/>
  <c r="AF1285" i="2"/>
  <c r="W1285" i="2"/>
  <c r="W1334" i="2"/>
  <c r="AF1334" i="2"/>
  <c r="W1406" i="2"/>
  <c r="AF1406" i="2"/>
  <c r="AF618" i="2"/>
  <c r="W618" i="2"/>
  <c r="W1401" i="2"/>
  <c r="AF1401" i="2"/>
  <c r="W1345" i="2"/>
  <c r="AF1345" i="2"/>
  <c r="W1378" i="2"/>
  <c r="AF1378" i="2"/>
  <c r="W1487" i="2"/>
  <c r="AF1487" i="2"/>
  <c r="W1343" i="2"/>
  <c r="AF1343" i="2"/>
  <c r="W1430" i="2"/>
  <c r="AF1430" i="2"/>
  <c r="W1400" i="2"/>
  <c r="AF1400" i="2"/>
  <c r="W1329" i="2"/>
  <c r="AF1329" i="2"/>
  <c r="W1489" i="2"/>
  <c r="AF1489" i="2"/>
  <c r="W1405" i="2"/>
  <c r="AF1405" i="2"/>
  <c r="W1457" i="2"/>
  <c r="AF1457" i="2"/>
  <c r="W1337" i="2"/>
  <c r="AF1337" i="2"/>
  <c r="W1453" i="2"/>
  <c r="AF1453" i="2"/>
  <c r="W1429" i="2"/>
  <c r="AF1429" i="2"/>
  <c r="W1456" i="2"/>
  <c r="AF1456" i="2"/>
  <c r="W1480" i="2"/>
  <c r="AF1480" i="2"/>
  <c r="X1464" i="2"/>
  <c r="AI1464" i="2"/>
  <c r="V1464" i="2"/>
  <c r="U1464" i="2"/>
  <c r="V1488" i="2"/>
  <c r="U1488" i="2"/>
  <c r="AI1488" i="2"/>
  <c r="X1488" i="2"/>
  <c r="X290" i="2"/>
  <c r="V290" i="2"/>
  <c r="U290" i="2"/>
  <c r="X684" i="2"/>
  <c r="V684" i="2"/>
  <c r="U684" i="2"/>
  <c r="V686" i="2"/>
  <c r="X686" i="2"/>
  <c r="U686" i="2"/>
  <c r="X712" i="2"/>
  <c r="U712" i="2"/>
  <c r="V712" i="2"/>
  <c r="X726" i="2"/>
  <c r="V726" i="2"/>
  <c r="U726" i="2"/>
  <c r="U895" i="2"/>
  <c r="X895" i="2"/>
  <c r="V895" i="2"/>
  <c r="U899" i="2"/>
  <c r="X899" i="2"/>
  <c r="V899" i="2"/>
  <c r="X880" i="2"/>
  <c r="U880" i="2"/>
  <c r="V880" i="2"/>
  <c r="U882" i="2"/>
  <c r="X882" i="2"/>
  <c r="V882" i="2"/>
  <c r="V171" i="2"/>
  <c r="U171" i="2"/>
  <c r="X171" i="2"/>
  <c r="X169" i="2"/>
  <c r="V169" i="2"/>
  <c r="U169" i="2"/>
  <c r="X708" i="2"/>
  <c r="U708" i="2"/>
  <c r="V708" i="2"/>
  <c r="AI708" i="2"/>
  <c r="AI1184" i="2"/>
  <c r="V1184" i="2"/>
  <c r="X1184" i="2"/>
  <c r="U1184" i="2"/>
  <c r="U998" i="2"/>
  <c r="V998" i="2"/>
  <c r="X998" i="2"/>
  <c r="AI998" i="2"/>
  <c r="V1275" i="2"/>
  <c r="U1275" i="2"/>
  <c r="AI1275" i="2"/>
  <c r="X1275" i="2"/>
  <c r="V1286" i="2"/>
  <c r="U1286" i="2"/>
  <c r="AI1286" i="2"/>
  <c r="X1286" i="2"/>
  <c r="U1332" i="2"/>
  <c r="AI1332" i="2"/>
  <c r="X1332" i="2"/>
  <c r="V1332" i="2"/>
  <c r="X1445" i="2"/>
  <c r="AI1445" i="2"/>
  <c r="V1445" i="2"/>
  <c r="U1445" i="2"/>
  <c r="X1405" i="2"/>
  <c r="AI1405" i="2"/>
  <c r="U1405" i="2"/>
  <c r="V1405" i="2"/>
  <c r="AI341" i="2"/>
  <c r="AI408" i="2"/>
  <c r="AI743" i="2"/>
  <c r="AI899" i="2"/>
  <c r="AI925" i="2"/>
  <c r="AI880" i="2"/>
  <c r="AI867" i="2"/>
  <c r="AI171" i="2"/>
  <c r="U285" i="2"/>
  <c r="X285" i="2"/>
  <c r="V285" i="2"/>
  <c r="X350" i="2"/>
  <c r="V350" i="2"/>
  <c r="U350" i="2"/>
  <c r="U314" i="2"/>
  <c r="X314" i="2"/>
  <c r="V314" i="2"/>
  <c r="U281" i="2"/>
  <c r="X281" i="2"/>
  <c r="V281" i="2"/>
  <c r="X392" i="2"/>
  <c r="U392" i="2"/>
  <c r="V392" i="2"/>
  <c r="X685" i="2"/>
  <c r="V685" i="2"/>
  <c r="U685" i="2"/>
  <c r="U657" i="2"/>
  <c r="X657" i="2"/>
  <c r="V657" i="2"/>
  <c r="U681" i="2"/>
  <c r="X681" i="2"/>
  <c r="V681" i="2"/>
  <c r="X747" i="2"/>
  <c r="U747" i="2"/>
  <c r="V747" i="2"/>
  <c r="X733" i="2"/>
  <c r="V733" i="2"/>
  <c r="U733" i="2"/>
  <c r="X735" i="2"/>
  <c r="U735" i="2"/>
  <c r="V735" i="2"/>
  <c r="X703" i="2"/>
  <c r="U703" i="2"/>
  <c r="V703" i="2"/>
  <c r="X739" i="2"/>
  <c r="V739" i="2"/>
  <c r="U739" i="2"/>
  <c r="X903" i="2"/>
  <c r="U903" i="2"/>
  <c r="V903" i="2"/>
  <c r="U890" i="2"/>
  <c r="V890" i="2"/>
  <c r="X890" i="2"/>
  <c r="X759" i="2"/>
  <c r="U759" i="2"/>
  <c r="V759" i="2"/>
  <c r="U911" i="2"/>
  <c r="X911" i="2"/>
  <c r="V911" i="2"/>
  <c r="X770" i="2"/>
  <c r="U770" i="2"/>
  <c r="V770" i="2"/>
  <c r="U783" i="2"/>
  <c r="X783" i="2"/>
  <c r="V783" i="2"/>
  <c r="X917" i="2"/>
  <c r="V917" i="2"/>
  <c r="U917" i="2"/>
  <c r="X28" i="2"/>
  <c r="U28" i="2"/>
  <c r="V28" i="2"/>
  <c r="U877" i="2"/>
  <c r="X877" i="2"/>
  <c r="V877" i="2"/>
  <c r="V151" i="2"/>
  <c r="X151" i="2"/>
  <c r="U151" i="2"/>
  <c r="U1075" i="2"/>
  <c r="V1075" i="2"/>
  <c r="X1075" i="2"/>
  <c r="V1072" i="2"/>
  <c r="U1072" i="2"/>
  <c r="X1072" i="2"/>
  <c r="U1071" i="2"/>
  <c r="X1071" i="2"/>
  <c r="V1071" i="2"/>
  <c r="V150" i="2"/>
  <c r="U150" i="2"/>
  <c r="X150" i="2"/>
  <c r="X19" i="2"/>
  <c r="V19" i="2"/>
  <c r="U19" i="2"/>
  <c r="U57" i="2"/>
  <c r="V57" i="2"/>
  <c r="X57" i="2"/>
  <c r="AI57" i="2"/>
  <c r="V1214" i="2"/>
  <c r="U1214" i="2"/>
  <c r="X1214" i="2"/>
  <c r="AI1214" i="2"/>
  <c r="AI1196" i="2"/>
  <c r="V1196" i="2"/>
  <c r="U1196" i="2"/>
  <c r="X1196" i="2"/>
  <c r="AI1183" i="2"/>
  <c r="U1183" i="2"/>
  <c r="V1183" i="2"/>
  <c r="X1183" i="2"/>
  <c r="X1017" i="2"/>
  <c r="U1017" i="2"/>
  <c r="V1017" i="2"/>
  <c r="AI1017" i="2"/>
  <c r="V1295" i="2"/>
  <c r="U1295" i="2"/>
  <c r="X1295" i="2"/>
  <c r="AI1295" i="2"/>
  <c r="X1291" i="2"/>
  <c r="V1291" i="2"/>
  <c r="U1291" i="2"/>
  <c r="AI1291" i="2"/>
  <c r="V1013" i="2"/>
  <c r="AI1013" i="2"/>
  <c r="U1013" i="2"/>
  <c r="X1013" i="2"/>
  <c r="AI1010" i="2"/>
  <c r="U1010" i="2"/>
  <c r="X1010" i="2"/>
  <c r="V1010" i="2"/>
  <c r="U1283" i="2"/>
  <c r="V1283" i="2"/>
  <c r="AI1283" i="2"/>
  <c r="X1283" i="2"/>
  <c r="U369" i="2"/>
  <c r="X369" i="2"/>
  <c r="V369" i="2"/>
  <c r="U618" i="2"/>
  <c r="X618" i="2"/>
  <c r="V618" i="2"/>
  <c r="AI618" i="2"/>
  <c r="U1354" i="2"/>
  <c r="V1354" i="2"/>
  <c r="AI1354" i="2"/>
  <c r="X1354" i="2"/>
  <c r="U1404" i="2"/>
  <c r="V1404" i="2"/>
  <c r="AI1404" i="2"/>
  <c r="X1404" i="2"/>
  <c r="V1412" i="2"/>
  <c r="X1412" i="2"/>
  <c r="U1412" i="2"/>
  <c r="AI1412" i="2"/>
  <c r="X1432" i="2"/>
  <c r="AI1432" i="2"/>
  <c r="V1432" i="2"/>
  <c r="U1432" i="2"/>
  <c r="V1459" i="2"/>
  <c r="X1459" i="2"/>
  <c r="AI1459" i="2"/>
  <c r="U1459" i="2"/>
  <c r="V1483" i="2"/>
  <c r="X1483" i="2"/>
  <c r="U1483" i="2"/>
  <c r="AI1483" i="2"/>
  <c r="AI1335" i="2"/>
  <c r="V1335" i="2"/>
  <c r="U1335" i="2"/>
  <c r="X1335" i="2"/>
  <c r="AI1359" i="2"/>
  <c r="U1359" i="2"/>
  <c r="X1359" i="2"/>
  <c r="V1359" i="2"/>
  <c r="AI1383" i="2"/>
  <c r="U1383" i="2"/>
  <c r="X1383" i="2"/>
  <c r="V1383" i="2"/>
  <c r="U1407" i="2"/>
  <c r="AI1407" i="2"/>
  <c r="V1407" i="2"/>
  <c r="X1407" i="2"/>
  <c r="U1431" i="2"/>
  <c r="AI1431" i="2"/>
  <c r="V1431" i="2"/>
  <c r="X1431" i="2"/>
  <c r="W863" i="2"/>
  <c r="AF863" i="2"/>
  <c r="W1201" i="2"/>
  <c r="AF1201" i="2"/>
  <c r="W1203" i="2"/>
  <c r="AF1203" i="2"/>
  <c r="W1180" i="2"/>
  <c r="AF1180" i="2"/>
  <c r="W1258" i="2"/>
  <c r="AF1258" i="2"/>
  <c r="AF1292" i="2"/>
  <c r="W1292" i="2"/>
  <c r="AF1271" i="2"/>
  <c r="W1271" i="2"/>
  <c r="W1342" i="2"/>
  <c r="AF1342" i="2"/>
  <c r="W1335" i="2"/>
  <c r="AF1335" i="2"/>
  <c r="W1463" i="2"/>
  <c r="AF1463" i="2"/>
  <c r="W1355" i="2"/>
  <c r="AF1355" i="2"/>
  <c r="W1434" i="2"/>
  <c r="AF1434" i="2"/>
  <c r="W1407" i="2"/>
  <c r="AF1407" i="2"/>
  <c r="W1341" i="2"/>
  <c r="AF1341" i="2"/>
  <c r="W1346" i="2"/>
  <c r="AF1346" i="2"/>
  <c r="W1410" i="2"/>
  <c r="AF1410" i="2"/>
  <c r="W1477" i="2"/>
  <c r="AF1477" i="2"/>
  <c r="W1349" i="2"/>
  <c r="AF1349" i="2"/>
  <c r="W1431" i="2"/>
  <c r="AF1431" i="2"/>
  <c r="W1458" i="2"/>
  <c r="AF1458" i="2"/>
  <c r="AF1482" i="2"/>
  <c r="W1482" i="2"/>
  <c r="V1466" i="2"/>
  <c r="X1466" i="2"/>
  <c r="U1466" i="2"/>
  <c r="AI1466" i="2"/>
  <c r="V1490" i="2"/>
  <c r="U1490" i="2"/>
  <c r="AI1490" i="2"/>
  <c r="X1490" i="2"/>
  <c r="U289" i="2"/>
  <c r="X289" i="2"/>
  <c r="V289" i="2"/>
  <c r="X701" i="2"/>
  <c r="U701" i="2"/>
  <c r="V701" i="2"/>
  <c r="U920" i="2"/>
  <c r="X920" i="2"/>
  <c r="V920" i="2"/>
  <c r="U773" i="2"/>
  <c r="X773" i="2"/>
  <c r="V773" i="2"/>
  <c r="V166" i="2"/>
  <c r="U166" i="2"/>
  <c r="X166" i="2"/>
  <c r="AI1210" i="2"/>
  <c r="U1210" i="2"/>
  <c r="V1210" i="2"/>
  <c r="X1210" i="2"/>
  <c r="AI1273" i="2"/>
  <c r="X1273" i="2"/>
  <c r="V1273" i="2"/>
  <c r="U1273" i="2"/>
  <c r="U610" i="2"/>
  <c r="V610" i="2"/>
  <c r="AI610" i="2"/>
  <c r="X610" i="2"/>
  <c r="AI289" i="2"/>
  <c r="AI878" i="2"/>
  <c r="AI169" i="2"/>
  <c r="X317" i="2"/>
  <c r="U317" i="2"/>
  <c r="V317" i="2"/>
  <c r="X330" i="2"/>
  <c r="U330" i="2"/>
  <c r="V330" i="2"/>
  <c r="X344" i="2"/>
  <c r="V344" i="2"/>
  <c r="U344" i="2"/>
  <c r="X323" i="2"/>
  <c r="U323" i="2"/>
  <c r="V323" i="2"/>
  <c r="X286" i="2"/>
  <c r="U286" i="2"/>
  <c r="V286" i="2"/>
  <c r="U412" i="2"/>
  <c r="X412" i="2"/>
  <c r="V412" i="2"/>
  <c r="X645" i="2"/>
  <c r="V645" i="2"/>
  <c r="U645" i="2"/>
  <c r="V640" i="2"/>
  <c r="U640" i="2"/>
  <c r="X640" i="2"/>
  <c r="V656" i="2"/>
  <c r="X656" i="2"/>
  <c r="U656" i="2"/>
  <c r="U420" i="2"/>
  <c r="X420" i="2"/>
  <c r="V420" i="2"/>
  <c r="X706" i="2"/>
  <c r="U706" i="2"/>
  <c r="V706" i="2"/>
  <c r="X723" i="2"/>
  <c r="U723" i="2"/>
  <c r="V723" i="2"/>
  <c r="X710" i="2"/>
  <c r="U710" i="2"/>
  <c r="V710" i="2"/>
  <c r="X748" i="2"/>
  <c r="U748" i="2"/>
  <c r="V748" i="2"/>
  <c r="X729" i="2"/>
  <c r="V729" i="2"/>
  <c r="U729" i="2"/>
  <c r="U776" i="2"/>
  <c r="V776" i="2"/>
  <c r="X776" i="2"/>
  <c r="X787" i="2"/>
  <c r="V787" i="2"/>
  <c r="U787" i="2"/>
  <c r="U768" i="2"/>
  <c r="V768" i="2"/>
  <c r="X768" i="2"/>
  <c r="V909" i="2"/>
  <c r="X909" i="2"/>
  <c r="U909" i="2"/>
  <c r="X923" i="2"/>
  <c r="V923" i="2"/>
  <c r="U923" i="2"/>
  <c r="U865" i="2"/>
  <c r="X865" i="2"/>
  <c r="V865" i="2"/>
  <c r="U65" i="2"/>
  <c r="X65" i="2"/>
  <c r="V65" i="2"/>
  <c r="V1036" i="2"/>
  <c r="X1036" i="2"/>
  <c r="U1036" i="2"/>
  <c r="U1067" i="2"/>
  <c r="X1067" i="2"/>
  <c r="V1067" i="2"/>
  <c r="U1037" i="2"/>
  <c r="V1037" i="2"/>
  <c r="X1037" i="2"/>
  <c r="V165" i="2"/>
  <c r="U165" i="2"/>
  <c r="X165" i="2"/>
  <c r="AI1261" i="2"/>
  <c r="U1261" i="2"/>
  <c r="X1261" i="2"/>
  <c r="V1261" i="2"/>
  <c r="V52" i="2"/>
  <c r="X52" i="2"/>
  <c r="U52" i="2"/>
  <c r="AI23" i="2"/>
  <c r="X23" i="2"/>
  <c r="V23" i="2"/>
  <c r="U23" i="2"/>
  <c r="AI1206" i="2"/>
  <c r="X1206" i="2"/>
  <c r="V1206" i="2"/>
  <c r="U1206" i="2"/>
  <c r="AI1192" i="2"/>
  <c r="U1192" i="2"/>
  <c r="V1192" i="2"/>
  <c r="X1192" i="2"/>
  <c r="AI1188" i="2"/>
  <c r="X1188" i="2"/>
  <c r="U1188" i="2"/>
  <c r="V1188" i="2"/>
  <c r="V1176" i="2"/>
  <c r="U1176" i="2"/>
  <c r="AI1176" i="2"/>
  <c r="X1176" i="2"/>
  <c r="AI1274" i="2"/>
  <c r="U1274" i="2"/>
  <c r="V1274" i="2"/>
  <c r="X1274" i="2"/>
  <c r="AI1004" i="2"/>
  <c r="U1004" i="2"/>
  <c r="X1004" i="2"/>
  <c r="V1004" i="2"/>
  <c r="AI1014" i="2"/>
  <c r="X1014" i="2"/>
  <c r="U1014" i="2"/>
  <c r="V1014" i="2"/>
  <c r="AI1015" i="2"/>
  <c r="U1015" i="2"/>
  <c r="X1015" i="2"/>
  <c r="V1015" i="2"/>
  <c r="AI1257" i="2"/>
  <c r="U1257" i="2"/>
  <c r="V1257" i="2"/>
  <c r="X1257" i="2"/>
  <c r="AI1277" i="2"/>
  <c r="V1277" i="2"/>
  <c r="U1277" i="2"/>
  <c r="X1277" i="2"/>
  <c r="V371" i="2"/>
  <c r="U371" i="2"/>
  <c r="X371" i="2"/>
  <c r="V554" i="2"/>
  <c r="U554" i="2"/>
  <c r="X554" i="2"/>
  <c r="U1330" i="2"/>
  <c r="V1330" i="2"/>
  <c r="AI1330" i="2"/>
  <c r="X1330" i="2"/>
  <c r="U614" i="2"/>
  <c r="AI614" i="2"/>
  <c r="V614" i="2"/>
  <c r="X614" i="2"/>
  <c r="V1446" i="2"/>
  <c r="X1446" i="2"/>
  <c r="U1446" i="2"/>
  <c r="AI1446" i="2"/>
  <c r="U626" i="2"/>
  <c r="AI626" i="2"/>
  <c r="V626" i="2"/>
  <c r="X626" i="2"/>
  <c r="V1434" i="2"/>
  <c r="X1434" i="2"/>
  <c r="U1434" i="2"/>
  <c r="AI1434" i="2"/>
  <c r="V1461" i="2"/>
  <c r="U1461" i="2"/>
  <c r="AI1461" i="2"/>
  <c r="X1461" i="2"/>
  <c r="V1485" i="2"/>
  <c r="U1485" i="2"/>
  <c r="X1485" i="2"/>
  <c r="AI1485" i="2"/>
  <c r="V1337" i="2"/>
  <c r="AI1337" i="2"/>
  <c r="X1337" i="2"/>
  <c r="U1337" i="2"/>
  <c r="AI1361" i="2"/>
  <c r="U1361" i="2"/>
  <c r="X1361" i="2"/>
  <c r="V1361" i="2"/>
  <c r="V1385" i="2"/>
  <c r="U1385" i="2"/>
  <c r="X1385" i="2"/>
  <c r="AI1385" i="2"/>
  <c r="V1409" i="2"/>
  <c r="X1409" i="2"/>
  <c r="U1409" i="2"/>
  <c r="AI1409" i="2"/>
  <c r="V1433" i="2"/>
  <c r="X1433" i="2"/>
  <c r="AI1433" i="2"/>
  <c r="U1433" i="2"/>
  <c r="W896" i="2"/>
  <c r="AF896" i="2"/>
  <c r="W1214" i="2"/>
  <c r="AF1214" i="2"/>
  <c r="W1194" i="2"/>
  <c r="AF1194" i="2"/>
  <c r="W1186" i="2"/>
  <c r="AF1186" i="2"/>
  <c r="W1202" i="2"/>
  <c r="AF1202" i="2"/>
  <c r="W1003" i="2"/>
  <c r="AF1003" i="2"/>
  <c r="W1275" i="2"/>
  <c r="AF1275" i="2"/>
  <c r="AF1290" i="2"/>
  <c r="W1290" i="2"/>
  <c r="W1298" i="2"/>
  <c r="AF1298" i="2"/>
  <c r="W385" i="2"/>
  <c r="AF385" i="2"/>
  <c r="W1413" i="2"/>
  <c r="AF1413" i="2"/>
  <c r="W1418" i="2"/>
  <c r="AF1418" i="2"/>
  <c r="W1339" i="2"/>
  <c r="AF1339" i="2"/>
  <c r="AF1446" i="2"/>
  <c r="W1446" i="2"/>
  <c r="AF614" i="2"/>
  <c r="W614" i="2"/>
  <c r="W1386" i="2"/>
  <c r="AF1386" i="2"/>
  <c r="W1350" i="2"/>
  <c r="AF1350" i="2"/>
  <c r="W1483" i="2"/>
  <c r="AF1483" i="2"/>
  <c r="W1412" i="2"/>
  <c r="AF1412" i="2"/>
  <c r="W1353" i="2"/>
  <c r="AF1353" i="2"/>
  <c r="W1358" i="2"/>
  <c r="AF1358" i="2"/>
  <c r="W1417" i="2"/>
  <c r="AF1417" i="2"/>
  <c r="W1485" i="2"/>
  <c r="AF1485" i="2"/>
  <c r="W1481" i="2"/>
  <c r="AF1481" i="2"/>
  <c r="W1433" i="2"/>
  <c r="AF1433" i="2"/>
  <c r="W1460" i="2"/>
  <c r="AF1460" i="2"/>
  <c r="W1484" i="2"/>
  <c r="AF1484" i="2"/>
  <c r="X1468" i="2"/>
  <c r="U1468" i="2"/>
  <c r="V1468" i="2"/>
  <c r="AI1468" i="2"/>
  <c r="V1492" i="2"/>
  <c r="X1492" i="2"/>
  <c r="U1492" i="2"/>
  <c r="AI1492" i="2"/>
  <c r="AI682" i="2"/>
  <c r="AI726" i="2"/>
  <c r="AI882" i="2"/>
  <c r="AI66" i="2"/>
  <c r="X374" i="2"/>
  <c r="V374" i="2"/>
  <c r="U374" i="2"/>
  <c r="U336" i="2"/>
  <c r="X336" i="2"/>
  <c r="V336" i="2"/>
  <c r="U284" i="2"/>
  <c r="X284" i="2"/>
  <c r="V284" i="2"/>
  <c r="U320" i="2"/>
  <c r="X320" i="2"/>
  <c r="V320" i="2"/>
  <c r="U279" i="2"/>
  <c r="X279" i="2"/>
  <c r="V279" i="2"/>
  <c r="X396" i="2"/>
  <c r="U396" i="2"/>
  <c r="V396" i="2"/>
  <c r="U643" i="2"/>
  <c r="X643" i="2"/>
  <c r="V643" i="2"/>
  <c r="X641" i="2"/>
  <c r="U641" i="2"/>
  <c r="V641" i="2"/>
  <c r="V418" i="2"/>
  <c r="U418" i="2"/>
  <c r="X418" i="2"/>
  <c r="X734" i="2"/>
  <c r="U734" i="2"/>
  <c r="V734" i="2"/>
  <c r="X742" i="2"/>
  <c r="V742" i="2"/>
  <c r="U742" i="2"/>
  <c r="X715" i="2"/>
  <c r="V715" i="2"/>
  <c r="U715" i="2"/>
  <c r="X761" i="2"/>
  <c r="U761" i="2"/>
  <c r="V761" i="2"/>
  <c r="U789" i="2"/>
  <c r="V789" i="2"/>
  <c r="X789" i="2"/>
  <c r="U912" i="2"/>
  <c r="X912" i="2"/>
  <c r="V912" i="2"/>
  <c r="U924" i="2"/>
  <c r="X924" i="2"/>
  <c r="V924" i="2"/>
  <c r="U777" i="2"/>
  <c r="X777" i="2"/>
  <c r="V777" i="2"/>
  <c r="U904" i="2"/>
  <c r="X904" i="2"/>
  <c r="V904" i="2"/>
  <c r="X778" i="2"/>
  <c r="U778" i="2"/>
  <c r="V778" i="2"/>
  <c r="V26" i="2"/>
  <c r="U26" i="2"/>
  <c r="X26" i="2"/>
  <c r="X51" i="2"/>
  <c r="U51" i="2"/>
  <c r="V51" i="2"/>
  <c r="U1039" i="2"/>
  <c r="X1039" i="2"/>
  <c r="V1039" i="2"/>
  <c r="X1074" i="2"/>
  <c r="U1074" i="2"/>
  <c r="V1074" i="2"/>
  <c r="V147" i="2"/>
  <c r="U147" i="2"/>
  <c r="X147" i="2"/>
  <c r="U1027" i="2"/>
  <c r="X1027" i="2"/>
  <c r="V1027" i="2"/>
  <c r="U1300" i="2"/>
  <c r="X1300" i="2"/>
  <c r="V1300" i="2"/>
  <c r="X22" i="2"/>
  <c r="U22" i="2"/>
  <c r="V22" i="2"/>
  <c r="AI1201" i="2"/>
  <c r="X1201" i="2"/>
  <c r="V1201" i="2"/>
  <c r="U1201" i="2"/>
  <c r="U1186" i="2"/>
  <c r="V1186" i="2"/>
  <c r="X1186" i="2"/>
  <c r="AI1186" i="2"/>
  <c r="AI1008" i="2"/>
  <c r="U1008" i="2"/>
  <c r="V1008" i="2"/>
  <c r="X1008" i="2"/>
  <c r="AI1294" i="2"/>
  <c r="V1294" i="2"/>
  <c r="U1294" i="2"/>
  <c r="X1294" i="2"/>
  <c r="X1293" i="2"/>
  <c r="AI1293" i="2"/>
  <c r="U1293" i="2"/>
  <c r="V1293" i="2"/>
  <c r="X1298" i="2"/>
  <c r="V1298" i="2"/>
  <c r="AI1298" i="2"/>
  <c r="U1298" i="2"/>
  <c r="AI1269" i="2"/>
  <c r="X1269" i="2"/>
  <c r="U1269" i="2"/>
  <c r="V1269" i="2"/>
  <c r="U1284" i="2"/>
  <c r="V1284" i="2"/>
  <c r="AI1284" i="2"/>
  <c r="X1284" i="2"/>
  <c r="AI1285" i="2"/>
  <c r="U1285" i="2"/>
  <c r="V1285" i="2"/>
  <c r="X1285" i="2"/>
  <c r="X367" i="2"/>
  <c r="V367" i="2"/>
  <c r="U367" i="2"/>
  <c r="V154" i="2"/>
  <c r="X154" i="2"/>
  <c r="U154" i="2"/>
  <c r="U1334" i="2"/>
  <c r="V1334" i="2"/>
  <c r="X1334" i="2"/>
  <c r="AI1334" i="2"/>
  <c r="U1390" i="2"/>
  <c r="AI1390" i="2"/>
  <c r="X1390" i="2"/>
  <c r="V1390" i="2"/>
  <c r="X1370" i="2"/>
  <c r="V1370" i="2"/>
  <c r="AI1370" i="2"/>
  <c r="U1370" i="2"/>
  <c r="AI1372" i="2"/>
  <c r="U1372" i="2"/>
  <c r="X1372" i="2"/>
  <c r="V1372" i="2"/>
  <c r="U1368" i="2"/>
  <c r="AI1368" i="2"/>
  <c r="X1368" i="2"/>
  <c r="V1368" i="2"/>
  <c r="U1344" i="2"/>
  <c r="AI1344" i="2"/>
  <c r="X1344" i="2"/>
  <c r="V1344" i="2"/>
  <c r="V1436" i="2"/>
  <c r="X1436" i="2"/>
  <c r="U1436" i="2"/>
  <c r="AI1436" i="2"/>
  <c r="U1463" i="2"/>
  <c r="X1463" i="2"/>
  <c r="AI1463" i="2"/>
  <c r="V1463" i="2"/>
  <c r="U1487" i="2"/>
  <c r="V1487" i="2"/>
  <c r="X1487" i="2"/>
  <c r="AI1487" i="2"/>
  <c r="U1339" i="2"/>
  <c r="X1339" i="2"/>
  <c r="AI1339" i="2"/>
  <c r="V1339" i="2"/>
  <c r="V1363" i="2"/>
  <c r="X1363" i="2"/>
  <c r="U1363" i="2"/>
  <c r="AI1363" i="2"/>
  <c r="U1387" i="2"/>
  <c r="V1387" i="2"/>
  <c r="X1387" i="2"/>
  <c r="AI1387" i="2"/>
  <c r="V1411" i="2"/>
  <c r="X1411" i="2"/>
  <c r="U1411" i="2"/>
  <c r="AI1411" i="2"/>
  <c r="U1435" i="2"/>
  <c r="X1435" i="2"/>
  <c r="V1435" i="2"/>
  <c r="AI1435" i="2"/>
  <c r="W158" i="2"/>
  <c r="AF158" i="2"/>
  <c r="W20" i="2"/>
  <c r="AF20" i="2"/>
  <c r="W1199" i="2"/>
  <c r="AF1199" i="2"/>
  <c r="W1189" i="2"/>
  <c r="AF1189" i="2"/>
  <c r="W1209" i="2"/>
  <c r="AF1209" i="2"/>
  <c r="AF1294" i="2"/>
  <c r="W1294" i="2"/>
  <c r="AF1288" i="2"/>
  <c r="W1288" i="2"/>
  <c r="W998" i="2"/>
  <c r="AF998" i="2"/>
  <c r="W1020" i="2"/>
  <c r="AF1020" i="2"/>
  <c r="W1000" i="2"/>
  <c r="AF1000" i="2"/>
  <c r="AF1283" i="2"/>
  <c r="W1283" i="2"/>
  <c r="AF1280" i="2"/>
  <c r="W1280" i="2"/>
  <c r="AF622" i="2"/>
  <c r="W622" i="2"/>
  <c r="W1352" i="2"/>
  <c r="AF1352" i="2"/>
  <c r="W1332" i="2"/>
  <c r="AF1332" i="2"/>
  <c r="W1369" i="2"/>
  <c r="AF1369" i="2"/>
  <c r="W1373" i="2"/>
  <c r="AF1373" i="2"/>
  <c r="W1360" i="2"/>
  <c r="AF1360" i="2"/>
  <c r="AF1326" i="2"/>
  <c r="W1326" i="2"/>
  <c r="W1423" i="2"/>
  <c r="AF1423" i="2"/>
  <c r="W1420" i="2"/>
  <c r="AF1420" i="2"/>
  <c r="W1377" i="2"/>
  <c r="AF1377" i="2"/>
  <c r="W1435" i="2"/>
  <c r="AF1435" i="2"/>
  <c r="W1462" i="2"/>
  <c r="AF1462" i="2"/>
  <c r="W1486" i="2"/>
  <c r="AF1486" i="2"/>
  <c r="U1470" i="2"/>
  <c r="AI1470" i="2"/>
  <c r="X1470" i="2"/>
  <c r="V1470" i="2"/>
  <c r="AI283" i="2"/>
  <c r="AI684" i="2"/>
  <c r="AI788" i="2"/>
  <c r="AI918" i="2"/>
  <c r="X278" i="2"/>
  <c r="V278" i="2"/>
  <c r="U278" i="2"/>
  <c r="V293" i="2"/>
  <c r="X293" i="2"/>
  <c r="U293" i="2"/>
  <c r="U347" i="2"/>
  <c r="V347" i="2"/>
  <c r="X347" i="2"/>
  <c r="U287" i="2"/>
  <c r="V287" i="2"/>
  <c r="X287" i="2"/>
  <c r="V333" i="2"/>
  <c r="U333" i="2"/>
  <c r="X333" i="2"/>
  <c r="V322" i="2"/>
  <c r="X322" i="2"/>
  <c r="U322" i="2"/>
  <c r="X414" i="2"/>
  <c r="V414" i="2"/>
  <c r="U414" i="2"/>
  <c r="X416" i="2"/>
  <c r="U416" i="2"/>
  <c r="V416" i="2"/>
  <c r="U438" i="2"/>
  <c r="V438" i="2"/>
  <c r="X438" i="2"/>
  <c r="X658" i="2"/>
  <c r="V658" i="2"/>
  <c r="U658" i="2"/>
  <c r="X651" i="2"/>
  <c r="U651" i="2"/>
  <c r="V651" i="2"/>
  <c r="U655" i="2"/>
  <c r="X655" i="2"/>
  <c r="V655" i="2"/>
  <c r="V752" i="2"/>
  <c r="U752" i="2"/>
  <c r="X752" i="2"/>
  <c r="X717" i="2"/>
  <c r="V717" i="2"/>
  <c r="U717" i="2"/>
  <c r="X722" i="2"/>
  <c r="U722" i="2"/>
  <c r="V722" i="2"/>
  <c r="X724" i="2"/>
  <c r="V724" i="2"/>
  <c r="U724" i="2"/>
  <c r="X762" i="2"/>
  <c r="U762" i="2"/>
  <c r="V762" i="2"/>
  <c r="X888" i="2"/>
  <c r="V888" i="2"/>
  <c r="U888" i="2"/>
  <c r="X886" i="2"/>
  <c r="V886" i="2"/>
  <c r="U886" i="2"/>
  <c r="X780" i="2"/>
  <c r="U780" i="2"/>
  <c r="V780" i="2"/>
  <c r="U897" i="2"/>
  <c r="X897" i="2"/>
  <c r="V897" i="2"/>
  <c r="X766" i="2"/>
  <c r="U766" i="2"/>
  <c r="V766" i="2"/>
  <c r="V56" i="2"/>
  <c r="U56" i="2"/>
  <c r="X56" i="2"/>
  <c r="X24" i="2"/>
  <c r="V24" i="2"/>
  <c r="U24" i="2"/>
  <c r="U164" i="2"/>
  <c r="X164" i="2"/>
  <c r="V164" i="2"/>
  <c r="U1066" i="2"/>
  <c r="X1066" i="2"/>
  <c r="V1066" i="2"/>
  <c r="X146" i="2"/>
  <c r="V146" i="2"/>
  <c r="U146" i="2"/>
  <c r="U144" i="2"/>
  <c r="X144" i="2"/>
  <c r="V144" i="2"/>
  <c r="U160" i="2"/>
  <c r="X160" i="2"/>
  <c r="V160" i="2"/>
  <c r="V1034" i="2"/>
  <c r="X1034" i="2"/>
  <c r="U1034" i="2"/>
  <c r="V1262" i="2"/>
  <c r="X1262" i="2"/>
  <c r="U1262" i="2"/>
  <c r="U62" i="2"/>
  <c r="V62" i="2"/>
  <c r="X62" i="2"/>
  <c r="AI155" i="2"/>
  <c r="X155" i="2"/>
  <c r="U155" i="2"/>
  <c r="V155" i="2"/>
  <c r="AI1198" i="2"/>
  <c r="U1198" i="2"/>
  <c r="V1198" i="2"/>
  <c r="X1198" i="2"/>
  <c r="AI1197" i="2"/>
  <c r="X1197" i="2"/>
  <c r="U1197" i="2"/>
  <c r="V1197" i="2"/>
  <c r="AI1193" i="2"/>
  <c r="X1193" i="2"/>
  <c r="U1193" i="2"/>
  <c r="V1193" i="2"/>
  <c r="AI1178" i="2"/>
  <c r="X1178" i="2"/>
  <c r="V1178" i="2"/>
  <c r="U1178" i="2"/>
  <c r="U1002" i="2"/>
  <c r="X1002" i="2"/>
  <c r="V1002" i="2"/>
  <c r="AI1002" i="2"/>
  <c r="AI1007" i="2"/>
  <c r="X1007" i="2"/>
  <c r="V1007" i="2"/>
  <c r="U1007" i="2"/>
  <c r="U1267" i="2"/>
  <c r="X1267" i="2"/>
  <c r="V1267" i="2"/>
  <c r="AI1267" i="2"/>
  <c r="AI1297" i="2"/>
  <c r="V1297" i="2"/>
  <c r="U1297" i="2"/>
  <c r="X1297" i="2"/>
  <c r="AI1296" i="2"/>
  <c r="V1296" i="2"/>
  <c r="U1296" i="2"/>
  <c r="X1296" i="2"/>
  <c r="AI1021" i="2"/>
  <c r="U1021" i="2"/>
  <c r="X1021" i="2"/>
  <c r="V1021" i="2"/>
  <c r="AI1278" i="2"/>
  <c r="U1278" i="2"/>
  <c r="V1278" i="2"/>
  <c r="X1278" i="2"/>
  <c r="V372" i="2"/>
  <c r="X372" i="2"/>
  <c r="U372" i="2"/>
  <c r="X143" i="2"/>
  <c r="U143" i="2"/>
  <c r="V143" i="2"/>
  <c r="U1342" i="2"/>
  <c r="X1342" i="2"/>
  <c r="V1342" i="2"/>
  <c r="AI1342" i="2"/>
  <c r="AI1340" i="2"/>
  <c r="V1340" i="2"/>
  <c r="U1340" i="2"/>
  <c r="X1340" i="2"/>
  <c r="U1378" i="2"/>
  <c r="V1378" i="2"/>
  <c r="X1378" i="2"/>
  <c r="AI1378" i="2"/>
  <c r="U871" i="2"/>
  <c r="X871" i="2"/>
  <c r="V871" i="2"/>
  <c r="U1402" i="2"/>
  <c r="X1402" i="2"/>
  <c r="V1402" i="2"/>
  <c r="AI1402" i="2"/>
  <c r="V1438" i="2"/>
  <c r="U1438" i="2"/>
  <c r="X1438" i="2"/>
  <c r="AI1438" i="2"/>
  <c r="AI1465" i="2"/>
  <c r="X1465" i="2"/>
  <c r="U1465" i="2"/>
  <c r="V1465" i="2"/>
  <c r="V1489" i="2"/>
  <c r="X1489" i="2"/>
  <c r="U1489" i="2"/>
  <c r="AI1489" i="2"/>
  <c r="U1341" i="2"/>
  <c r="V1341" i="2"/>
  <c r="AI1341" i="2"/>
  <c r="X1341" i="2"/>
  <c r="U1365" i="2"/>
  <c r="X1365" i="2"/>
  <c r="V1365" i="2"/>
  <c r="AI1365" i="2"/>
  <c r="U1389" i="2"/>
  <c r="V1389" i="2"/>
  <c r="X1389" i="2"/>
  <c r="AI1389" i="2"/>
  <c r="V1413" i="2"/>
  <c r="U1413" i="2"/>
  <c r="AI1413" i="2"/>
  <c r="X1413" i="2"/>
  <c r="U1437" i="2"/>
  <c r="AI1437" i="2"/>
  <c r="V1437" i="2"/>
  <c r="X1437" i="2"/>
  <c r="AF168" i="2"/>
  <c r="W168" i="2"/>
  <c r="W1198" i="2"/>
  <c r="AF1198" i="2"/>
  <c r="W1196" i="2"/>
  <c r="AF1196" i="2"/>
  <c r="W1005" i="2"/>
  <c r="AF1005" i="2"/>
  <c r="W1293" i="2"/>
  <c r="AF1293" i="2"/>
  <c r="W1002" i="2"/>
  <c r="AF1002" i="2"/>
  <c r="W1019" i="2"/>
  <c r="AF1019" i="2"/>
  <c r="W1014" i="2"/>
  <c r="AF1014" i="2"/>
  <c r="W552" i="2"/>
  <c r="AF552" i="2"/>
  <c r="W1362" i="2"/>
  <c r="AF1362" i="2"/>
  <c r="W1383" i="2"/>
  <c r="AF1383" i="2"/>
  <c r="W1351" i="2"/>
  <c r="AF1351" i="2"/>
  <c r="W1394" i="2"/>
  <c r="AF1394" i="2"/>
  <c r="W1389" i="2"/>
  <c r="AF1389" i="2"/>
  <c r="W1365" i="2"/>
  <c r="AF1365" i="2"/>
  <c r="W1427" i="2"/>
  <c r="AF1427" i="2"/>
  <c r="W1363" i="2"/>
  <c r="AF1363" i="2"/>
  <c r="W1366" i="2"/>
  <c r="AF1366" i="2"/>
  <c r="W1385" i="2"/>
  <c r="AF1385" i="2"/>
  <c r="W1364" i="2"/>
  <c r="AF1364" i="2"/>
  <c r="W1437" i="2"/>
  <c r="AF1437" i="2"/>
  <c r="W1464" i="2"/>
  <c r="AF1464" i="2"/>
  <c r="AF1488" i="2"/>
  <c r="W1488" i="2"/>
  <c r="V1472" i="2"/>
  <c r="AI1472" i="2"/>
  <c r="X1472" i="2"/>
  <c r="U1472" i="2"/>
  <c r="AI343" i="2"/>
  <c r="AI712" i="2"/>
  <c r="AI774" i="2"/>
  <c r="AI894" i="2"/>
  <c r="AI868" i="2"/>
  <c r="X338" i="2"/>
  <c r="U338" i="2"/>
  <c r="V338" i="2"/>
  <c r="V346" i="2"/>
  <c r="X346" i="2"/>
  <c r="U346" i="2"/>
  <c r="U376" i="2"/>
  <c r="X376" i="2"/>
  <c r="X280" i="2"/>
  <c r="U280" i="2"/>
  <c r="V280" i="2"/>
  <c r="U277" i="2"/>
  <c r="X277" i="2"/>
  <c r="V277" i="2"/>
  <c r="U282" i="2"/>
  <c r="X282" i="2"/>
  <c r="V282" i="2"/>
  <c r="X406" i="2"/>
  <c r="U406" i="2"/>
  <c r="V406" i="2"/>
  <c r="X424" i="2"/>
  <c r="V424" i="2"/>
  <c r="U424" i="2"/>
  <c r="V652" i="2"/>
  <c r="U652" i="2"/>
  <c r="X652" i="2"/>
  <c r="U426" i="2"/>
  <c r="V426" i="2"/>
  <c r="X426" i="2"/>
  <c r="X738" i="2"/>
  <c r="U738" i="2"/>
  <c r="V738" i="2"/>
  <c r="X727" i="2"/>
  <c r="V727" i="2"/>
  <c r="U727" i="2"/>
  <c r="X714" i="2"/>
  <c r="U714" i="2"/>
  <c r="V714" i="2"/>
  <c r="X725" i="2"/>
  <c r="V725" i="2"/>
  <c r="U725" i="2"/>
  <c r="X791" i="2"/>
  <c r="V791" i="2"/>
  <c r="U791" i="2"/>
  <c r="V772" i="2"/>
  <c r="X772" i="2"/>
  <c r="U772" i="2"/>
  <c r="U782" i="2"/>
  <c r="V782" i="2"/>
  <c r="X782" i="2"/>
  <c r="U893" i="2"/>
  <c r="X893" i="2"/>
  <c r="V893" i="2"/>
  <c r="V763" i="2"/>
  <c r="X763" i="2"/>
  <c r="U763" i="2"/>
  <c r="U883" i="2"/>
  <c r="V883" i="2"/>
  <c r="X883" i="2"/>
  <c r="U1065" i="2"/>
  <c r="X1065" i="2"/>
  <c r="V1065" i="2"/>
  <c r="V1070" i="2"/>
  <c r="U1070" i="2"/>
  <c r="X1070" i="2"/>
  <c r="U1033" i="2"/>
  <c r="X1033" i="2"/>
  <c r="V1033" i="2"/>
  <c r="U1035" i="2"/>
  <c r="V1035" i="2"/>
  <c r="X1035" i="2"/>
  <c r="X153" i="2"/>
  <c r="U153" i="2"/>
  <c r="V153" i="2"/>
  <c r="V1264" i="2"/>
  <c r="U1264" i="2"/>
  <c r="X1264" i="2"/>
  <c r="AI901" i="2"/>
  <c r="U901" i="2"/>
  <c r="V901" i="2"/>
  <c r="X901" i="2"/>
  <c r="AI1205" i="2"/>
  <c r="X1205" i="2"/>
  <c r="U1205" i="2"/>
  <c r="V1205" i="2"/>
  <c r="AI1194" i="2"/>
  <c r="U1194" i="2"/>
  <c r="X1194" i="2"/>
  <c r="V1194" i="2"/>
  <c r="AI1180" i="2"/>
  <c r="X1180" i="2"/>
  <c r="U1180" i="2"/>
  <c r="V1180" i="2"/>
  <c r="AI1209" i="2"/>
  <c r="U1209" i="2"/>
  <c r="X1209" i="2"/>
  <c r="V1209" i="2"/>
  <c r="X1019" i="2"/>
  <c r="U1019" i="2"/>
  <c r="V1019" i="2"/>
  <c r="AI1019" i="2"/>
  <c r="AI1023" i="2"/>
  <c r="U1023" i="2"/>
  <c r="V1023" i="2"/>
  <c r="X1023" i="2"/>
  <c r="U1292" i="2"/>
  <c r="V1292" i="2"/>
  <c r="X1292" i="2"/>
  <c r="AI1292" i="2"/>
  <c r="U1271" i="2"/>
  <c r="V1271" i="2"/>
  <c r="AI1271" i="2"/>
  <c r="X1271" i="2"/>
  <c r="V1024" i="2"/>
  <c r="AI1024" i="2"/>
  <c r="U1024" i="2"/>
  <c r="X1024" i="2"/>
  <c r="AI1281" i="2"/>
  <c r="U1281" i="2"/>
  <c r="V1281" i="2"/>
  <c r="X1281" i="2"/>
  <c r="AI553" i="2"/>
  <c r="U553" i="2"/>
  <c r="X553" i="2"/>
  <c r="V553" i="2"/>
  <c r="U606" i="2"/>
  <c r="X606" i="2"/>
  <c r="V606" i="2"/>
  <c r="AI606" i="2"/>
  <c r="X622" i="2"/>
  <c r="U622" i="2"/>
  <c r="V622" i="2"/>
  <c r="AI622" i="2"/>
  <c r="U602" i="2"/>
  <c r="AI602" i="2"/>
  <c r="X602" i="2"/>
  <c r="V602" i="2"/>
  <c r="AI1386" i="2"/>
  <c r="V1386" i="2"/>
  <c r="X1386" i="2"/>
  <c r="U1386" i="2"/>
  <c r="U873" i="2"/>
  <c r="X873" i="2"/>
  <c r="V873" i="2"/>
  <c r="V1414" i="2"/>
  <c r="U1414" i="2"/>
  <c r="X1414" i="2"/>
  <c r="AI1414" i="2"/>
  <c r="U1356" i="2"/>
  <c r="X1356" i="2"/>
  <c r="AI1356" i="2"/>
  <c r="V1356" i="2"/>
  <c r="V1440" i="2"/>
  <c r="X1440" i="2"/>
  <c r="AI1440" i="2"/>
  <c r="U1440" i="2"/>
  <c r="V1467" i="2"/>
  <c r="X1467" i="2"/>
  <c r="AI1467" i="2"/>
  <c r="U1467" i="2"/>
  <c r="U1491" i="2"/>
  <c r="X1491" i="2"/>
  <c r="V1491" i="2"/>
  <c r="AI1491" i="2"/>
  <c r="V1343" i="2"/>
  <c r="AI1343" i="2"/>
  <c r="U1343" i="2"/>
  <c r="X1343" i="2"/>
  <c r="U1367" i="2"/>
  <c r="AI1367" i="2"/>
  <c r="V1367" i="2"/>
  <c r="X1367" i="2"/>
  <c r="AI1391" i="2"/>
  <c r="U1391" i="2"/>
  <c r="X1391" i="2"/>
  <c r="V1391" i="2"/>
  <c r="V1415" i="2"/>
  <c r="U1415" i="2"/>
  <c r="AI1415" i="2"/>
  <c r="X1415" i="2"/>
  <c r="V1439" i="2"/>
  <c r="U1439" i="2"/>
  <c r="AI1439" i="2"/>
  <c r="X1439" i="2"/>
  <c r="AF57" i="2"/>
  <c r="W57" i="2"/>
  <c r="W1205" i="2"/>
  <c r="AF1205" i="2"/>
  <c r="W1181" i="2"/>
  <c r="AF1181" i="2"/>
  <c r="W1291" i="2"/>
  <c r="AF1291" i="2"/>
  <c r="W1011" i="2"/>
  <c r="AF1011" i="2"/>
  <c r="W1270" i="2"/>
  <c r="AF1270" i="2"/>
  <c r="AF1279" i="2"/>
  <c r="W1279" i="2"/>
  <c r="AF1278" i="2"/>
  <c r="W1278" i="2"/>
  <c r="W1323" i="2"/>
  <c r="AF1323" i="2"/>
  <c r="W1391" i="2"/>
  <c r="AF1391" i="2"/>
  <c r="W1340" i="2"/>
  <c r="AF1340" i="2"/>
  <c r="W1422" i="2"/>
  <c r="AF1422" i="2"/>
  <c r="W1399" i="2"/>
  <c r="AF1399" i="2"/>
  <c r="W1402" i="2"/>
  <c r="AF1402" i="2"/>
  <c r="W1368" i="2"/>
  <c r="AF1368" i="2"/>
  <c r="W1381" i="2"/>
  <c r="AF1381" i="2"/>
  <c r="W1451" i="2"/>
  <c r="AF1451" i="2"/>
  <c r="W1371" i="2"/>
  <c r="AF1371" i="2"/>
  <c r="W1444" i="2"/>
  <c r="AF1444" i="2"/>
  <c r="W1393" i="2"/>
  <c r="AF1393" i="2"/>
  <c r="W1491" i="2"/>
  <c r="AF1491" i="2"/>
  <c r="W1439" i="2"/>
  <c r="AF1439" i="2"/>
  <c r="W1466" i="2"/>
  <c r="AF1466" i="2"/>
  <c r="W1490" i="2"/>
  <c r="AF1490" i="2"/>
  <c r="U1474" i="2"/>
  <c r="AI1474" i="2"/>
  <c r="V1474" i="2"/>
  <c r="X1474" i="2"/>
  <c r="AI642" i="2"/>
  <c r="AI686" i="2"/>
  <c r="AI50" i="2"/>
  <c r="X349" i="2"/>
  <c r="U349" i="2"/>
  <c r="V349" i="2"/>
  <c r="X319" i="2"/>
  <c r="U319" i="2"/>
  <c r="V319" i="2"/>
  <c r="U375" i="2"/>
  <c r="X375" i="2"/>
  <c r="U335" i="2"/>
  <c r="X335" i="2"/>
  <c r="V335" i="2"/>
  <c r="V292" i="2"/>
  <c r="X292" i="2"/>
  <c r="U292" i="2"/>
  <c r="X394" i="2"/>
  <c r="U394" i="2"/>
  <c r="V394" i="2"/>
  <c r="X680" i="2"/>
  <c r="U680" i="2"/>
  <c r="V680" i="2"/>
  <c r="U432" i="2"/>
  <c r="X432" i="2"/>
  <c r="V432" i="2"/>
  <c r="V647" i="2"/>
  <c r="X647" i="2"/>
  <c r="U647" i="2"/>
  <c r="U638" i="2"/>
  <c r="V638" i="2"/>
  <c r="X638" i="2"/>
  <c r="X442" i="2"/>
  <c r="U442" i="2"/>
  <c r="V442" i="2"/>
  <c r="X732" i="2"/>
  <c r="V732" i="2"/>
  <c r="U732" i="2"/>
  <c r="X700" i="2"/>
  <c r="U700" i="2"/>
  <c r="V700" i="2"/>
  <c r="X731" i="2"/>
  <c r="U731" i="2"/>
  <c r="V731" i="2"/>
  <c r="X730" i="2"/>
  <c r="V730" i="2"/>
  <c r="U730" i="2"/>
  <c r="X792" i="2"/>
  <c r="U792" i="2"/>
  <c r="V792" i="2"/>
  <c r="U905" i="2"/>
  <c r="X905" i="2"/>
  <c r="V905" i="2"/>
  <c r="U771" i="2"/>
  <c r="X771" i="2"/>
  <c r="V771" i="2"/>
  <c r="U921" i="2"/>
  <c r="X921" i="2"/>
  <c r="V921" i="2"/>
  <c r="X908" i="2"/>
  <c r="V908" i="2"/>
  <c r="U908" i="2"/>
  <c r="U784" i="2"/>
  <c r="V784" i="2"/>
  <c r="X784" i="2"/>
  <c r="V889" i="2"/>
  <c r="U889" i="2"/>
  <c r="X889" i="2"/>
  <c r="U63" i="2"/>
  <c r="X63" i="2"/>
  <c r="V63" i="2"/>
  <c r="U879" i="2"/>
  <c r="X879" i="2"/>
  <c r="V879" i="2"/>
  <c r="V161" i="2"/>
  <c r="U161" i="2"/>
  <c r="X161" i="2"/>
  <c r="X1069" i="2"/>
  <c r="U1069" i="2"/>
  <c r="V1069" i="2"/>
  <c r="X1031" i="2"/>
  <c r="U1031" i="2"/>
  <c r="V1031" i="2"/>
  <c r="U1026" i="2"/>
  <c r="X1026" i="2"/>
  <c r="V1026" i="2"/>
  <c r="U159" i="2"/>
  <c r="X159" i="2"/>
  <c r="V159" i="2"/>
  <c r="U1029" i="2"/>
  <c r="V1029" i="2"/>
  <c r="X1029" i="2"/>
  <c r="U174" i="2"/>
  <c r="V174" i="2"/>
  <c r="X174" i="2"/>
  <c r="U1256" i="2"/>
  <c r="V1256" i="2"/>
  <c r="X1256" i="2"/>
  <c r="U67" i="2"/>
  <c r="V67" i="2"/>
  <c r="X67" i="2"/>
  <c r="V898" i="2"/>
  <c r="X898" i="2"/>
  <c r="U898" i="2"/>
  <c r="AI898" i="2"/>
  <c r="AI1181" i="2"/>
  <c r="V1181" i="2"/>
  <c r="U1181" i="2"/>
  <c r="X1181" i="2"/>
  <c r="AI1200" i="2"/>
  <c r="V1200" i="2"/>
  <c r="X1200" i="2"/>
  <c r="U1200" i="2"/>
  <c r="AI1191" i="2"/>
  <c r="U1191" i="2"/>
  <c r="V1191" i="2"/>
  <c r="X1191" i="2"/>
  <c r="AI1011" i="2"/>
  <c r="U1011" i="2"/>
  <c r="X1011" i="2"/>
  <c r="V1011" i="2"/>
  <c r="AI1025" i="2"/>
  <c r="U1025" i="2"/>
  <c r="X1025" i="2"/>
  <c r="V1025" i="2"/>
  <c r="V1268" i="2"/>
  <c r="X1268" i="2"/>
  <c r="U1268" i="2"/>
  <c r="AI1268" i="2"/>
  <c r="AI1260" i="2"/>
  <c r="U1260" i="2"/>
  <c r="V1260" i="2"/>
  <c r="X1260" i="2"/>
  <c r="AI1003" i="2"/>
  <c r="U1003" i="2"/>
  <c r="X1003" i="2"/>
  <c r="V1003" i="2"/>
  <c r="U366" i="2"/>
  <c r="X366" i="2"/>
  <c r="V366" i="2"/>
  <c r="U145" i="2"/>
  <c r="X145" i="2"/>
  <c r="V145" i="2"/>
  <c r="U874" i="2"/>
  <c r="X874" i="2"/>
  <c r="V874" i="2"/>
  <c r="X870" i="2"/>
  <c r="U870" i="2"/>
  <c r="V870" i="2"/>
  <c r="V1394" i="2"/>
  <c r="AI1394" i="2"/>
  <c r="X1394" i="2"/>
  <c r="U1394" i="2"/>
  <c r="U875" i="2"/>
  <c r="X875" i="2"/>
  <c r="V875" i="2"/>
  <c r="V1384" i="2"/>
  <c r="U1384" i="2"/>
  <c r="X1384" i="2"/>
  <c r="AI1384" i="2"/>
  <c r="V1442" i="2"/>
  <c r="X1442" i="2"/>
  <c r="AI1442" i="2"/>
  <c r="U1442" i="2"/>
  <c r="AI1469" i="2"/>
  <c r="V1469" i="2"/>
  <c r="U1469" i="2"/>
  <c r="X1469" i="2"/>
  <c r="X1321" i="2"/>
  <c r="U1321" i="2"/>
  <c r="V1321" i="2"/>
  <c r="AI1321" i="2"/>
  <c r="U1345" i="2"/>
  <c r="V1345" i="2"/>
  <c r="AI1345" i="2"/>
  <c r="X1345" i="2"/>
  <c r="X1369" i="2"/>
  <c r="V1369" i="2"/>
  <c r="AI1369" i="2"/>
  <c r="U1369" i="2"/>
  <c r="U1393" i="2"/>
  <c r="V1393" i="2"/>
  <c r="AI1393" i="2"/>
  <c r="X1393" i="2"/>
  <c r="AI1417" i="2"/>
  <c r="U1417" i="2"/>
  <c r="X1417" i="2"/>
  <c r="V1417" i="2"/>
  <c r="X1441" i="2"/>
  <c r="AI1441" i="2"/>
  <c r="V1441" i="2"/>
  <c r="U1441" i="2"/>
  <c r="W23" i="2"/>
  <c r="AF23" i="2"/>
  <c r="W1192" i="2"/>
  <c r="AF1192" i="2"/>
  <c r="W1207" i="2"/>
  <c r="AF1207" i="2"/>
  <c r="W1200" i="2"/>
  <c r="AF1200" i="2"/>
  <c r="W1191" i="2"/>
  <c r="AF1191" i="2"/>
  <c r="AF1274" i="2"/>
  <c r="W1274" i="2"/>
  <c r="W1001" i="2"/>
  <c r="AF1001" i="2"/>
  <c r="W1008" i="2"/>
  <c r="AF1008" i="2"/>
  <c r="AF1284" i="2"/>
  <c r="W1284" i="2"/>
  <c r="W1327" i="2"/>
  <c r="AF1327" i="2"/>
  <c r="W1438" i="2"/>
  <c r="AF1438" i="2"/>
  <c r="W1344" i="2"/>
  <c r="AF1344" i="2"/>
  <c r="AF602" i="2"/>
  <c r="W602" i="2"/>
  <c r="W1404" i="2"/>
  <c r="AF1404" i="2"/>
  <c r="AF1409" i="2"/>
  <c r="W1409" i="2"/>
  <c r="W1397" i="2"/>
  <c r="AF1397" i="2"/>
  <c r="W1338" i="2"/>
  <c r="AF1338" i="2"/>
  <c r="W1379" i="2"/>
  <c r="AF1379" i="2"/>
  <c r="W1374" i="2"/>
  <c r="AF1374" i="2"/>
  <c r="W1467" i="2"/>
  <c r="AF1467" i="2"/>
  <c r="W1396" i="2"/>
  <c r="AF1396" i="2"/>
  <c r="W1372" i="2"/>
  <c r="AF1372" i="2"/>
  <c r="W1441" i="2"/>
  <c r="AF1441" i="2"/>
  <c r="W1468" i="2"/>
  <c r="AF1468" i="2"/>
  <c r="W1492" i="2"/>
  <c r="AF1492" i="2"/>
  <c r="X1476" i="2"/>
  <c r="U1476" i="2"/>
  <c r="AI1476" i="2"/>
  <c r="V1476" i="2"/>
  <c r="AI313" i="2"/>
  <c r="AI650" i="2"/>
  <c r="AI749" i="2"/>
  <c r="AI920" i="2"/>
  <c r="AI765" i="2"/>
  <c r="AI163" i="2"/>
  <c r="U329" i="2"/>
  <c r="X329" i="2"/>
  <c r="V329" i="2"/>
  <c r="X315" i="2"/>
  <c r="U315" i="2"/>
  <c r="V315" i="2"/>
  <c r="U340" i="2"/>
  <c r="X340" i="2"/>
  <c r="V340" i="2"/>
  <c r="U410" i="2"/>
  <c r="V410" i="2"/>
  <c r="X410" i="2"/>
  <c r="U388" i="2"/>
  <c r="X388" i="2"/>
  <c r="V388" i="2"/>
  <c r="X436" i="2"/>
  <c r="V436" i="2"/>
  <c r="U436" i="2"/>
  <c r="V654" i="2"/>
  <c r="X654" i="2"/>
  <c r="U654" i="2"/>
  <c r="V422" i="2"/>
  <c r="U422" i="2"/>
  <c r="X422" i="2"/>
  <c r="X683" i="2"/>
  <c r="U683" i="2"/>
  <c r="V683" i="2"/>
  <c r="X716" i="2"/>
  <c r="U716" i="2"/>
  <c r="V716" i="2"/>
  <c r="X718" i="2"/>
  <c r="V718" i="2"/>
  <c r="U718" i="2"/>
  <c r="X711" i="2"/>
  <c r="V711" i="2"/>
  <c r="U711" i="2"/>
  <c r="U709" i="2"/>
  <c r="X709" i="2"/>
  <c r="V709" i="2"/>
  <c r="U919" i="2"/>
  <c r="X919" i="2"/>
  <c r="V919" i="2"/>
  <c r="U892" i="2"/>
  <c r="X892" i="2"/>
  <c r="V892" i="2"/>
  <c r="X760" i="2"/>
  <c r="U760" i="2"/>
  <c r="V760" i="2"/>
  <c r="X769" i="2"/>
  <c r="V769" i="2"/>
  <c r="U769" i="2"/>
  <c r="U907" i="2"/>
  <c r="V907" i="2"/>
  <c r="X907" i="2"/>
  <c r="V61" i="2"/>
  <c r="X61" i="2"/>
  <c r="U61" i="2"/>
  <c r="X27" i="2"/>
  <c r="U27" i="2"/>
  <c r="V27" i="2"/>
  <c r="X49" i="2"/>
  <c r="V49" i="2"/>
  <c r="U49" i="2"/>
  <c r="X156" i="2"/>
  <c r="V156" i="2"/>
  <c r="U156" i="2"/>
  <c r="U1212" i="2"/>
  <c r="X1212" i="2"/>
  <c r="V1212" i="2"/>
  <c r="V1041" i="2"/>
  <c r="U1041" i="2"/>
  <c r="X1041" i="2"/>
  <c r="V170" i="2"/>
  <c r="U170" i="2"/>
  <c r="X170" i="2"/>
  <c r="V149" i="2"/>
  <c r="X149" i="2"/>
  <c r="U149" i="2"/>
  <c r="U1299" i="2"/>
  <c r="X1299" i="2"/>
  <c r="V1299" i="2"/>
  <c r="AI906" i="2"/>
  <c r="U906" i="2"/>
  <c r="V906" i="2"/>
  <c r="X906" i="2"/>
  <c r="AI1179" i="2"/>
  <c r="U1179" i="2"/>
  <c r="X1179" i="2"/>
  <c r="V1179" i="2"/>
  <c r="AI1009" i="2"/>
  <c r="U1009" i="2"/>
  <c r="X1009" i="2"/>
  <c r="V1009" i="2"/>
  <c r="AI1018" i="2"/>
  <c r="X1018" i="2"/>
  <c r="V1018" i="2"/>
  <c r="U1018" i="2"/>
  <c r="V1272" i="2"/>
  <c r="X1272" i="2"/>
  <c r="AI1272" i="2"/>
  <c r="U1272" i="2"/>
  <c r="V365" i="2"/>
  <c r="U365" i="2"/>
  <c r="X365" i="2"/>
  <c r="X552" i="2"/>
  <c r="AI552" i="2"/>
  <c r="U552" i="2"/>
  <c r="V552" i="2"/>
  <c r="U1380" i="2"/>
  <c r="V1380" i="2"/>
  <c r="AI1380" i="2"/>
  <c r="X1380" i="2"/>
  <c r="AI1364" i="2"/>
  <c r="V1364" i="2"/>
  <c r="U1364" i="2"/>
  <c r="X1364" i="2"/>
  <c r="U1358" i="2"/>
  <c r="V1358" i="2"/>
  <c r="AI1358" i="2"/>
  <c r="X1358" i="2"/>
  <c r="AI634" i="2"/>
  <c r="U634" i="2"/>
  <c r="X634" i="2"/>
  <c r="V634" i="2"/>
  <c r="U1346" i="2"/>
  <c r="AI1346" i="2"/>
  <c r="V1346" i="2"/>
  <c r="X1346" i="2"/>
  <c r="V1326" i="2"/>
  <c r="AI1326" i="2"/>
  <c r="U1326" i="2"/>
  <c r="X1326" i="2"/>
  <c r="AI1360" i="2"/>
  <c r="V1360" i="2"/>
  <c r="U1360" i="2"/>
  <c r="X1360" i="2"/>
  <c r="X1444" i="2"/>
  <c r="AI1444" i="2"/>
  <c r="V1444" i="2"/>
  <c r="U1444" i="2"/>
  <c r="V1471" i="2"/>
  <c r="X1471" i="2"/>
  <c r="U1471" i="2"/>
  <c r="AI1471" i="2"/>
  <c r="AI1323" i="2"/>
  <c r="U1323" i="2"/>
  <c r="X1323" i="2"/>
  <c r="V1323" i="2"/>
  <c r="X1347" i="2"/>
  <c r="U1347" i="2"/>
  <c r="V1347" i="2"/>
  <c r="AI1347" i="2"/>
  <c r="AI1371" i="2"/>
  <c r="V1371" i="2"/>
  <c r="U1371" i="2"/>
  <c r="X1371" i="2"/>
  <c r="V1395" i="2"/>
  <c r="X1395" i="2"/>
  <c r="U1395" i="2"/>
  <c r="AI1395" i="2"/>
  <c r="U1419" i="2"/>
  <c r="V1419" i="2"/>
  <c r="X1419" i="2"/>
  <c r="AI1419" i="2"/>
  <c r="U1443" i="2"/>
  <c r="V1443" i="2"/>
  <c r="AI1443" i="2"/>
  <c r="X1443" i="2"/>
  <c r="W155" i="2"/>
  <c r="AF155" i="2"/>
  <c r="W1190" i="2"/>
  <c r="AF1190" i="2"/>
  <c r="W1184" i="2"/>
  <c r="AF1184" i="2"/>
  <c r="W1187" i="2"/>
  <c r="AF1187" i="2"/>
  <c r="W1007" i="2"/>
  <c r="AF1007" i="2"/>
  <c r="W1025" i="2"/>
  <c r="AF1025" i="2"/>
  <c r="W1012" i="2"/>
  <c r="AF1012" i="2"/>
  <c r="W1013" i="2"/>
  <c r="AF1013" i="2"/>
  <c r="W1010" i="2"/>
  <c r="AF1010" i="2"/>
  <c r="AF1273" i="2"/>
  <c r="W1273" i="2"/>
  <c r="AF1282" i="2"/>
  <c r="W1282" i="2"/>
  <c r="AF1281" i="2"/>
  <c r="W1281" i="2"/>
  <c r="W1347" i="2"/>
  <c r="AF1347" i="2"/>
  <c r="W1354" i="2"/>
  <c r="AF1354" i="2"/>
  <c r="W1370" i="2"/>
  <c r="AF1370" i="2"/>
  <c r="W1328" i="2"/>
  <c r="AF1328" i="2"/>
  <c r="AF1333" i="2"/>
  <c r="W1333" i="2"/>
  <c r="W1411" i="2"/>
  <c r="AF1411" i="2"/>
  <c r="W1455" i="2"/>
  <c r="AF1455" i="2"/>
  <c r="W1376" i="2"/>
  <c r="AF1376" i="2"/>
  <c r="W1419" i="2"/>
  <c r="AF1419" i="2"/>
  <c r="W1414" i="2"/>
  <c r="AF1414" i="2"/>
  <c r="W1387" i="2"/>
  <c r="AF1387" i="2"/>
  <c r="W1473" i="2"/>
  <c r="AF1473" i="2"/>
  <c r="W1403" i="2"/>
  <c r="AF1403" i="2"/>
  <c r="W1443" i="2"/>
  <c r="AF1443" i="2"/>
  <c r="W1470" i="2"/>
  <c r="AF1470" i="2"/>
  <c r="U1454" i="2"/>
  <c r="V1454" i="2"/>
  <c r="X1454" i="2"/>
  <c r="AI1454" i="2"/>
  <c r="AI1478" i="2"/>
  <c r="U1478" i="2"/>
  <c r="V1478" i="2"/>
  <c r="X1478" i="2"/>
  <c r="AI648" i="2"/>
  <c r="AI172" i="2"/>
  <c r="AI1073" i="2"/>
  <c r="AI1038" i="2"/>
  <c r="V291" i="2"/>
  <c r="X291" i="2"/>
  <c r="U291" i="2"/>
  <c r="X316" i="2"/>
  <c r="V316" i="2"/>
  <c r="U316" i="2"/>
  <c r="U326" i="2"/>
  <c r="X326" i="2"/>
  <c r="V326" i="2"/>
  <c r="X328" i="2"/>
  <c r="U328" i="2"/>
  <c r="V328" i="2"/>
  <c r="X400" i="2"/>
  <c r="U400" i="2"/>
  <c r="V400" i="2"/>
  <c r="U398" i="2"/>
  <c r="X398" i="2"/>
  <c r="V398" i="2"/>
  <c r="X646" i="2"/>
  <c r="U646" i="2"/>
  <c r="V646" i="2"/>
  <c r="U653" i="2"/>
  <c r="X653" i="2"/>
  <c r="V653" i="2"/>
  <c r="X440" i="2"/>
  <c r="U440" i="2"/>
  <c r="V440" i="2"/>
  <c r="V649" i="2"/>
  <c r="X649" i="2"/>
  <c r="U649" i="2"/>
  <c r="X720" i="2"/>
  <c r="V720" i="2"/>
  <c r="U720" i="2"/>
  <c r="U704" i="2"/>
  <c r="V704" i="2"/>
  <c r="X704" i="2"/>
  <c r="X707" i="2"/>
  <c r="U707" i="2"/>
  <c r="V707" i="2"/>
  <c r="X744" i="2"/>
  <c r="U744" i="2"/>
  <c r="V744" i="2"/>
  <c r="X705" i="2"/>
  <c r="V705" i="2"/>
  <c r="U705" i="2"/>
  <c r="X702" i="2"/>
  <c r="U702" i="2"/>
  <c r="V702" i="2"/>
  <c r="U764" i="2"/>
  <c r="X764" i="2"/>
  <c r="V764" i="2"/>
  <c r="X767" i="2"/>
  <c r="U767" i="2"/>
  <c r="V767" i="2"/>
  <c r="X785" i="2"/>
  <c r="U785" i="2"/>
  <c r="V785" i="2"/>
  <c r="V790" i="2"/>
  <c r="X790" i="2"/>
  <c r="U790" i="2"/>
  <c r="U885" i="2"/>
  <c r="X885" i="2"/>
  <c r="V885" i="2"/>
  <c r="V53" i="2"/>
  <c r="X53" i="2"/>
  <c r="U53" i="2"/>
  <c r="X884" i="2"/>
  <c r="V884" i="2"/>
  <c r="U884" i="2"/>
  <c r="U1030" i="2"/>
  <c r="V1030" i="2"/>
  <c r="X1030" i="2"/>
  <c r="U1032" i="2"/>
  <c r="V1032" i="2"/>
  <c r="X1032" i="2"/>
  <c r="V152" i="2"/>
  <c r="U152" i="2"/>
  <c r="X152" i="2"/>
  <c r="U1040" i="2"/>
  <c r="X1040" i="2"/>
  <c r="V1040" i="2"/>
  <c r="U1216" i="2"/>
  <c r="X1216" i="2"/>
  <c r="V1216" i="2"/>
  <c r="X25" i="2"/>
  <c r="V25" i="2"/>
  <c r="U25" i="2"/>
  <c r="X896" i="2"/>
  <c r="V896" i="2"/>
  <c r="AI896" i="2"/>
  <c r="U896" i="2"/>
  <c r="AI1190" i="2"/>
  <c r="U1190" i="2"/>
  <c r="X1190" i="2"/>
  <c r="V1190" i="2"/>
  <c r="AI1204" i="2"/>
  <c r="U1204" i="2"/>
  <c r="X1204" i="2"/>
  <c r="V1204" i="2"/>
  <c r="AI1207" i="2"/>
  <c r="X1207" i="2"/>
  <c r="U1207" i="2"/>
  <c r="V1207" i="2"/>
  <c r="AI1215" i="2"/>
  <c r="U1215" i="2"/>
  <c r="X1215" i="2"/>
  <c r="V1215" i="2"/>
  <c r="AI1001" i="2"/>
  <c r="U1001" i="2"/>
  <c r="X1001" i="2"/>
  <c r="V1001" i="2"/>
  <c r="AI1022" i="2"/>
  <c r="V1022" i="2"/>
  <c r="U1022" i="2"/>
  <c r="X1022" i="2"/>
  <c r="X1288" i="2"/>
  <c r="V1288" i="2"/>
  <c r="U1288" i="2"/>
  <c r="AI1288" i="2"/>
  <c r="U1290" i="2"/>
  <c r="V1290" i="2"/>
  <c r="AI1290" i="2"/>
  <c r="X1290" i="2"/>
  <c r="U1280" i="2"/>
  <c r="AI1280" i="2"/>
  <c r="V1280" i="2"/>
  <c r="X1280" i="2"/>
  <c r="V368" i="2"/>
  <c r="U368" i="2"/>
  <c r="X368" i="2"/>
  <c r="U157" i="2"/>
  <c r="X157" i="2"/>
  <c r="V157" i="2"/>
  <c r="U1388" i="2"/>
  <c r="V1388" i="2"/>
  <c r="AI1388" i="2"/>
  <c r="X1388" i="2"/>
  <c r="V1418" i="2"/>
  <c r="X1418" i="2"/>
  <c r="U1418" i="2"/>
  <c r="AI1418" i="2"/>
  <c r="U872" i="2"/>
  <c r="X872" i="2"/>
  <c r="V872" i="2"/>
  <c r="U876" i="2"/>
  <c r="X876" i="2"/>
  <c r="V876" i="2"/>
  <c r="AI1366" i="2"/>
  <c r="V1366" i="2"/>
  <c r="U1366" i="2"/>
  <c r="X1366" i="2"/>
  <c r="V1338" i="2"/>
  <c r="AI1338" i="2"/>
  <c r="U1338" i="2"/>
  <c r="X1338" i="2"/>
  <c r="U1376" i="2"/>
  <c r="X1376" i="2"/>
  <c r="V1376" i="2"/>
  <c r="AI1376" i="2"/>
  <c r="AI1324" i="2"/>
  <c r="U1324" i="2"/>
  <c r="X1324" i="2"/>
  <c r="V1324" i="2"/>
  <c r="V1422" i="2"/>
  <c r="U1422" i="2"/>
  <c r="X1422" i="2"/>
  <c r="AI1422" i="2"/>
  <c r="V1449" i="2"/>
  <c r="AI1449" i="2"/>
  <c r="X1449" i="2"/>
  <c r="U1449" i="2"/>
  <c r="AI1473" i="2"/>
  <c r="U1473" i="2"/>
  <c r="V1473" i="2"/>
  <c r="X1473" i="2"/>
  <c r="V1325" i="2"/>
  <c r="U1325" i="2"/>
  <c r="X1325" i="2"/>
  <c r="AI1325" i="2"/>
  <c r="V1349" i="2"/>
  <c r="AI1349" i="2"/>
  <c r="U1349" i="2"/>
  <c r="X1349" i="2"/>
  <c r="V1373" i="2"/>
  <c r="AI1373" i="2"/>
  <c r="U1373" i="2"/>
  <c r="X1373" i="2"/>
  <c r="V1397" i="2"/>
  <c r="AI1397" i="2"/>
  <c r="X1397" i="2"/>
  <c r="U1397" i="2"/>
  <c r="AI1421" i="2"/>
  <c r="V1421" i="2"/>
  <c r="X1421" i="2"/>
  <c r="U1421" i="2"/>
  <c r="V1448" i="2"/>
  <c r="X1448" i="2"/>
  <c r="U1448" i="2"/>
  <c r="AI1448" i="2"/>
  <c r="W901" i="2"/>
  <c r="AF901" i="2"/>
  <c r="W1177" i="2"/>
  <c r="AF1177" i="2"/>
  <c r="W1197" i="2"/>
  <c r="AF1197" i="2"/>
  <c r="W1215" i="2"/>
  <c r="AF1215" i="2"/>
  <c r="W1210" i="2"/>
  <c r="AF1210" i="2"/>
  <c r="W1018" i="2"/>
  <c r="AF1018" i="2"/>
  <c r="W1006" i="2"/>
  <c r="AF1006" i="2"/>
  <c r="W1022" i="2"/>
  <c r="AF1022" i="2"/>
  <c r="AF1268" i="2"/>
  <c r="W1268" i="2"/>
  <c r="AF1269" i="2"/>
  <c r="W1269" i="2"/>
  <c r="AF1277" i="2"/>
  <c r="W1277" i="2"/>
  <c r="W1367" i="2"/>
  <c r="AF1367" i="2"/>
  <c r="AF1447" i="2"/>
  <c r="W1447" i="2"/>
  <c r="W1321" i="2"/>
  <c r="AF1321" i="2"/>
  <c r="W1421" i="2"/>
  <c r="AF1421" i="2"/>
  <c r="AF606" i="2"/>
  <c r="W606" i="2"/>
  <c r="W1356" i="2"/>
  <c r="AF1356" i="2"/>
  <c r="W1416" i="2"/>
  <c r="AF1416" i="2"/>
  <c r="W1465" i="2"/>
  <c r="AF1465" i="2"/>
  <c r="W610" i="2"/>
  <c r="AF610" i="2"/>
  <c r="W1382" i="2"/>
  <c r="AF1382" i="2"/>
  <c r="W1408" i="2"/>
  <c r="AF1408" i="2"/>
  <c r="W1380" i="2"/>
  <c r="AF1380" i="2"/>
  <c r="W1448" i="2"/>
  <c r="AF1448" i="2"/>
  <c r="W1472" i="2"/>
  <c r="AF1472" i="2"/>
  <c r="AI1456" i="2"/>
  <c r="V1456" i="2"/>
  <c r="U1456" i="2"/>
  <c r="X1456" i="2"/>
  <c r="AI1480" i="2"/>
  <c r="V1480" i="2"/>
  <c r="X1480" i="2"/>
  <c r="U1480" i="2"/>
  <c r="AI276" i="2"/>
  <c r="AI325" i="2"/>
  <c r="AI781" i="2"/>
  <c r="U342" i="2"/>
  <c r="V342" i="2"/>
  <c r="X342" i="2"/>
  <c r="U318" i="2"/>
  <c r="X318" i="2"/>
  <c r="V318" i="2"/>
  <c r="U339" i="2"/>
  <c r="X339" i="2"/>
  <c r="V339" i="2"/>
  <c r="U332" i="2"/>
  <c r="X332" i="2"/>
  <c r="V332" i="2"/>
  <c r="U331" i="2"/>
  <c r="V331" i="2"/>
  <c r="X331" i="2"/>
  <c r="U334" i="2"/>
  <c r="X334" i="2"/>
  <c r="V334" i="2"/>
  <c r="U386" i="2"/>
  <c r="V386" i="2"/>
  <c r="X386" i="2"/>
  <c r="X402" i="2"/>
  <c r="V402" i="2"/>
  <c r="U402" i="2"/>
  <c r="X644" i="2"/>
  <c r="U644" i="2"/>
  <c r="V644" i="2"/>
  <c r="U687" i="2"/>
  <c r="V687" i="2"/>
  <c r="X687" i="2"/>
  <c r="X639" i="2"/>
  <c r="U639" i="2"/>
  <c r="V639" i="2"/>
  <c r="X741" i="2"/>
  <c r="U741" i="2"/>
  <c r="V741" i="2"/>
  <c r="X728" i="2"/>
  <c r="V728" i="2"/>
  <c r="U728" i="2"/>
  <c r="X750" i="2"/>
  <c r="V750" i="2"/>
  <c r="U750" i="2"/>
  <c r="X753" i="2"/>
  <c r="U753" i="2"/>
  <c r="V753" i="2"/>
  <c r="V891" i="2"/>
  <c r="U891" i="2"/>
  <c r="X891" i="2"/>
  <c r="U916" i="2"/>
  <c r="X916" i="2"/>
  <c r="V916" i="2"/>
  <c r="V902" i="2"/>
  <c r="U902" i="2"/>
  <c r="X902" i="2"/>
  <c r="U910" i="2"/>
  <c r="X910" i="2"/>
  <c r="V910" i="2"/>
  <c r="U887" i="2"/>
  <c r="X887" i="2"/>
  <c r="V887" i="2"/>
  <c r="X58" i="2"/>
  <c r="V58" i="2"/>
  <c r="U58" i="2"/>
  <c r="X1211" i="2"/>
  <c r="V1211" i="2"/>
  <c r="U1211" i="2"/>
  <c r="V167" i="2"/>
  <c r="X167" i="2"/>
  <c r="U167" i="2"/>
  <c r="V162" i="2"/>
  <c r="U162" i="2"/>
  <c r="X162" i="2"/>
  <c r="X1068" i="2"/>
  <c r="U1068" i="2"/>
  <c r="V1068" i="2"/>
  <c r="U1043" i="2"/>
  <c r="V1043" i="2"/>
  <c r="X1043" i="2"/>
  <c r="U59" i="2"/>
  <c r="V59" i="2"/>
  <c r="X59" i="2"/>
  <c r="V55" i="2"/>
  <c r="X55" i="2"/>
  <c r="U55" i="2"/>
  <c r="U64" i="2"/>
  <c r="X64" i="2"/>
  <c r="V64" i="2"/>
  <c r="U1189" i="2"/>
  <c r="AI1189" i="2"/>
  <c r="X1189" i="2"/>
  <c r="V1189" i="2"/>
  <c r="AI1177" i="2"/>
  <c r="V1177" i="2"/>
  <c r="U1177" i="2"/>
  <c r="X1177" i="2"/>
  <c r="AI1012" i="2"/>
  <c r="U1012" i="2"/>
  <c r="X1012" i="2"/>
  <c r="V1012" i="2"/>
  <c r="U1020" i="2"/>
  <c r="V1020" i="2"/>
  <c r="X1020" i="2"/>
  <c r="AI1020" i="2"/>
  <c r="AI1000" i="2"/>
  <c r="U1000" i="2"/>
  <c r="X1000" i="2"/>
  <c r="V1000" i="2"/>
  <c r="X1266" i="2"/>
  <c r="AI1266" i="2"/>
  <c r="U1266" i="2"/>
  <c r="V1266" i="2"/>
  <c r="V363" i="2"/>
  <c r="U363" i="2"/>
  <c r="X363" i="2"/>
  <c r="V370" i="2"/>
  <c r="U370" i="2"/>
  <c r="X370" i="2"/>
  <c r="AI1406" i="2"/>
  <c r="X1406" i="2"/>
  <c r="U1406" i="2"/>
  <c r="V1406" i="2"/>
  <c r="V1362" i="2"/>
  <c r="AI1362" i="2"/>
  <c r="X1362" i="2"/>
  <c r="U1362" i="2"/>
  <c r="AI1350" i="2"/>
  <c r="V1350" i="2"/>
  <c r="U1350" i="2"/>
  <c r="X1350" i="2"/>
  <c r="U1392" i="2"/>
  <c r="V1392" i="2"/>
  <c r="AI1392" i="2"/>
  <c r="X1392" i="2"/>
  <c r="AI1336" i="2"/>
  <c r="U1336" i="2"/>
  <c r="X1336" i="2"/>
  <c r="V1336" i="2"/>
  <c r="AI1398" i="2"/>
  <c r="V1398" i="2"/>
  <c r="X1398" i="2"/>
  <c r="U1398" i="2"/>
  <c r="V1424" i="2"/>
  <c r="U1424" i="2"/>
  <c r="X1424" i="2"/>
  <c r="AI1424" i="2"/>
  <c r="V1451" i="2"/>
  <c r="X1451" i="2"/>
  <c r="AI1451" i="2"/>
  <c r="U1451" i="2"/>
  <c r="AI1475" i="2"/>
  <c r="V1475" i="2"/>
  <c r="X1475" i="2"/>
  <c r="U1475" i="2"/>
  <c r="AI1327" i="2"/>
  <c r="V1327" i="2"/>
  <c r="X1327" i="2"/>
  <c r="U1327" i="2"/>
  <c r="U1351" i="2"/>
  <c r="X1351" i="2"/>
  <c r="AI1351" i="2"/>
  <c r="V1351" i="2"/>
  <c r="U1375" i="2"/>
  <c r="AI1375" i="2"/>
  <c r="V1375" i="2"/>
  <c r="X1375" i="2"/>
  <c r="AI1399" i="2"/>
  <c r="U1399" i="2"/>
  <c r="V1399" i="2"/>
  <c r="X1399" i="2"/>
  <c r="X1423" i="2"/>
  <c r="AI1423" i="2"/>
  <c r="V1423" i="2"/>
  <c r="U1423" i="2"/>
  <c r="V1450" i="2"/>
  <c r="AI1450" i="2"/>
  <c r="X1450" i="2"/>
  <c r="U1450" i="2"/>
  <c r="W1175" i="2"/>
  <c r="AF1175" i="2"/>
  <c r="W1179" i="2"/>
  <c r="AF1179" i="2"/>
  <c r="W1176" i="2"/>
  <c r="AF1176" i="2"/>
  <c r="W1016" i="2"/>
  <c r="AF1016" i="2"/>
  <c r="W1297" i="2"/>
  <c r="AF1297" i="2"/>
  <c r="W1295" i="2"/>
  <c r="AF1295" i="2"/>
  <c r="AF1287" i="2"/>
  <c r="W1287" i="2"/>
  <c r="W554" i="2"/>
  <c r="AF554" i="2"/>
  <c r="W1426" i="2"/>
  <c r="AF1426" i="2"/>
  <c r="W1325" i="2"/>
  <c r="AF1325" i="2"/>
  <c r="AF1330" i="2"/>
  <c r="W1330" i="2"/>
  <c r="W1445" i="2"/>
  <c r="AF1445" i="2"/>
  <c r="W1361" i="2"/>
  <c r="AF1361" i="2"/>
  <c r="W1442" i="2"/>
  <c r="AF1442" i="2"/>
  <c r="W1471" i="2"/>
  <c r="AF1471" i="2"/>
  <c r="W1384" i="2"/>
  <c r="AF1384" i="2"/>
  <c r="W1324" i="2"/>
  <c r="AF1324" i="2"/>
  <c r="AF626" i="2"/>
  <c r="W626" i="2"/>
  <c r="W1461" i="2"/>
  <c r="AF1461" i="2"/>
  <c r="W1424" i="2"/>
  <c r="AF1424" i="2"/>
  <c r="W1415" i="2"/>
  <c r="AF1415" i="2"/>
  <c r="W1450" i="2"/>
  <c r="AF1450" i="2"/>
  <c r="W1474" i="2"/>
  <c r="AF1474" i="2"/>
  <c r="AI1458" i="2"/>
  <c r="U1458" i="2"/>
  <c r="X1458" i="2"/>
  <c r="V1458" i="2"/>
  <c r="AI1482" i="2"/>
  <c r="U1482" i="2"/>
  <c r="V1482" i="2"/>
  <c r="X1482" i="2"/>
  <c r="AI275" i="2"/>
  <c r="AI383" i="2"/>
  <c r="AI746" i="2"/>
  <c r="AI701" i="2"/>
  <c r="AI864" i="2"/>
  <c r="AI18" i="2"/>
  <c r="U288" i="2"/>
  <c r="V288" i="2"/>
  <c r="X288" i="2"/>
  <c r="U337" i="2"/>
  <c r="X337" i="2"/>
  <c r="V337" i="2"/>
  <c r="U348" i="2"/>
  <c r="V348" i="2"/>
  <c r="X348" i="2"/>
  <c r="V324" i="2"/>
  <c r="X324" i="2"/>
  <c r="U324" i="2"/>
  <c r="X327" i="2"/>
  <c r="V327" i="2"/>
  <c r="U327" i="2"/>
  <c r="U390" i="2"/>
  <c r="V390" i="2"/>
  <c r="X390" i="2"/>
  <c r="X434" i="2"/>
  <c r="U434" i="2"/>
  <c r="V434" i="2"/>
  <c r="X430" i="2"/>
  <c r="U430" i="2"/>
  <c r="V430" i="2"/>
  <c r="X699" i="2"/>
  <c r="U699" i="2"/>
  <c r="V699" i="2"/>
  <c r="U745" i="2"/>
  <c r="V745" i="2"/>
  <c r="X745" i="2"/>
  <c r="X736" i="2"/>
  <c r="U736" i="2"/>
  <c r="V736" i="2"/>
  <c r="V751" i="2"/>
  <c r="U751" i="2"/>
  <c r="X751" i="2"/>
  <c r="X737" i="2"/>
  <c r="U737" i="2"/>
  <c r="V737" i="2"/>
  <c r="X740" i="2"/>
  <c r="U740" i="2"/>
  <c r="V740" i="2"/>
  <c r="X713" i="2"/>
  <c r="U713" i="2"/>
  <c r="V713" i="2"/>
  <c r="X758" i="2"/>
  <c r="V758" i="2"/>
  <c r="U758" i="2"/>
  <c r="X914" i="2"/>
  <c r="V914" i="2"/>
  <c r="U914" i="2"/>
  <c r="X922" i="2"/>
  <c r="U922" i="2"/>
  <c r="V922" i="2"/>
  <c r="U913" i="2"/>
  <c r="X913" i="2"/>
  <c r="V913" i="2"/>
  <c r="U779" i="2"/>
  <c r="V779" i="2"/>
  <c r="X779" i="2"/>
  <c r="X915" i="2"/>
  <c r="V915" i="2"/>
  <c r="U915" i="2"/>
  <c r="V775" i="2"/>
  <c r="X775" i="2"/>
  <c r="U775" i="2"/>
  <c r="U900" i="2"/>
  <c r="X900" i="2"/>
  <c r="V900" i="2"/>
  <c r="X21" i="2"/>
  <c r="V21" i="2"/>
  <c r="U21" i="2"/>
  <c r="X866" i="2"/>
  <c r="V866" i="2"/>
  <c r="U866" i="2"/>
  <c r="X881" i="2"/>
  <c r="V881" i="2"/>
  <c r="U881" i="2"/>
  <c r="V173" i="2"/>
  <c r="U173" i="2"/>
  <c r="X173" i="2"/>
  <c r="X1213" i="2"/>
  <c r="V1213" i="2"/>
  <c r="U1213" i="2"/>
  <c r="V148" i="2"/>
  <c r="U148" i="2"/>
  <c r="X148" i="2"/>
  <c r="U1042" i="2"/>
  <c r="X1042" i="2"/>
  <c r="V1042" i="2"/>
  <c r="V54" i="2"/>
  <c r="U54" i="2"/>
  <c r="X54" i="2"/>
  <c r="X29" i="2"/>
  <c r="V29" i="2"/>
  <c r="U29" i="2"/>
  <c r="U60" i="2"/>
  <c r="V60" i="2"/>
  <c r="X60" i="2"/>
  <c r="AI20" i="2"/>
  <c r="U20" i="2"/>
  <c r="X20" i="2"/>
  <c r="V20" i="2"/>
  <c r="AI1199" i="2"/>
  <c r="V1199" i="2"/>
  <c r="X1199" i="2"/>
  <c r="U1199" i="2"/>
  <c r="AI1208" i="2"/>
  <c r="X1208" i="2"/>
  <c r="V1208" i="2"/>
  <c r="U1208" i="2"/>
  <c r="AI1175" i="2"/>
  <c r="U1175" i="2"/>
  <c r="X1175" i="2"/>
  <c r="V1175" i="2"/>
  <c r="AI1187" i="2"/>
  <c r="U1187" i="2"/>
  <c r="X1187" i="2"/>
  <c r="V1187" i="2"/>
  <c r="V1259" i="2"/>
  <c r="AI1259" i="2"/>
  <c r="X1259" i="2"/>
  <c r="U1259" i="2"/>
  <c r="AI1270" i="2"/>
  <c r="X1270" i="2"/>
  <c r="U1270" i="2"/>
  <c r="V1270" i="2"/>
  <c r="AI1279" i="2"/>
  <c r="V1279" i="2"/>
  <c r="U1279" i="2"/>
  <c r="X1279" i="2"/>
  <c r="U1282" i="2"/>
  <c r="AI1282" i="2"/>
  <c r="V1282" i="2"/>
  <c r="X1282" i="2"/>
  <c r="U754" i="2"/>
  <c r="AI754" i="2"/>
  <c r="V754" i="2"/>
  <c r="X754" i="2"/>
  <c r="U385" i="2"/>
  <c r="X385" i="2"/>
  <c r="AI385" i="2"/>
  <c r="V385" i="2"/>
  <c r="AI1416" i="2"/>
  <c r="V1416" i="2"/>
  <c r="X1416" i="2"/>
  <c r="U1416" i="2"/>
  <c r="AI1348" i="2"/>
  <c r="V1348" i="2"/>
  <c r="U1348" i="2"/>
  <c r="X1348" i="2"/>
  <c r="V1410" i="2"/>
  <c r="X1410" i="2"/>
  <c r="U1410" i="2"/>
  <c r="AI1410" i="2"/>
  <c r="V1426" i="2"/>
  <c r="X1426" i="2"/>
  <c r="U1426" i="2"/>
  <c r="AI1426" i="2"/>
  <c r="AI1453" i="2"/>
  <c r="X1453" i="2"/>
  <c r="V1453" i="2"/>
  <c r="U1453" i="2"/>
  <c r="U1477" i="2"/>
  <c r="V1477" i="2"/>
  <c r="X1477" i="2"/>
  <c r="AI1477" i="2"/>
  <c r="AI1329" i="2"/>
  <c r="U1329" i="2"/>
  <c r="X1329" i="2"/>
  <c r="V1329" i="2"/>
  <c r="AI1353" i="2"/>
  <c r="U1353" i="2"/>
  <c r="X1353" i="2"/>
  <c r="V1353" i="2"/>
  <c r="U1377" i="2"/>
  <c r="AI1377" i="2"/>
  <c r="V1377" i="2"/>
  <c r="X1377" i="2"/>
  <c r="AI1401" i="2"/>
  <c r="V1401" i="2"/>
  <c r="U1401" i="2"/>
  <c r="X1401" i="2"/>
  <c r="V1425" i="2"/>
  <c r="AI1425" i="2"/>
  <c r="X1425" i="2"/>
  <c r="U1425" i="2"/>
  <c r="V1452" i="2"/>
  <c r="X1452" i="2"/>
  <c r="U1452" i="2"/>
  <c r="AI1452" i="2"/>
  <c r="W1261" i="2"/>
  <c r="AF1261" i="2"/>
  <c r="AF898" i="2"/>
  <c r="W898" i="2"/>
  <c r="W1188" i="2"/>
  <c r="AF1188" i="2"/>
  <c r="W1183" i="2"/>
  <c r="AF1183" i="2"/>
  <c r="W1178" i="2"/>
  <c r="AF1178" i="2"/>
  <c r="W1017" i="2"/>
  <c r="AF1017" i="2"/>
  <c r="W1015" i="2"/>
  <c r="AF1015" i="2"/>
  <c r="W1289" i="2"/>
  <c r="AF1289" i="2"/>
  <c r="W1021" i="2"/>
  <c r="AF1021" i="2"/>
  <c r="W1024" i="2"/>
  <c r="AF1024" i="2"/>
  <c r="W1009" i="2"/>
  <c r="AF1009" i="2"/>
  <c r="AF1286" i="2"/>
  <c r="W1286" i="2"/>
  <c r="W754" i="2"/>
  <c r="AF754" i="2"/>
  <c r="W1357" i="2"/>
  <c r="AF1357" i="2"/>
  <c r="W1375" i="2"/>
  <c r="AF1375" i="2"/>
  <c r="W1425" i="2"/>
  <c r="AF1425" i="2"/>
  <c r="W1459" i="2"/>
  <c r="AF1459" i="2"/>
  <c r="W1479" i="2"/>
  <c r="AF1479" i="2"/>
  <c r="W1348" i="2"/>
  <c r="AF1348" i="2"/>
  <c r="W1390" i="2"/>
  <c r="AF1390" i="2"/>
  <c r="W1428" i="2"/>
  <c r="AF1428" i="2"/>
  <c r="W1432" i="2"/>
  <c r="AF1432" i="2"/>
  <c r="AF1388" i="2"/>
  <c r="W1388" i="2"/>
  <c r="W1452" i="2"/>
  <c r="AF1452" i="2"/>
  <c r="W1476" i="2"/>
  <c r="AF1476" i="2"/>
  <c r="U1460" i="2"/>
  <c r="AI1460" i="2"/>
  <c r="V1460" i="2"/>
  <c r="X1460" i="2"/>
  <c r="X1484" i="2"/>
  <c r="V1484" i="2"/>
  <c r="U1484" i="2"/>
  <c r="AI1484" i="2"/>
  <c r="W804" i="2"/>
  <c r="W178" i="2"/>
  <c r="W1110" i="2"/>
  <c r="W1156" i="2"/>
  <c r="W596" i="2"/>
  <c r="W969" i="2"/>
  <c r="W994" i="2"/>
  <c r="W849" i="2"/>
  <c r="W379" i="2"/>
  <c r="W1048" i="2"/>
  <c r="W1153" i="2"/>
  <c r="W843" i="2"/>
  <c r="W180" i="2"/>
  <c r="W359" i="2"/>
  <c r="W1220" i="2"/>
  <c r="W238" i="2"/>
  <c r="W601" i="2"/>
  <c r="W534" i="2"/>
  <c r="W1226" i="2"/>
  <c r="W557" i="2"/>
  <c r="W931" i="2"/>
  <c r="V443" i="2"/>
  <c r="AI443" i="2"/>
  <c r="V535" i="2"/>
  <c r="AI535" i="2"/>
  <c r="V588" i="2"/>
  <c r="AI588" i="2"/>
  <c r="V690" i="2"/>
  <c r="AI690" i="2"/>
  <c r="V580" i="2"/>
  <c r="AI580" i="2"/>
  <c r="V756" i="2"/>
  <c r="AI756" i="2"/>
  <c r="V1172" i="2"/>
  <c r="AI1172" i="2"/>
  <c r="V1121" i="2"/>
  <c r="AI1121" i="2"/>
  <c r="V1104" i="2"/>
  <c r="AI1104" i="2"/>
  <c r="V845" i="2"/>
  <c r="AI845" i="2"/>
  <c r="V1062" i="2"/>
  <c r="AI1062" i="2"/>
  <c r="V987" i="2"/>
  <c r="AI987" i="2"/>
  <c r="V1223" i="2"/>
  <c r="AI1223" i="2"/>
  <c r="V1225" i="2"/>
  <c r="AI1225" i="2"/>
  <c r="V1244" i="2"/>
  <c r="AI1244" i="2"/>
  <c r="V549" i="2"/>
  <c r="AI549" i="2"/>
  <c r="V455" i="2"/>
  <c r="AI455" i="2"/>
  <c r="V556" i="2"/>
  <c r="AI556" i="2"/>
  <c r="V612" i="2"/>
  <c r="AI612" i="2"/>
  <c r="V852" i="2"/>
  <c r="AI852" i="2"/>
  <c r="V950" i="2"/>
  <c r="AI950" i="2"/>
  <c r="V799" i="2"/>
  <c r="AI799" i="2"/>
  <c r="V955" i="2"/>
  <c r="AI955" i="2"/>
  <c r="V672" i="2"/>
  <c r="AI672" i="2"/>
  <c r="V471" i="2"/>
  <c r="AI471" i="2"/>
  <c r="V629" i="2"/>
  <c r="AI629" i="2"/>
  <c r="V597" i="2"/>
  <c r="AI597" i="2"/>
  <c r="V489" i="2"/>
  <c r="AI489" i="2"/>
  <c r="V636" i="2"/>
  <c r="AI636" i="2"/>
  <c r="V451" i="2"/>
  <c r="AI451" i="2"/>
  <c r="V529" i="2"/>
  <c r="AI529" i="2"/>
  <c r="V510" i="2"/>
  <c r="AI510" i="2"/>
  <c r="V537" i="2"/>
  <c r="AI537" i="2"/>
  <c r="V616" i="2"/>
  <c r="AI616" i="2"/>
  <c r="V527" i="2"/>
  <c r="AI527" i="2"/>
  <c r="V465" i="2"/>
  <c r="AI465" i="2"/>
  <c r="V694" i="2"/>
  <c r="AI694" i="2"/>
  <c r="V462" i="2"/>
  <c r="AI462" i="2"/>
  <c r="V545" i="2"/>
  <c r="AI545" i="2"/>
  <c r="V575" i="2"/>
  <c r="AI575" i="2"/>
  <c r="V660" i="2"/>
  <c r="AI660" i="2"/>
  <c r="V662" i="2"/>
  <c r="AI662" i="2"/>
  <c r="V490" i="2"/>
  <c r="AI490" i="2"/>
  <c r="V755" i="2"/>
  <c r="AI755" i="2"/>
  <c r="V938" i="2"/>
  <c r="AI938" i="2"/>
  <c r="V1093" i="2"/>
  <c r="AI1093" i="2"/>
  <c r="V1118" i="2"/>
  <c r="AI1118" i="2"/>
  <c r="V800" i="2"/>
  <c r="AI800" i="2"/>
  <c r="V928" i="2"/>
  <c r="AI928" i="2"/>
  <c r="V855" i="2"/>
  <c r="AI855" i="2"/>
  <c r="V812" i="2"/>
  <c r="AI812" i="2"/>
  <c r="V1120" i="2"/>
  <c r="AI1120" i="2"/>
  <c r="V795" i="2"/>
  <c r="AI795" i="2"/>
  <c r="V1045" i="2"/>
  <c r="AI1045" i="2"/>
  <c r="V1162" i="2"/>
  <c r="AI1162" i="2"/>
  <c r="V808" i="2"/>
  <c r="AI808" i="2"/>
  <c r="V961" i="2"/>
  <c r="AI961" i="2"/>
  <c r="V1099" i="2"/>
  <c r="AI1099" i="2"/>
  <c r="V973" i="2"/>
  <c r="AI973" i="2"/>
  <c r="V1156" i="2"/>
  <c r="AI1156" i="2"/>
  <c r="V984" i="2"/>
  <c r="AI984" i="2"/>
  <c r="V1170" i="2"/>
  <c r="AI1170" i="2"/>
  <c r="V802" i="2"/>
  <c r="AI802" i="2"/>
  <c r="V1089" i="2"/>
  <c r="AI1089" i="2"/>
  <c r="V1111" i="2"/>
  <c r="AI1111" i="2"/>
  <c r="V1101" i="2"/>
  <c r="AI1101" i="2"/>
  <c r="V850" i="2"/>
  <c r="AI850" i="2"/>
  <c r="V934" i="2"/>
  <c r="AI934" i="2"/>
  <c r="V942" i="2"/>
  <c r="AI942" i="2"/>
  <c r="V1098" i="2"/>
  <c r="AI1098" i="2"/>
  <c r="V946" i="2"/>
  <c r="AI946" i="2"/>
  <c r="V1173" i="2"/>
  <c r="AI1173" i="2"/>
  <c r="V1083" i="2"/>
  <c r="AI1083" i="2"/>
  <c r="V1155" i="2"/>
  <c r="AI1155" i="2"/>
  <c r="V1086" i="2"/>
  <c r="AI1086" i="2"/>
  <c r="V969" i="2"/>
  <c r="AI969" i="2"/>
  <c r="V1151" i="2"/>
  <c r="AI1151" i="2"/>
  <c r="V846" i="2"/>
  <c r="AI846" i="2"/>
  <c r="V815" i="2"/>
  <c r="AI815" i="2"/>
  <c r="V1116" i="2"/>
  <c r="AI1116" i="2"/>
  <c r="V1106" i="2"/>
  <c r="AI1106" i="2"/>
  <c r="V1222" i="2"/>
  <c r="AI1222" i="2"/>
  <c r="V473" i="2"/>
  <c r="AI473" i="2"/>
  <c r="V669" i="2"/>
  <c r="AI669" i="2"/>
  <c r="V603" i="2"/>
  <c r="AI603" i="2"/>
  <c r="V466" i="2"/>
  <c r="AI466" i="2"/>
  <c r="V670" i="2"/>
  <c r="AI670" i="2"/>
  <c r="V507" i="2"/>
  <c r="AI507" i="2"/>
  <c r="V495" i="2"/>
  <c r="AI495" i="2"/>
  <c r="V617" i="2"/>
  <c r="AI617" i="2"/>
  <c r="V515" i="2"/>
  <c r="AI515" i="2"/>
  <c r="V689" i="2"/>
  <c r="AI689" i="2"/>
  <c r="V478" i="2"/>
  <c r="AI478" i="2"/>
  <c r="V525" i="2"/>
  <c r="AI525" i="2"/>
  <c r="V581" i="2"/>
  <c r="AI581" i="2"/>
  <c r="V501" i="2"/>
  <c r="AI501" i="2"/>
  <c r="V604" i="2"/>
  <c r="AI604" i="2"/>
  <c r="V559" i="2"/>
  <c r="AI559" i="2"/>
  <c r="V491" i="2"/>
  <c r="AI491" i="2"/>
  <c r="V463" i="2"/>
  <c r="AI463" i="2"/>
  <c r="V591" i="2"/>
  <c r="AI591" i="2"/>
  <c r="V693" i="2"/>
  <c r="AI693" i="2"/>
  <c r="V621" i="2"/>
  <c r="AI621" i="2"/>
  <c r="V470" i="2"/>
  <c r="AI470" i="2"/>
  <c r="V665" i="2"/>
  <c r="AI665" i="2"/>
  <c r="V757" i="2"/>
  <c r="AI757" i="2"/>
  <c r="V1163" i="2"/>
  <c r="AI1163" i="2"/>
  <c r="V981" i="2"/>
  <c r="AI981" i="2"/>
  <c r="V1117" i="2"/>
  <c r="AI1117" i="2"/>
  <c r="V980" i="2"/>
  <c r="AI980" i="2"/>
  <c r="V1100" i="2"/>
  <c r="AI1100" i="2"/>
  <c r="V1141" i="2"/>
  <c r="AI1141" i="2"/>
  <c r="V1113" i="2"/>
  <c r="AI1113" i="2"/>
  <c r="V810" i="2"/>
  <c r="AI810" i="2"/>
  <c r="V829" i="2"/>
  <c r="AI829" i="2"/>
  <c r="V1167" i="2"/>
  <c r="AI1167" i="2"/>
  <c r="V805" i="2"/>
  <c r="AI805" i="2"/>
  <c r="V830" i="2"/>
  <c r="AI830" i="2"/>
  <c r="V828" i="2"/>
  <c r="AI828" i="2"/>
  <c r="V1165" i="2"/>
  <c r="AI1165" i="2"/>
  <c r="V1064" i="2"/>
  <c r="AI1064" i="2"/>
  <c r="V1051" i="2"/>
  <c r="AI1051" i="2"/>
  <c r="V851" i="2"/>
  <c r="AI851" i="2"/>
  <c r="V1060" i="2"/>
  <c r="AI1060" i="2"/>
  <c r="V1171" i="2"/>
  <c r="AI1171" i="2"/>
  <c r="V1110" i="2"/>
  <c r="AI1110" i="2"/>
  <c r="V1138" i="2"/>
  <c r="AI1138" i="2"/>
  <c r="V857" i="2"/>
  <c r="AI857" i="2"/>
  <c r="V1149" i="2"/>
  <c r="AI1149" i="2"/>
  <c r="V974" i="2"/>
  <c r="AI974" i="2"/>
  <c r="V814" i="2"/>
  <c r="AI814" i="2"/>
  <c r="V1152" i="2"/>
  <c r="AI1152" i="2"/>
  <c r="V822" i="2"/>
  <c r="AI822" i="2"/>
  <c r="V833" i="2"/>
  <c r="AI833" i="2"/>
  <c r="V807" i="2"/>
  <c r="AI807" i="2"/>
  <c r="V975" i="2"/>
  <c r="AI975" i="2"/>
  <c r="V1227" i="2"/>
  <c r="AI1227" i="2"/>
  <c r="V1232" i="2"/>
  <c r="AI1232" i="2"/>
  <c r="V1220" i="2"/>
  <c r="AI1220" i="2"/>
  <c r="V1235" i="2"/>
  <c r="AI1235" i="2"/>
  <c r="V560" i="2"/>
  <c r="AI560" i="2"/>
  <c r="V631" i="2"/>
  <c r="AI631" i="2"/>
  <c r="V593" i="2"/>
  <c r="AI593" i="2"/>
  <c r="V625" i="2"/>
  <c r="AI625" i="2"/>
  <c r="V633" i="2"/>
  <c r="AI633" i="2"/>
  <c r="V479" i="2"/>
  <c r="AI479" i="2"/>
  <c r="V568" i="2"/>
  <c r="AI568" i="2"/>
  <c r="V854" i="2"/>
  <c r="AI854" i="2"/>
  <c r="V988" i="2"/>
  <c r="AI988" i="2"/>
  <c r="V817" i="2"/>
  <c r="AI817" i="2"/>
  <c r="V848" i="2"/>
  <c r="AI848" i="2"/>
  <c r="V493" i="2"/>
  <c r="AI493" i="2"/>
  <c r="V677" i="2"/>
  <c r="AI677" i="2"/>
  <c r="V533" i="2"/>
  <c r="AI533" i="2"/>
  <c r="V505" i="2"/>
  <c r="AI505" i="2"/>
  <c r="V502" i="2"/>
  <c r="AI502" i="2"/>
  <c r="V503" i="2"/>
  <c r="AI503" i="2"/>
  <c r="V613" i="2"/>
  <c r="AI613" i="2"/>
  <c r="V446" i="2"/>
  <c r="AI446" i="2"/>
  <c r="V624" i="2"/>
  <c r="AI624" i="2"/>
  <c r="V518" i="2"/>
  <c r="AI518" i="2"/>
  <c r="V691" i="2"/>
  <c r="AI691" i="2"/>
  <c r="V572" i="2"/>
  <c r="AI572" i="2"/>
  <c r="V565" i="2"/>
  <c r="AI565" i="2"/>
  <c r="V666" i="2"/>
  <c r="AI666" i="2"/>
  <c r="V569" i="2"/>
  <c r="AI569" i="2"/>
  <c r="V605" i="2"/>
  <c r="AI605" i="2"/>
  <c r="V679" i="2"/>
  <c r="AI679" i="2"/>
  <c r="V467" i="2"/>
  <c r="AI467" i="2"/>
  <c r="V615" i="2"/>
  <c r="AI615" i="2"/>
  <c r="V555" i="2"/>
  <c r="AI555" i="2"/>
  <c r="V449" i="2"/>
  <c r="AI449" i="2"/>
  <c r="V825" i="2"/>
  <c r="AI825" i="2"/>
  <c r="V834" i="2"/>
  <c r="AI834" i="2"/>
  <c r="V794" i="2"/>
  <c r="AI794" i="2"/>
  <c r="V966" i="2"/>
  <c r="AI966" i="2"/>
  <c r="V986" i="2"/>
  <c r="AI986" i="2"/>
  <c r="V806" i="2"/>
  <c r="AI806" i="2"/>
  <c r="V1049" i="2"/>
  <c r="AI1049" i="2"/>
  <c r="V997" i="2"/>
  <c r="AI997" i="2"/>
  <c r="V990" i="2"/>
  <c r="AI990" i="2"/>
  <c r="V842" i="2"/>
  <c r="AI842" i="2"/>
  <c r="V837" i="2"/>
  <c r="AI837" i="2"/>
  <c r="V1119" i="2"/>
  <c r="AI1119" i="2"/>
  <c r="V1126" i="2"/>
  <c r="AI1126" i="2"/>
  <c r="V1169" i="2"/>
  <c r="AI1169" i="2"/>
  <c r="V1127" i="2"/>
  <c r="AI1127" i="2"/>
  <c r="V1154" i="2"/>
  <c r="AI1154" i="2"/>
  <c r="V960" i="2"/>
  <c r="AI960" i="2"/>
  <c r="V831" i="2"/>
  <c r="AI831" i="2"/>
  <c r="V1084" i="2"/>
  <c r="AI1084" i="2"/>
  <c r="V932" i="2"/>
  <c r="AI932" i="2"/>
  <c r="V1128" i="2"/>
  <c r="AI1128" i="2"/>
  <c r="V1078" i="2"/>
  <c r="AI1078" i="2"/>
  <c r="V811" i="2"/>
  <c r="AI811" i="2"/>
  <c r="V797" i="2"/>
  <c r="AI797" i="2"/>
  <c r="V1159" i="2"/>
  <c r="AI1159" i="2"/>
  <c r="V939" i="2"/>
  <c r="AI939" i="2"/>
  <c r="V1077" i="2"/>
  <c r="AI1077" i="2"/>
  <c r="V798" i="2"/>
  <c r="AI798" i="2"/>
  <c r="V1226" i="2"/>
  <c r="AI1226" i="2"/>
  <c r="V1229" i="2"/>
  <c r="AI1229" i="2"/>
  <c r="V1250" i="2"/>
  <c r="AI1250" i="2"/>
  <c r="V832" i="2"/>
  <c r="AI832" i="2"/>
  <c r="V1157" i="2"/>
  <c r="AI1157" i="2"/>
  <c r="V1103" i="2"/>
  <c r="AI1103" i="2"/>
  <c r="V926" i="2"/>
  <c r="AI926" i="2"/>
  <c r="V1160" i="2"/>
  <c r="AI1160" i="2"/>
  <c r="V1085" i="2"/>
  <c r="AI1085" i="2"/>
  <c r="V688" i="2"/>
  <c r="AI688" i="2"/>
  <c r="V530" i="2"/>
  <c r="AI530" i="2"/>
  <c r="V627" i="2"/>
  <c r="AI627" i="2"/>
  <c r="V541" i="2"/>
  <c r="AI541" i="2"/>
  <c r="V486" i="2"/>
  <c r="AI486" i="2"/>
  <c r="V696" i="2"/>
  <c r="AI696" i="2"/>
  <c r="V439" i="2"/>
  <c r="AI439" i="2"/>
  <c r="V482" i="2"/>
  <c r="AI482" i="2"/>
  <c r="V469" i="2"/>
  <c r="AI469" i="2"/>
  <c r="V447" i="2"/>
  <c r="AI447" i="2"/>
  <c r="V619" i="2"/>
  <c r="AI619" i="2"/>
  <c r="V445" i="2"/>
  <c r="AI445" i="2"/>
  <c r="V498" i="2"/>
  <c r="AI498" i="2"/>
  <c r="V483" i="2"/>
  <c r="AI483" i="2"/>
  <c r="V600" i="2"/>
  <c r="AI600" i="2"/>
  <c r="V494" i="2"/>
  <c r="AI494" i="2"/>
  <c r="V543" i="2"/>
  <c r="AI543" i="2"/>
  <c r="V676" i="2"/>
  <c r="AI676" i="2"/>
  <c r="V513" i="2"/>
  <c r="AI513" i="2"/>
  <c r="V550" i="2"/>
  <c r="AI550" i="2"/>
  <c r="V485" i="2"/>
  <c r="AI485" i="2"/>
  <c r="V692" i="2"/>
  <c r="AI692" i="2"/>
  <c r="V579" i="2"/>
  <c r="AI579" i="2"/>
  <c r="V589" i="2"/>
  <c r="AI589" i="2"/>
  <c r="V584" i="2"/>
  <c r="AI584" i="2"/>
  <c r="V1143" i="2"/>
  <c r="AI1143" i="2"/>
  <c r="V927" i="2"/>
  <c r="AI927" i="2"/>
  <c r="V930" i="2"/>
  <c r="AI930" i="2"/>
  <c r="V1082" i="2"/>
  <c r="AI1082" i="2"/>
  <c r="V836" i="2"/>
  <c r="AI836" i="2"/>
  <c r="V1133" i="2"/>
  <c r="AI1133" i="2"/>
  <c r="V1123" i="2"/>
  <c r="AI1123" i="2"/>
  <c r="V965" i="2"/>
  <c r="AI965" i="2"/>
  <c r="V1129" i="2"/>
  <c r="AI1129" i="2"/>
  <c r="V853" i="2"/>
  <c r="AI853" i="2"/>
  <c r="V995" i="2"/>
  <c r="AI995" i="2"/>
  <c r="V958" i="2"/>
  <c r="AI958" i="2"/>
  <c r="V1091" i="2"/>
  <c r="AI1091" i="2"/>
  <c r="V991" i="2"/>
  <c r="AI991" i="2"/>
  <c r="V1047" i="2"/>
  <c r="AI1047" i="2"/>
  <c r="V844" i="2"/>
  <c r="AI844" i="2"/>
  <c r="V1136" i="2"/>
  <c r="AI1136" i="2"/>
  <c r="V936" i="2"/>
  <c r="AI936" i="2"/>
  <c r="V1109" i="2"/>
  <c r="AI1109" i="2"/>
  <c r="V1125" i="2"/>
  <c r="AI1125" i="2"/>
  <c r="V847" i="2"/>
  <c r="AI847" i="2"/>
  <c r="V1166" i="2"/>
  <c r="AI1166" i="2"/>
  <c r="V989" i="2"/>
  <c r="AI989" i="2"/>
  <c r="V1140" i="2"/>
  <c r="AI1140" i="2"/>
  <c r="V994" i="2"/>
  <c r="AI994" i="2"/>
  <c r="V859" i="2"/>
  <c r="AI859" i="2"/>
  <c r="V1139" i="2"/>
  <c r="AI1139" i="2"/>
  <c r="V971" i="2"/>
  <c r="AI971" i="2"/>
  <c r="V976" i="2"/>
  <c r="AI976" i="2"/>
  <c r="V1124" i="2"/>
  <c r="AI1124" i="2"/>
  <c r="V809" i="2"/>
  <c r="AI809" i="2"/>
  <c r="V1054" i="2"/>
  <c r="AI1054" i="2"/>
  <c r="V1142" i="2"/>
  <c r="AI1142" i="2"/>
  <c r="V937" i="2"/>
  <c r="AI937" i="2"/>
  <c r="V951" i="2"/>
  <c r="AI951" i="2"/>
  <c r="V823" i="2"/>
  <c r="AI823" i="2"/>
  <c r="V1218" i="2"/>
  <c r="AI1218" i="2"/>
  <c r="V1221" i="2"/>
  <c r="AI1221" i="2"/>
  <c r="V659" i="2"/>
  <c r="AI659" i="2"/>
  <c r="V599" i="2"/>
  <c r="AI599" i="2"/>
  <c r="V608" i="2"/>
  <c r="AI608" i="2"/>
  <c r="V506" i="2"/>
  <c r="AI506" i="2"/>
  <c r="V499" i="2"/>
  <c r="AI499" i="2"/>
  <c r="V841" i="2"/>
  <c r="AI841" i="2"/>
  <c r="V1134" i="2"/>
  <c r="AI1134" i="2"/>
  <c r="V816" i="2"/>
  <c r="AI816" i="2"/>
  <c r="V1087" i="2"/>
  <c r="AI1087" i="2"/>
  <c r="V1053" i="2"/>
  <c r="AI1053" i="2"/>
  <c r="V571" i="2"/>
  <c r="AI571" i="2"/>
  <c r="V538" i="2"/>
  <c r="AI538" i="2"/>
  <c r="V567" i="2"/>
  <c r="AI567" i="2"/>
  <c r="V674" i="2"/>
  <c r="AI674" i="2"/>
  <c r="V461" i="2"/>
  <c r="AI461" i="2"/>
  <c r="V601" i="2"/>
  <c r="AI601" i="2"/>
  <c r="V675" i="2"/>
  <c r="AI675" i="2"/>
  <c r="V573" i="2"/>
  <c r="AI573" i="2"/>
  <c r="V519" i="2"/>
  <c r="AI519" i="2"/>
  <c r="V607" i="2"/>
  <c r="AI607" i="2"/>
  <c r="V576" i="2"/>
  <c r="AI576" i="2"/>
  <c r="V611" i="2"/>
  <c r="AI611" i="2"/>
  <c r="V678" i="2"/>
  <c r="AI678" i="2"/>
  <c r="V509" i="2"/>
  <c r="AI509" i="2"/>
  <c r="V547" i="2"/>
  <c r="AI547" i="2"/>
  <c r="V664" i="2"/>
  <c r="AI664" i="2"/>
  <c r="V453" i="2"/>
  <c r="AI453" i="2"/>
  <c r="V623" i="2"/>
  <c r="AI623" i="2"/>
  <c r="V671" i="2"/>
  <c r="AI671" i="2"/>
  <c r="V522" i="2"/>
  <c r="AI522" i="2"/>
  <c r="V673" i="2"/>
  <c r="AI673" i="2"/>
  <c r="V457" i="2"/>
  <c r="AI457" i="2"/>
  <c r="V577" i="2"/>
  <c r="AI577" i="2"/>
  <c r="V546" i="2"/>
  <c r="AI546" i="2"/>
  <c r="V856" i="2"/>
  <c r="AI856" i="2"/>
  <c r="V1079" i="2"/>
  <c r="AI1079" i="2"/>
  <c r="V826" i="2"/>
  <c r="AI826" i="2"/>
  <c r="V1147" i="2"/>
  <c r="AI1147" i="2"/>
  <c r="V1050" i="2"/>
  <c r="AI1050" i="2"/>
  <c r="V964" i="2"/>
  <c r="AI964" i="2"/>
  <c r="V1146" i="2"/>
  <c r="AI1146" i="2"/>
  <c r="V963" i="2"/>
  <c r="AI963" i="2"/>
  <c r="V1148" i="2"/>
  <c r="AI1148" i="2"/>
  <c r="V979" i="2"/>
  <c r="AI979" i="2"/>
  <c r="V1092" i="2"/>
  <c r="AI1092" i="2"/>
  <c r="V940" i="2"/>
  <c r="AI940" i="2"/>
  <c r="V953" i="2"/>
  <c r="AI953" i="2"/>
  <c r="V1131" i="2"/>
  <c r="AI1131" i="2"/>
  <c r="V1052" i="2"/>
  <c r="AI1052" i="2"/>
  <c r="V821" i="2"/>
  <c r="AI821" i="2"/>
  <c r="V1135" i="2"/>
  <c r="AI1135" i="2"/>
  <c r="V967" i="2"/>
  <c r="AI967" i="2"/>
  <c r="V1097" i="2"/>
  <c r="AI1097" i="2"/>
  <c r="V993" i="2"/>
  <c r="AI993" i="2"/>
  <c r="V1057" i="2"/>
  <c r="AI1057" i="2"/>
  <c r="V1055" i="2"/>
  <c r="AI1055" i="2"/>
  <c r="V1112" i="2"/>
  <c r="AI1112" i="2"/>
  <c r="V992" i="2"/>
  <c r="AI992" i="2"/>
  <c r="V1137" i="2"/>
  <c r="AI1137" i="2"/>
  <c r="V943" i="2"/>
  <c r="AI943" i="2"/>
  <c r="V1114" i="2"/>
  <c r="AI1114" i="2"/>
  <c r="V1122" i="2"/>
  <c r="AI1122" i="2"/>
  <c r="V952" i="2"/>
  <c r="AI952" i="2"/>
  <c r="V1061" i="2"/>
  <c r="AI1061" i="2"/>
  <c r="V1056" i="2"/>
  <c r="AI1056" i="2"/>
  <c r="V1150" i="2"/>
  <c r="AI1150" i="2"/>
  <c r="V1158" i="2"/>
  <c r="AI1158" i="2"/>
  <c r="V1217" i="2"/>
  <c r="AI1217" i="2"/>
  <c r="V1228" i="2"/>
  <c r="AI1228" i="2"/>
  <c r="V459" i="2"/>
  <c r="AI459" i="2"/>
  <c r="V585" i="2"/>
  <c r="AI585" i="2"/>
  <c r="V539" i="2"/>
  <c r="AI539" i="2"/>
  <c r="V592" i="2"/>
  <c r="AI592" i="2"/>
  <c r="V557" i="2"/>
  <c r="AI557" i="2"/>
  <c r="V487" i="2"/>
  <c r="AI487" i="2"/>
  <c r="V564" i="2"/>
  <c r="AI564" i="2"/>
  <c r="V531" i="2"/>
  <c r="AI531" i="2"/>
  <c r="V514" i="2"/>
  <c r="AI514" i="2"/>
  <c r="V595" i="2"/>
  <c r="AI595" i="2"/>
  <c r="V596" i="2"/>
  <c r="AI596" i="2"/>
  <c r="V620" i="2"/>
  <c r="AI620" i="2"/>
  <c r="V609" i="2"/>
  <c r="AI609" i="2"/>
  <c r="V477" i="2"/>
  <c r="AI477" i="2"/>
  <c r="V542" i="2"/>
  <c r="AI542" i="2"/>
  <c r="V534" i="2"/>
  <c r="AI534" i="2"/>
  <c r="V697" i="2"/>
  <c r="AI697" i="2"/>
  <c r="V563" i="2"/>
  <c r="AI563" i="2"/>
  <c r="V632" i="2"/>
  <c r="AI632" i="2"/>
  <c r="V454" i="2"/>
  <c r="AI454" i="2"/>
  <c r="V551" i="2"/>
  <c r="AI551" i="2"/>
  <c r="V1145" i="2"/>
  <c r="AI1145" i="2"/>
  <c r="V1161" i="2"/>
  <c r="AI1161" i="2"/>
  <c r="V982" i="2"/>
  <c r="AI982" i="2"/>
  <c r="V858" i="2"/>
  <c r="AI858" i="2"/>
  <c r="V1048" i="2"/>
  <c r="AI1048" i="2"/>
  <c r="V862" i="2"/>
  <c r="AI862" i="2"/>
  <c r="V827" i="2"/>
  <c r="AI827" i="2"/>
  <c r="V1094" i="2"/>
  <c r="AI1094" i="2"/>
  <c r="V1058" i="2"/>
  <c r="AI1058" i="2"/>
  <c r="V804" i="2"/>
  <c r="AI804" i="2"/>
  <c r="V1132" i="2"/>
  <c r="AI1132" i="2"/>
  <c r="V1107" i="2"/>
  <c r="AI1107" i="2"/>
  <c r="V929" i="2"/>
  <c r="AI929" i="2"/>
  <c r="V839" i="2"/>
  <c r="AI839" i="2"/>
  <c r="V1105" i="2"/>
  <c r="AI1105" i="2"/>
  <c r="V796" i="2"/>
  <c r="AI796" i="2"/>
  <c r="V1095" i="2"/>
  <c r="AI1095" i="2"/>
  <c r="V1081" i="2"/>
  <c r="AI1081" i="2"/>
  <c r="V959" i="2"/>
  <c r="AI959" i="2"/>
  <c r="V957" i="2"/>
  <c r="AI957" i="2"/>
  <c r="V962" i="2"/>
  <c r="AI962" i="2"/>
  <c r="V1168" i="2"/>
  <c r="AI1168" i="2"/>
  <c r="V945" i="2"/>
  <c r="AI945" i="2"/>
  <c r="V819" i="2"/>
  <c r="AI819" i="2"/>
  <c r="V1153" i="2"/>
  <c r="AI1153" i="2"/>
  <c r="V933" i="2"/>
  <c r="AI933" i="2"/>
  <c r="V931" i="2"/>
  <c r="AI931" i="2"/>
  <c r="V1076" i="2"/>
  <c r="AI1076" i="2"/>
  <c r="V996" i="2"/>
  <c r="AI996" i="2"/>
  <c r="V1088" i="2"/>
  <c r="AI1088" i="2"/>
  <c r="V1130" i="2"/>
  <c r="AI1130" i="2"/>
  <c r="V970" i="2"/>
  <c r="AI970" i="2"/>
  <c r="V1234" i="2"/>
  <c r="AI1234" i="2"/>
  <c r="V1224" i="2"/>
  <c r="AI1224" i="2"/>
  <c r="V1219" i="2"/>
  <c r="AI1219" i="2"/>
  <c r="V511" i="2"/>
  <c r="AI511" i="2"/>
  <c r="V526" i="2"/>
  <c r="AI526" i="2"/>
  <c r="V497" i="2"/>
  <c r="AI497" i="2"/>
  <c r="V458" i="2"/>
  <c r="AI458" i="2"/>
  <c r="V793" i="2"/>
  <c r="AI793" i="2"/>
  <c r="V813" i="2"/>
  <c r="AI813" i="2"/>
  <c r="V1102" i="2"/>
  <c r="AI1102" i="2"/>
  <c r="V840" i="2"/>
  <c r="AI840" i="2"/>
  <c r="V475" i="2"/>
  <c r="AI475" i="2"/>
  <c r="V663" i="2"/>
  <c r="AI663" i="2"/>
  <c r="V587" i="2"/>
  <c r="AI587" i="2"/>
  <c r="V523" i="2"/>
  <c r="AI523" i="2"/>
  <c r="V517" i="2"/>
  <c r="AI517" i="2"/>
  <c r="V628" i="2"/>
  <c r="AI628" i="2"/>
  <c r="V521" i="2"/>
  <c r="AI521" i="2"/>
  <c r="V450" i="2"/>
  <c r="AI450" i="2"/>
  <c r="V698" i="2"/>
  <c r="AI698" i="2"/>
  <c r="V583" i="2"/>
  <c r="AI583" i="2"/>
  <c r="V661" i="2"/>
  <c r="AI661" i="2"/>
  <c r="V668" i="2"/>
  <c r="AI668" i="2"/>
  <c r="V441" i="2"/>
  <c r="AI441" i="2"/>
  <c r="V474" i="2"/>
  <c r="AI474" i="2"/>
  <c r="V637" i="2"/>
  <c r="AI637" i="2"/>
  <c r="V667" i="2"/>
  <c r="AI667" i="2"/>
  <c r="V481" i="2"/>
  <c r="AI481" i="2"/>
  <c r="V635" i="2"/>
  <c r="AI635" i="2"/>
  <c r="V561" i="2"/>
  <c r="AI561" i="2"/>
  <c r="V695" i="2"/>
  <c r="AI695" i="2"/>
  <c r="V954" i="2"/>
  <c r="AI954" i="2"/>
  <c r="V824" i="2"/>
  <c r="AI824" i="2"/>
  <c r="V1115" i="2"/>
  <c r="AI1115" i="2"/>
  <c r="V985" i="2"/>
  <c r="AI985" i="2"/>
  <c r="V835" i="2"/>
  <c r="AI835" i="2"/>
  <c r="V968" i="2"/>
  <c r="AI968" i="2"/>
  <c r="V1063" i="2"/>
  <c r="AI1063" i="2"/>
  <c r="V948" i="2"/>
  <c r="AI948" i="2"/>
  <c r="V838" i="2"/>
  <c r="AI838" i="2"/>
  <c r="V944" i="2"/>
  <c r="AI944" i="2"/>
  <c r="V861" i="2"/>
  <c r="AI861" i="2"/>
  <c r="V820" i="2"/>
  <c r="AI820" i="2"/>
  <c r="V978" i="2"/>
  <c r="AI978" i="2"/>
  <c r="V1164" i="2"/>
  <c r="AI1164" i="2"/>
  <c r="V849" i="2"/>
  <c r="AI849" i="2"/>
  <c r="V983" i="2"/>
  <c r="AI983" i="2"/>
  <c r="V949" i="2"/>
  <c r="AI949" i="2"/>
  <c r="V803" i="2"/>
  <c r="AI803" i="2"/>
  <c r="V1090" i="2"/>
  <c r="AI1090" i="2"/>
  <c r="V1080" i="2"/>
  <c r="AI1080" i="2"/>
  <c r="V947" i="2"/>
  <c r="AI947" i="2"/>
  <c r="V972" i="2"/>
  <c r="AI972" i="2"/>
  <c r="V1108" i="2"/>
  <c r="AI1108" i="2"/>
  <c r="V843" i="2"/>
  <c r="AI843" i="2"/>
  <c r="V818" i="2"/>
  <c r="AI818" i="2"/>
  <c r="V1096" i="2"/>
  <c r="AI1096" i="2"/>
  <c r="V1046" i="2"/>
  <c r="AI1046" i="2"/>
  <c r="V935" i="2"/>
  <c r="AI935" i="2"/>
  <c r="V956" i="2"/>
  <c r="AI956" i="2"/>
  <c r="V1174" i="2"/>
  <c r="AI1174" i="2"/>
  <c r="V977" i="2"/>
  <c r="AI977" i="2"/>
  <c r="V1144" i="2"/>
  <c r="AI1144" i="2"/>
  <c r="V941" i="2"/>
  <c r="AI941" i="2"/>
  <c r="V1059" i="2"/>
  <c r="AI1059" i="2"/>
  <c r="V860" i="2"/>
  <c r="AI860" i="2"/>
  <c r="V801" i="2"/>
  <c r="AI801" i="2"/>
  <c r="V1230" i="2"/>
  <c r="AI1230" i="2"/>
  <c r="V1231" i="2"/>
  <c r="AI1231" i="2"/>
  <c r="V1233" i="2"/>
  <c r="AI1233" i="2"/>
  <c r="V1239" i="2"/>
  <c r="AI1239" i="2"/>
  <c r="V107" i="2"/>
  <c r="AI107" i="2"/>
  <c r="V225" i="2"/>
  <c r="AI225" i="2"/>
  <c r="V354" i="2"/>
  <c r="AI354" i="2"/>
  <c r="V70" i="2"/>
  <c r="AI70" i="2"/>
  <c r="V232" i="2"/>
  <c r="AI232" i="2"/>
  <c r="V236" i="2"/>
  <c r="AI236" i="2"/>
  <c r="V130" i="2"/>
  <c r="AI130" i="2"/>
  <c r="V137" i="2"/>
  <c r="AI137" i="2"/>
  <c r="V117" i="2"/>
  <c r="AI117" i="2"/>
  <c r="V224" i="2"/>
  <c r="AI224" i="2"/>
  <c r="V128" i="2"/>
  <c r="AI128" i="2"/>
  <c r="V106" i="2"/>
  <c r="AI106" i="2"/>
  <c r="V86" i="2"/>
  <c r="AI86" i="2"/>
  <c r="V16" i="2"/>
  <c r="AI16" i="2"/>
  <c r="V7" i="2"/>
  <c r="AI7" i="2"/>
  <c r="V109" i="2"/>
  <c r="AI109" i="2"/>
  <c r="V245" i="2"/>
  <c r="AI245" i="2"/>
  <c r="V220" i="2"/>
  <c r="AI220" i="2"/>
  <c r="V403" i="2"/>
  <c r="AI403" i="2"/>
  <c r="V413" i="2"/>
  <c r="AI413" i="2"/>
  <c r="V401" i="2"/>
  <c r="AI401" i="2"/>
  <c r="V187" i="2"/>
  <c r="AI187" i="2"/>
  <c r="V309" i="2"/>
  <c r="AI309" i="2"/>
  <c r="V181" i="2"/>
  <c r="AI181" i="2"/>
  <c r="V299" i="2"/>
  <c r="AI299" i="2"/>
  <c r="V261" i="2"/>
  <c r="AI261" i="2"/>
  <c r="V260" i="2"/>
  <c r="AI260" i="2"/>
  <c r="V264" i="2"/>
  <c r="AI264" i="2"/>
  <c r="V262" i="2"/>
  <c r="AI262" i="2"/>
  <c r="W12" i="2"/>
  <c r="AF12" i="2"/>
  <c r="W248" i="2"/>
  <c r="AF248" i="2"/>
  <c r="W6" i="2"/>
  <c r="AF6" i="2"/>
  <c r="W127" i="2"/>
  <c r="AF127" i="2"/>
  <c r="W218" i="2"/>
  <c r="AF218" i="2"/>
  <c r="W222" i="2"/>
  <c r="AF222" i="2"/>
  <c r="AF337" i="2"/>
  <c r="AF285" i="2"/>
  <c r="AF319" i="2"/>
  <c r="W253" i="2"/>
  <c r="AF253" i="2"/>
  <c r="W130" i="2"/>
  <c r="AF130" i="2"/>
  <c r="W137" i="2"/>
  <c r="AF137" i="2"/>
  <c r="AF332" i="2"/>
  <c r="W97" i="2"/>
  <c r="AF97" i="2"/>
  <c r="W71" i="2"/>
  <c r="AF71" i="2"/>
  <c r="W110" i="2"/>
  <c r="AF110" i="2"/>
  <c r="AF326" i="2"/>
  <c r="W217" i="2"/>
  <c r="AF217" i="2"/>
  <c r="W99" i="2"/>
  <c r="AF99" i="2"/>
  <c r="W246" i="2"/>
  <c r="AF246" i="2"/>
  <c r="W252" i="2"/>
  <c r="AF252" i="2"/>
  <c r="W245" i="2"/>
  <c r="AF245" i="2"/>
  <c r="W75" i="2"/>
  <c r="AF75" i="2"/>
  <c r="W362" i="2"/>
  <c r="AF362" i="2"/>
  <c r="W36" i="2"/>
  <c r="AF36" i="2"/>
  <c r="W30" i="2"/>
  <c r="AF30" i="2"/>
  <c r="AF414" i="2"/>
  <c r="AF388" i="2"/>
  <c r="AF412" i="2"/>
  <c r="AF408" i="2"/>
  <c r="W411" i="2"/>
  <c r="AF411" i="2"/>
  <c r="W456" i="2"/>
  <c r="AF456" i="2"/>
  <c r="W585" i="2"/>
  <c r="AF585" i="2"/>
  <c r="W450" i="2"/>
  <c r="AF450" i="2"/>
  <c r="W496" i="2"/>
  <c r="AF496" i="2"/>
  <c r="W451" i="2"/>
  <c r="AF451" i="2"/>
  <c r="W627" i="2"/>
  <c r="AF627" i="2"/>
  <c r="W574" i="2"/>
  <c r="AF574" i="2"/>
  <c r="W608" i="2"/>
  <c r="AF608" i="2"/>
  <c r="W469" i="2"/>
  <c r="AF469" i="2"/>
  <c r="W435" i="2"/>
  <c r="AF435" i="2"/>
  <c r="W519" i="2"/>
  <c r="AF519" i="2"/>
  <c r="W433" i="2"/>
  <c r="AF433" i="2"/>
  <c r="AF426" i="2"/>
  <c r="W452" i="2"/>
  <c r="AF452" i="2"/>
  <c r="W537" i="2"/>
  <c r="AF537" i="2"/>
  <c r="W607" i="2"/>
  <c r="AF607" i="2"/>
  <c r="W594" i="2"/>
  <c r="AF594" i="2"/>
  <c r="W525" i="2"/>
  <c r="AF525" i="2"/>
  <c r="W678" i="2"/>
  <c r="AF678" i="2"/>
  <c r="W454" i="2"/>
  <c r="AF454" i="2"/>
  <c r="W600" i="2"/>
  <c r="AF600" i="2"/>
  <c r="AF685" i="2"/>
  <c r="W660" i="2"/>
  <c r="AF660" i="2"/>
  <c r="W419" i="2"/>
  <c r="AF419" i="2"/>
  <c r="W522" i="2"/>
  <c r="AF522" i="2"/>
  <c r="W467" i="2"/>
  <c r="AF467" i="2"/>
  <c r="AF649" i="2"/>
  <c r="W556" i="2"/>
  <c r="AF556" i="2"/>
  <c r="W494" i="2"/>
  <c r="AF494" i="2"/>
  <c r="W635" i="2"/>
  <c r="AF635" i="2"/>
  <c r="W545" i="2"/>
  <c r="AF545" i="2"/>
  <c r="AF648" i="2"/>
  <c r="W659" i="2"/>
  <c r="AF659" i="2"/>
  <c r="AF723" i="2"/>
  <c r="AF724" i="2"/>
  <c r="AF731" i="2"/>
  <c r="AF745" i="2"/>
  <c r="AF714" i="2"/>
  <c r="AF726" i="2"/>
  <c r="AF736" i="2"/>
  <c r="AF704" i="2"/>
  <c r="AF720" i="2"/>
  <c r="AF718" i="2"/>
  <c r="AF760" i="2"/>
  <c r="AF899" i="2"/>
  <c r="AF759" i="2"/>
  <c r="AF888" i="2"/>
  <c r="AF893" i="2"/>
  <c r="AF775" i="2"/>
  <c r="AF780" i="2"/>
  <c r="AF18" i="2"/>
  <c r="W45" i="2"/>
  <c r="AF45" i="2"/>
  <c r="AF880" i="2"/>
  <c r="AF63" i="2"/>
  <c r="W47" i="2"/>
  <c r="AF47" i="2"/>
  <c r="W1132" i="2"/>
  <c r="AF1132" i="2"/>
  <c r="W1079" i="2"/>
  <c r="AF1079" i="2"/>
  <c r="AF1032" i="2"/>
  <c r="W836" i="2"/>
  <c r="AF836" i="2"/>
  <c r="W949" i="2"/>
  <c r="AF949" i="2"/>
  <c r="W1064" i="2"/>
  <c r="AF1064" i="2"/>
  <c r="W968" i="2"/>
  <c r="AF968" i="2"/>
  <c r="AF1044" i="2"/>
  <c r="W855" i="2"/>
  <c r="AF855" i="2"/>
  <c r="W833" i="2"/>
  <c r="AF833" i="2"/>
  <c r="W1122" i="2"/>
  <c r="AF1122" i="2"/>
  <c r="W1045" i="2"/>
  <c r="AF1045" i="2"/>
  <c r="W958" i="2"/>
  <c r="AF958" i="2"/>
  <c r="W1133" i="2"/>
  <c r="AF1133" i="2"/>
  <c r="W957" i="2"/>
  <c r="AF957" i="2"/>
  <c r="AF1068" i="2"/>
  <c r="AF159" i="2"/>
  <c r="AF1036" i="2"/>
  <c r="W927" i="2"/>
  <c r="AF927" i="2"/>
  <c r="W201" i="2"/>
  <c r="AF201" i="2"/>
  <c r="W1091" i="2"/>
  <c r="AF1091" i="2"/>
  <c r="W851" i="2"/>
  <c r="AF851" i="2"/>
  <c r="W984" i="2"/>
  <c r="AF984" i="2"/>
  <c r="W847" i="2"/>
  <c r="AF847" i="2"/>
  <c r="W960" i="2"/>
  <c r="AF960" i="2"/>
  <c r="W1098" i="2"/>
  <c r="AF1098" i="2"/>
  <c r="W942" i="2"/>
  <c r="AF942" i="2"/>
  <c r="W936" i="2"/>
  <c r="AF936" i="2"/>
  <c r="W192" i="2"/>
  <c r="AF192" i="2"/>
  <c r="W1139" i="2"/>
  <c r="AF1139" i="2"/>
  <c r="W989" i="2"/>
  <c r="AF989" i="2"/>
  <c r="W1140" i="2"/>
  <c r="AF1140" i="2"/>
  <c r="W996" i="2"/>
  <c r="AF996" i="2"/>
  <c r="W1138" i="2"/>
  <c r="AF1138" i="2"/>
  <c r="W840" i="2"/>
  <c r="AF840" i="2"/>
  <c r="W308" i="2"/>
  <c r="AF308" i="2"/>
  <c r="W1059" i="2"/>
  <c r="AF1059" i="2"/>
  <c r="W809" i="2"/>
  <c r="AF809" i="2"/>
  <c r="AF1038" i="2"/>
  <c r="W1163" i="2"/>
  <c r="AF1163" i="2"/>
  <c r="AF144" i="2"/>
  <c r="W822" i="2"/>
  <c r="AF822" i="2"/>
  <c r="W1224" i="2"/>
  <c r="AF1224" i="2"/>
  <c r="W1228" i="2"/>
  <c r="AF1228" i="2"/>
  <c r="W1263" i="2"/>
  <c r="AF1263" i="2"/>
  <c r="W1237" i="2"/>
  <c r="AF1237" i="2"/>
  <c r="W1248" i="2"/>
  <c r="AF1248" i="2"/>
  <c r="AF22" i="2"/>
  <c r="AF60" i="2"/>
  <c r="V355" i="2"/>
  <c r="AI355" i="2"/>
  <c r="V255" i="2"/>
  <c r="AI255" i="2"/>
  <c r="V12" i="2"/>
  <c r="AI12" i="2"/>
  <c r="V240" i="2"/>
  <c r="AI240" i="2"/>
  <c r="V206" i="2"/>
  <c r="AI206" i="2"/>
  <c r="V210" i="2"/>
  <c r="AI210" i="2"/>
  <c r="V103" i="2"/>
  <c r="AI103" i="2"/>
  <c r="V119" i="2"/>
  <c r="AI119" i="2"/>
  <c r="V237" i="2"/>
  <c r="AI237" i="2"/>
  <c r="V243" i="2"/>
  <c r="AI243" i="2"/>
  <c r="V80" i="2"/>
  <c r="AI80" i="2"/>
  <c r="V140" i="2"/>
  <c r="AI140" i="2"/>
  <c r="V249" i="2"/>
  <c r="AI249" i="2"/>
  <c r="V138" i="2"/>
  <c r="AI138" i="2"/>
  <c r="V89" i="2"/>
  <c r="AI89" i="2"/>
  <c r="V99" i="2"/>
  <c r="AI99" i="2"/>
  <c r="V13" i="2"/>
  <c r="AI13" i="2"/>
  <c r="V11" i="2"/>
  <c r="AI11" i="2"/>
  <c r="V204" i="2"/>
  <c r="AI204" i="2"/>
  <c r="V124" i="2"/>
  <c r="AI124" i="2"/>
  <c r="V96" i="2"/>
  <c r="AI96" i="2"/>
  <c r="V417" i="2"/>
  <c r="AI417" i="2"/>
  <c r="V384" i="2"/>
  <c r="AI384" i="2"/>
  <c r="V411" i="2"/>
  <c r="AI411" i="2"/>
  <c r="V433" i="2"/>
  <c r="AI433" i="2"/>
  <c r="V435" i="2"/>
  <c r="AI435" i="2"/>
  <c r="V423" i="2"/>
  <c r="AI423" i="2"/>
  <c r="V43" i="2"/>
  <c r="AI43" i="2"/>
  <c r="V303" i="2"/>
  <c r="AI303" i="2"/>
  <c r="V305" i="2"/>
  <c r="AI305" i="2"/>
  <c r="V194" i="2"/>
  <c r="AI194" i="2"/>
  <c r="V265" i="2"/>
  <c r="AI265" i="2"/>
  <c r="V269" i="2"/>
  <c r="AI269" i="2"/>
  <c r="V268" i="2"/>
  <c r="AI268" i="2"/>
  <c r="W11" i="2"/>
  <c r="AF11" i="2"/>
  <c r="AF286" i="2"/>
  <c r="W10" i="2"/>
  <c r="AF10" i="2"/>
  <c r="W123" i="2"/>
  <c r="AF123" i="2"/>
  <c r="W212" i="2"/>
  <c r="AF212" i="2"/>
  <c r="W70" i="2"/>
  <c r="AF70" i="2"/>
  <c r="W206" i="2"/>
  <c r="AF206" i="2"/>
  <c r="W221" i="2"/>
  <c r="AF221" i="2"/>
  <c r="AF346" i="2"/>
  <c r="W81" i="2"/>
  <c r="AF81" i="2"/>
  <c r="AF347" i="2"/>
  <c r="AF322" i="2"/>
  <c r="W93" i="2"/>
  <c r="AF93" i="2"/>
  <c r="W247" i="2"/>
  <c r="AF247" i="2"/>
  <c r="AF333" i="2"/>
  <c r="W125" i="2"/>
  <c r="AF125" i="2"/>
  <c r="W86" i="2"/>
  <c r="AF86" i="2"/>
  <c r="W16" i="2"/>
  <c r="AF16" i="2"/>
  <c r="W373" i="2"/>
  <c r="AF373" i="2"/>
  <c r="AF350" i="2"/>
  <c r="AF277" i="2"/>
  <c r="W108" i="2"/>
  <c r="AF108" i="2"/>
  <c r="AF283" i="2"/>
  <c r="W241" i="2"/>
  <c r="AF241" i="2"/>
  <c r="W228" i="2"/>
  <c r="AF228" i="2"/>
  <c r="W239" i="2"/>
  <c r="AF239" i="2"/>
  <c r="AF406" i="2"/>
  <c r="AF390" i="2"/>
  <c r="W399" i="2"/>
  <c r="AF399" i="2"/>
  <c r="AF383" i="2"/>
  <c r="W633" i="2"/>
  <c r="AF633" i="2"/>
  <c r="W533" i="2"/>
  <c r="AF533" i="2"/>
  <c r="W523" i="2"/>
  <c r="AF523" i="2"/>
  <c r="W532" i="2"/>
  <c r="AF532" i="2"/>
  <c r="W560" i="2"/>
  <c r="AF560" i="2"/>
  <c r="AF639" i="2"/>
  <c r="AF652" i="2"/>
  <c r="AF638" i="2"/>
  <c r="W691" i="2"/>
  <c r="AF691" i="2"/>
  <c r="AF654" i="2"/>
  <c r="W478" i="2"/>
  <c r="AF478" i="2"/>
  <c r="W447" i="2"/>
  <c r="AF447" i="2"/>
  <c r="W512" i="2"/>
  <c r="AF512" i="2"/>
  <c r="W666" i="2"/>
  <c r="AF666" i="2"/>
  <c r="W514" i="2"/>
  <c r="AF514" i="2"/>
  <c r="AF442" i="2"/>
  <c r="W598" i="2"/>
  <c r="AF598" i="2"/>
  <c r="AF682" i="2"/>
  <c r="W615" i="2"/>
  <c r="AF615" i="2"/>
  <c r="W637" i="2"/>
  <c r="AF637" i="2"/>
  <c r="W536" i="2"/>
  <c r="AF536" i="2"/>
  <c r="W449" i="2"/>
  <c r="AF449" i="2"/>
  <c r="AF683" i="2"/>
  <c r="W423" i="2"/>
  <c r="AF423" i="2"/>
  <c r="W665" i="2"/>
  <c r="AF665" i="2"/>
  <c r="W579" i="2"/>
  <c r="AF579" i="2"/>
  <c r="W509" i="2"/>
  <c r="AF509" i="2"/>
  <c r="W489" i="2"/>
  <c r="AF489" i="2"/>
  <c r="W612" i="2"/>
  <c r="AF612" i="2"/>
  <c r="W603" i="2"/>
  <c r="AF603" i="2"/>
  <c r="AF716" i="2"/>
  <c r="W755" i="2"/>
  <c r="AF755" i="2"/>
  <c r="AF742" i="2"/>
  <c r="AF715" i="2"/>
  <c r="AF711" i="2"/>
  <c r="AF735" i="2"/>
  <c r="AF725" i="2"/>
  <c r="AF897" i="2"/>
  <c r="AF761" i="2"/>
  <c r="AF895" i="2"/>
  <c r="AF915" i="2"/>
  <c r="AF791" i="2"/>
  <c r="AF918" i="2"/>
  <c r="AF921" i="2"/>
  <c r="AF919" i="2"/>
  <c r="AF26" i="2"/>
  <c r="AF53" i="2"/>
  <c r="AF879" i="2"/>
  <c r="W39" i="2"/>
  <c r="AF39" i="2"/>
  <c r="AF865" i="2"/>
  <c r="W982" i="2"/>
  <c r="AF982" i="2"/>
  <c r="W794" i="2"/>
  <c r="AF794" i="2"/>
  <c r="W856" i="2"/>
  <c r="AF856" i="2"/>
  <c r="W827" i="2"/>
  <c r="AF827" i="2"/>
  <c r="W1115" i="2"/>
  <c r="AF1115" i="2"/>
  <c r="AF1073" i="2"/>
  <c r="W181" i="2"/>
  <c r="AF181" i="2"/>
  <c r="W300" i="2"/>
  <c r="AF300" i="2"/>
  <c r="W1049" i="2"/>
  <c r="AF1049" i="2"/>
  <c r="AF156" i="2"/>
  <c r="W1095" i="2"/>
  <c r="AF1095" i="2"/>
  <c r="AF149" i="2"/>
  <c r="W829" i="2"/>
  <c r="AF829" i="2"/>
  <c r="W301" i="2"/>
  <c r="AF301" i="2"/>
  <c r="W1103" i="2"/>
  <c r="AF1103" i="2"/>
  <c r="W183" i="2"/>
  <c r="AF183" i="2"/>
  <c r="W1169" i="2"/>
  <c r="AF1169" i="2"/>
  <c r="W962" i="2"/>
  <c r="AF962" i="2"/>
  <c r="W979" i="2"/>
  <c r="AF979" i="2"/>
  <c r="W1097" i="2"/>
  <c r="AF1097" i="2"/>
  <c r="AF148" i="2"/>
  <c r="W1162" i="2"/>
  <c r="AF1162" i="2"/>
  <c r="W973" i="2"/>
  <c r="AF973" i="2"/>
  <c r="W1166" i="2"/>
  <c r="AF1166" i="2"/>
  <c r="W1055" i="2"/>
  <c r="AF1055" i="2"/>
  <c r="W1121" i="2"/>
  <c r="AF1121" i="2"/>
  <c r="W819" i="2"/>
  <c r="AF819" i="2"/>
  <c r="AF150" i="2"/>
  <c r="W1104" i="2"/>
  <c r="AF1104" i="2"/>
  <c r="W1111" i="2"/>
  <c r="AF1111" i="2"/>
  <c r="W971" i="2"/>
  <c r="AF971" i="2"/>
  <c r="AF1028" i="2"/>
  <c r="W1174" i="2"/>
  <c r="AF1174" i="2"/>
  <c r="W1056" i="2"/>
  <c r="AF1056" i="2"/>
  <c r="AF163" i="2"/>
  <c r="W199" i="2"/>
  <c r="AF199" i="2"/>
  <c r="W1088" i="2"/>
  <c r="AF1088" i="2"/>
  <c r="W987" i="2"/>
  <c r="AF987" i="2"/>
  <c r="W1107" i="2"/>
  <c r="AF1107" i="2"/>
  <c r="AF171" i="2"/>
  <c r="AF170" i="2"/>
  <c r="W1234" i="2"/>
  <c r="AF1234" i="2"/>
  <c r="W1218" i="2"/>
  <c r="AF1218" i="2"/>
  <c r="AF66" i="2"/>
  <c r="W1241" i="2"/>
  <c r="AF1241" i="2"/>
  <c r="W1304" i="2"/>
  <c r="AF1304" i="2"/>
  <c r="W1310" i="2"/>
  <c r="AF1310" i="2"/>
  <c r="W1308" i="2"/>
  <c r="AF1308" i="2"/>
  <c r="W1254" i="2"/>
  <c r="AF1254" i="2"/>
  <c r="W1265" i="2"/>
  <c r="AF1265" i="2"/>
  <c r="W1315" i="2"/>
  <c r="AF1315" i="2"/>
  <c r="AF19" i="2"/>
  <c r="V226" i="2"/>
  <c r="AI226" i="2"/>
  <c r="V377" i="2"/>
  <c r="AI377" i="2"/>
  <c r="V131" i="2"/>
  <c r="AI131" i="2"/>
  <c r="V105" i="2"/>
  <c r="AI105" i="2"/>
  <c r="AF331" i="2"/>
  <c r="AF323" i="2"/>
  <c r="AF376" i="2"/>
  <c r="W224" i="2"/>
  <c r="AF224" i="2"/>
  <c r="W128" i="2"/>
  <c r="AF128" i="2"/>
  <c r="W7" i="2"/>
  <c r="AF7" i="2"/>
  <c r="AF291" i="2"/>
  <c r="AF392" i="2"/>
  <c r="W395" i="2"/>
  <c r="AF395" i="2"/>
  <c r="AF645" i="2"/>
  <c r="W473" i="2"/>
  <c r="AF473" i="2"/>
  <c r="W593" i="2"/>
  <c r="AF593" i="2"/>
  <c r="AF686" i="2"/>
  <c r="W498" i="2"/>
  <c r="AF498" i="2"/>
  <c r="W697" i="2"/>
  <c r="AF697" i="2"/>
  <c r="W499" i="2"/>
  <c r="AF499" i="2"/>
  <c r="W541" i="2"/>
  <c r="AF541" i="2"/>
  <c r="AF658" i="2"/>
  <c r="W506" i="2"/>
  <c r="AF506" i="2"/>
  <c r="W584" i="2"/>
  <c r="AF584" i="2"/>
  <c r="AF651" i="2"/>
  <c r="AF746" i="2"/>
  <c r="AF737" i="2"/>
  <c r="AF750" i="2"/>
  <c r="AF722" i="2"/>
  <c r="AF740" i="2"/>
  <c r="AF912" i="2"/>
  <c r="AF773" i="2"/>
  <c r="AF905" i="2"/>
  <c r="AF789" i="2"/>
  <c r="AF766" i="2"/>
  <c r="AF910" i="2"/>
  <c r="AF758" i="2"/>
  <c r="AF762" i="2"/>
  <c r="AF864" i="2"/>
  <c r="AF887" i="2"/>
  <c r="AF913" i="2"/>
  <c r="W38" i="2"/>
  <c r="AF38" i="2"/>
  <c r="AF884" i="2"/>
  <c r="AF28" i="2"/>
  <c r="AF51" i="2"/>
  <c r="W1151" i="2"/>
  <c r="AF1151" i="2"/>
  <c r="W980" i="2"/>
  <c r="AF980" i="2"/>
  <c r="W190" i="2"/>
  <c r="AF190" i="2"/>
  <c r="W862" i="2"/>
  <c r="AF862" i="2"/>
  <c r="W312" i="2"/>
  <c r="AF312" i="2"/>
  <c r="W1080" i="2"/>
  <c r="AF1080" i="2"/>
  <c r="W930" i="2"/>
  <c r="AF930" i="2"/>
  <c r="AF1213" i="2"/>
  <c r="W964" i="2"/>
  <c r="AF964" i="2"/>
  <c r="W184" i="2"/>
  <c r="AF184" i="2"/>
  <c r="W1143" i="2"/>
  <c r="AF1143" i="2"/>
  <c r="AF151" i="2"/>
  <c r="W815" i="2"/>
  <c r="AF815" i="2"/>
  <c r="W830" i="2"/>
  <c r="AF830" i="2"/>
  <c r="W963" i="2"/>
  <c r="AF963" i="2"/>
  <c r="W1150" i="2"/>
  <c r="AF1150" i="2"/>
  <c r="W1099" i="2"/>
  <c r="AF1099" i="2"/>
  <c r="AF1037" i="2"/>
  <c r="W1120" i="2"/>
  <c r="AF1120" i="2"/>
  <c r="W305" i="2"/>
  <c r="AF305" i="2"/>
  <c r="W1148" i="2"/>
  <c r="AF1148" i="2"/>
  <c r="W304" i="2"/>
  <c r="AF304" i="2"/>
  <c r="W298" i="2"/>
  <c r="AF298" i="2"/>
  <c r="W1051" i="2"/>
  <c r="AF1051" i="2"/>
  <c r="W967" i="2"/>
  <c r="AF967" i="2"/>
  <c r="W176" i="2"/>
  <c r="AF176" i="2"/>
  <c r="W1046" i="2"/>
  <c r="AF1046" i="2"/>
  <c r="W1084" i="2"/>
  <c r="AF1084" i="2"/>
  <c r="W1171" i="2"/>
  <c r="AF1171" i="2"/>
  <c r="W1124" i="2"/>
  <c r="AF1124" i="2"/>
  <c r="W1076" i="2"/>
  <c r="AF1076" i="2"/>
  <c r="W939" i="2"/>
  <c r="AF939" i="2"/>
  <c r="W294" i="2"/>
  <c r="AF294" i="2"/>
  <c r="W811" i="2"/>
  <c r="AF811" i="2"/>
  <c r="W1173" i="2"/>
  <c r="AF1173" i="2"/>
  <c r="W838" i="2"/>
  <c r="AF838" i="2"/>
  <c r="W801" i="2"/>
  <c r="AF801" i="2"/>
  <c r="W1144" i="2"/>
  <c r="AF1144" i="2"/>
  <c r="W941" i="2"/>
  <c r="AF941" i="2"/>
  <c r="W951" i="2"/>
  <c r="AF951" i="2"/>
  <c r="W1054" i="2"/>
  <c r="AF1054" i="2"/>
  <c r="AF1040" i="2"/>
  <c r="AF174" i="2"/>
  <c r="W1231" i="2"/>
  <c r="AF1231" i="2"/>
  <c r="AF59" i="2"/>
  <c r="W1240" i="2"/>
  <c r="AF1240" i="2"/>
  <c r="W1320" i="2"/>
  <c r="AF1320" i="2"/>
  <c r="W1249" i="2"/>
  <c r="AF1249" i="2"/>
  <c r="W1319" i="2"/>
  <c r="AF1319" i="2"/>
  <c r="W1314" i="2"/>
  <c r="AF1314" i="2"/>
  <c r="W1305" i="2"/>
  <c r="AF1305" i="2"/>
  <c r="W1246" i="2"/>
  <c r="AF1246" i="2"/>
  <c r="AF25" i="2"/>
  <c r="AF64" i="2"/>
  <c r="V230" i="2"/>
  <c r="AI230" i="2"/>
  <c r="V122" i="2"/>
  <c r="AI122" i="2"/>
  <c r="V136" i="2"/>
  <c r="AI136" i="2"/>
  <c r="V233" i="2"/>
  <c r="AI233" i="2"/>
  <c r="V132" i="2"/>
  <c r="AI132" i="2"/>
  <c r="V179" i="2"/>
  <c r="AI179" i="2"/>
  <c r="W114" i="2"/>
  <c r="AF114" i="2"/>
  <c r="AF320" i="2"/>
  <c r="W353" i="2"/>
  <c r="AF353" i="2"/>
  <c r="AF334" i="2"/>
  <c r="AF292" i="2"/>
  <c r="W227" i="2"/>
  <c r="AF227" i="2"/>
  <c r="W15" i="2"/>
  <c r="AF15" i="2"/>
  <c r="W389" i="2"/>
  <c r="AF389" i="2"/>
  <c r="W463" i="2"/>
  <c r="AF463" i="2"/>
  <c r="W503" i="2"/>
  <c r="AF503" i="2"/>
  <c r="AF650" i="2"/>
  <c r="W542" i="2"/>
  <c r="AF542" i="2"/>
  <c r="W561" i="2"/>
  <c r="AF561" i="2"/>
  <c r="W453" i="2"/>
  <c r="AF453" i="2"/>
  <c r="V123" i="2"/>
  <c r="AI123" i="2"/>
  <c r="AI375" i="2"/>
  <c r="V32" i="2"/>
  <c r="AI32" i="2"/>
  <c r="V229" i="2"/>
  <c r="AI229" i="2"/>
  <c r="V127" i="2"/>
  <c r="AI127" i="2"/>
  <c r="V212" i="2"/>
  <c r="AI212" i="2"/>
  <c r="V244" i="2"/>
  <c r="AI244" i="2"/>
  <c r="V235" i="2"/>
  <c r="AI235" i="2"/>
  <c r="V126" i="2"/>
  <c r="AI126" i="2"/>
  <c r="V360" i="2"/>
  <c r="AI360" i="2"/>
  <c r="V14" i="2"/>
  <c r="AI14" i="2"/>
  <c r="V8" i="2"/>
  <c r="AI8" i="2"/>
  <c r="V351" i="2"/>
  <c r="AI351" i="2"/>
  <c r="V395" i="2"/>
  <c r="AI395" i="2"/>
  <c r="V419" i="2"/>
  <c r="AI419" i="2"/>
  <c r="V425" i="2"/>
  <c r="AI425" i="2"/>
  <c r="V190" i="2"/>
  <c r="AI190" i="2"/>
  <c r="V300" i="2"/>
  <c r="AI300" i="2"/>
  <c r="V184" i="2"/>
  <c r="AI184" i="2"/>
  <c r="V196" i="2"/>
  <c r="AI196" i="2"/>
  <c r="V298" i="2"/>
  <c r="AI298" i="2"/>
  <c r="V306" i="2"/>
  <c r="AI306" i="2"/>
  <c r="V192" i="2"/>
  <c r="AI192" i="2"/>
  <c r="V202" i="2"/>
  <c r="AI202" i="2"/>
  <c r="V200" i="2"/>
  <c r="AI200" i="2"/>
  <c r="V312" i="2"/>
  <c r="AI312" i="2"/>
  <c r="V257" i="2"/>
  <c r="AI257" i="2"/>
  <c r="V259" i="2"/>
  <c r="AI259" i="2"/>
  <c r="V185" i="2"/>
  <c r="AI185" i="2"/>
  <c r="W111" i="2"/>
  <c r="AF111" i="2"/>
  <c r="W13" i="2"/>
  <c r="AF13" i="2"/>
  <c r="W115" i="2"/>
  <c r="AF115" i="2"/>
  <c r="W234" i="2"/>
  <c r="AF234" i="2"/>
  <c r="W225" i="2"/>
  <c r="AF225" i="2"/>
  <c r="AF290" i="2"/>
  <c r="AF342" i="2"/>
  <c r="W95" i="2"/>
  <c r="AF95" i="2"/>
  <c r="W208" i="2"/>
  <c r="AF208" i="2"/>
  <c r="W119" i="2"/>
  <c r="AF119" i="2"/>
  <c r="AF341" i="2"/>
  <c r="W37" i="2"/>
  <c r="AF37" i="2"/>
  <c r="W219" i="2"/>
  <c r="AF219" i="2"/>
  <c r="W80" i="2"/>
  <c r="AF80" i="2"/>
  <c r="W214" i="2"/>
  <c r="AF214" i="2"/>
  <c r="W360" i="2"/>
  <c r="AF360" i="2"/>
  <c r="W87" i="2"/>
  <c r="AF87" i="2"/>
  <c r="W94" i="2"/>
  <c r="AF94" i="2"/>
  <c r="W121" i="2"/>
  <c r="AF121" i="2"/>
  <c r="W89" i="2"/>
  <c r="AF89" i="2"/>
  <c r="AF313" i="2"/>
  <c r="W242" i="2"/>
  <c r="AF242" i="2"/>
  <c r="AF340" i="2"/>
  <c r="W73" i="2"/>
  <c r="AF73" i="2"/>
  <c r="W120" i="2"/>
  <c r="AF120" i="2"/>
  <c r="W4" i="2"/>
  <c r="AF4" i="2"/>
  <c r="W96" i="2"/>
  <c r="AF96" i="2"/>
  <c r="AF343" i="2"/>
  <c r="AF386" i="2"/>
  <c r="AF396" i="2"/>
  <c r="AF398" i="2"/>
  <c r="W391" i="2"/>
  <c r="AF391" i="2"/>
  <c r="W493" i="2"/>
  <c r="AF493" i="2"/>
  <c r="W448" i="2"/>
  <c r="AF448" i="2"/>
  <c r="W578" i="2"/>
  <c r="AF578" i="2"/>
  <c r="W677" i="2"/>
  <c r="AF677" i="2"/>
  <c r="W628" i="2"/>
  <c r="AF628" i="2"/>
  <c r="AF684" i="2"/>
  <c r="W670" i="2"/>
  <c r="AF670" i="2"/>
  <c r="W380" i="2"/>
  <c r="AF380" i="2"/>
  <c r="W445" i="2"/>
  <c r="AF445" i="2"/>
  <c r="W624" i="2"/>
  <c r="AF624" i="2"/>
  <c r="W620" i="2"/>
  <c r="AF620" i="2"/>
  <c r="W569" i="2"/>
  <c r="AF569" i="2"/>
  <c r="W443" i="2"/>
  <c r="AF443" i="2"/>
  <c r="W609" i="2"/>
  <c r="AF609" i="2"/>
  <c r="W572" i="2"/>
  <c r="AF572" i="2"/>
  <c r="W484" i="2"/>
  <c r="AF484" i="2"/>
  <c r="W527" i="2"/>
  <c r="AF527" i="2"/>
  <c r="AF418" i="2"/>
  <c r="W671" i="2"/>
  <c r="AF671" i="2"/>
  <c r="W604" i="2"/>
  <c r="AF604" i="2"/>
  <c r="W477" i="2"/>
  <c r="AF477" i="2"/>
  <c r="W693" i="2"/>
  <c r="AF693" i="2"/>
  <c r="W623" i="2"/>
  <c r="AF623" i="2"/>
  <c r="W497" i="2"/>
  <c r="AF497" i="2"/>
  <c r="W458" i="2"/>
  <c r="AF458" i="2"/>
  <c r="AF438" i="2"/>
  <c r="W551" i="2"/>
  <c r="AF551" i="2"/>
  <c r="W690" i="2"/>
  <c r="AF690" i="2"/>
  <c r="W481" i="2"/>
  <c r="AF481" i="2"/>
  <c r="W676" i="2"/>
  <c r="AF676" i="2"/>
  <c r="W613" i="2"/>
  <c r="AF613" i="2"/>
  <c r="W476" i="2"/>
  <c r="AF476" i="2"/>
  <c r="W480" i="2"/>
  <c r="AF480" i="2"/>
  <c r="W459" i="2"/>
  <c r="AF459" i="2"/>
  <c r="AF699" i="2"/>
  <c r="AF752" i="2"/>
  <c r="AF702" i="2"/>
  <c r="AF733" i="2"/>
  <c r="AF728" i="2"/>
  <c r="AF743" i="2"/>
  <c r="AF721" i="2"/>
  <c r="AF783" i="2"/>
  <c r="AF785" i="2"/>
  <c r="AF916" i="2"/>
  <c r="AF777" i="2"/>
  <c r="AF902" i="2"/>
  <c r="AF903" i="2"/>
  <c r="AF909" i="2"/>
  <c r="AF763" i="2"/>
  <c r="AF790" i="2"/>
  <c r="AF782" i="2"/>
  <c r="AF914" i="2"/>
  <c r="AF61" i="2"/>
  <c r="AF881" i="2"/>
  <c r="W46" i="2"/>
  <c r="AF46" i="2"/>
  <c r="AF885" i="2"/>
  <c r="W17" i="2"/>
  <c r="AF17" i="2"/>
  <c r="AF49" i="2"/>
  <c r="W940" i="2"/>
  <c r="AF940" i="2"/>
  <c r="W952" i="2"/>
  <c r="AF952" i="2"/>
  <c r="W858" i="2"/>
  <c r="AF858" i="2"/>
  <c r="AF165" i="2"/>
  <c r="AF1029" i="2"/>
  <c r="W986" i="2"/>
  <c r="AF986" i="2"/>
  <c r="W997" i="2"/>
  <c r="AF997" i="2"/>
  <c r="W1167" i="2"/>
  <c r="AF1167" i="2"/>
  <c r="AF1065" i="2"/>
  <c r="W928" i="2"/>
  <c r="AF928" i="2"/>
  <c r="AF164" i="2"/>
  <c r="W1113" i="2"/>
  <c r="AF1113" i="2"/>
  <c r="W839" i="2"/>
  <c r="AF839" i="2"/>
  <c r="W1105" i="2"/>
  <c r="AF1105" i="2"/>
  <c r="W1047" i="2"/>
  <c r="AF1047" i="2"/>
  <c r="AF1074" i="2"/>
  <c r="W196" i="2"/>
  <c r="AF196" i="2"/>
  <c r="W1165" i="2"/>
  <c r="AF1165" i="2"/>
  <c r="W803" i="2"/>
  <c r="AF803" i="2"/>
  <c r="W179" i="2"/>
  <c r="AF179" i="2"/>
  <c r="W926" i="2"/>
  <c r="AF926" i="2"/>
  <c r="W1092" i="2"/>
  <c r="AF1092" i="2"/>
  <c r="W1123" i="2"/>
  <c r="AF1123" i="2"/>
  <c r="W1125" i="2"/>
  <c r="AF1125" i="2"/>
  <c r="W1119" i="2"/>
  <c r="AF1119" i="2"/>
  <c r="W995" i="2"/>
  <c r="AF995" i="2"/>
  <c r="W850" i="2"/>
  <c r="AF850" i="2"/>
  <c r="AF1041" i="2"/>
  <c r="W1085" i="2"/>
  <c r="AF1085" i="2"/>
  <c r="AF1066" i="2"/>
  <c r="AF147" i="2"/>
  <c r="W1077" i="2"/>
  <c r="AF1077" i="2"/>
  <c r="W1086" i="2"/>
  <c r="AF1086" i="2"/>
  <c r="W807" i="2"/>
  <c r="AF807" i="2"/>
  <c r="W1102" i="2"/>
  <c r="AF1102" i="2"/>
  <c r="W193" i="2"/>
  <c r="AF193" i="2"/>
  <c r="W846" i="2"/>
  <c r="AF846" i="2"/>
  <c r="AF1042" i="2"/>
  <c r="W1116" i="2"/>
  <c r="AF1116" i="2"/>
  <c r="W974" i="2"/>
  <c r="AF974" i="2"/>
  <c r="W1152" i="2"/>
  <c r="AF1152" i="2"/>
  <c r="W935" i="2"/>
  <c r="AF935" i="2"/>
  <c r="W943" i="2"/>
  <c r="AF943" i="2"/>
  <c r="AF169" i="2"/>
  <c r="W1227" i="2"/>
  <c r="AF1227" i="2"/>
  <c r="W1225" i="2"/>
  <c r="AF1225" i="2"/>
  <c r="W1233" i="2"/>
  <c r="AF1233" i="2"/>
  <c r="AF54" i="2"/>
  <c r="W1312" i="2"/>
  <c r="AF1312" i="2"/>
  <c r="W1255" i="2"/>
  <c r="AF1255" i="2"/>
  <c r="W1247" i="2"/>
  <c r="AF1247" i="2"/>
  <c r="AF1264" i="2"/>
  <c r="W1253" i="2"/>
  <c r="AF1253" i="2"/>
  <c r="W1236" i="2"/>
  <c r="AF1236" i="2"/>
  <c r="V142" i="2"/>
  <c r="AI142" i="2"/>
  <c r="V77" i="2"/>
  <c r="AI77" i="2"/>
  <c r="V353" i="2"/>
  <c r="AI353" i="2"/>
  <c r="V90" i="2"/>
  <c r="AI90" i="2"/>
  <c r="V97" i="2"/>
  <c r="AI97" i="2"/>
  <c r="V75" i="2"/>
  <c r="AI75" i="2"/>
  <c r="V246" i="2"/>
  <c r="AI246" i="2"/>
  <c r="V36" i="2"/>
  <c r="AI36" i="2"/>
  <c r="V183" i="2"/>
  <c r="AI183" i="2"/>
  <c r="V189" i="2"/>
  <c r="AI189" i="2"/>
  <c r="V311" i="2"/>
  <c r="AI311" i="2"/>
  <c r="V256" i="2"/>
  <c r="AI256" i="2"/>
  <c r="V41" i="2"/>
  <c r="AI41" i="2"/>
  <c r="W76" i="2"/>
  <c r="AF76" i="2"/>
  <c r="AF289" i="2"/>
  <c r="AF287" i="2"/>
  <c r="W378" i="2"/>
  <c r="AF378" i="2"/>
  <c r="W384" i="2"/>
  <c r="AF384" i="2"/>
  <c r="W502" i="2"/>
  <c r="AF502" i="2"/>
  <c r="W446" i="2"/>
  <c r="AF446" i="2"/>
  <c r="W663" i="2"/>
  <c r="AF663" i="2"/>
  <c r="AF655" i="2"/>
  <c r="W485" i="2"/>
  <c r="AF485" i="2"/>
  <c r="W692" i="2"/>
  <c r="AF692" i="2"/>
  <c r="AF700" i="2"/>
  <c r="V231" i="2"/>
  <c r="AI231" i="2"/>
  <c r="V250" i="2"/>
  <c r="AI250" i="2"/>
  <c r="V98" i="2"/>
  <c r="AI98" i="2"/>
  <c r="V104" i="2"/>
  <c r="AI104" i="2"/>
  <c r="V93" i="2"/>
  <c r="AI93" i="2"/>
  <c r="V68" i="2"/>
  <c r="AI68" i="2"/>
  <c r="V356" i="2"/>
  <c r="AI356" i="2"/>
  <c r="V87" i="2"/>
  <c r="AI87" i="2"/>
  <c r="V78" i="2"/>
  <c r="AI78" i="2"/>
  <c r="V253" i="2"/>
  <c r="AI253" i="2"/>
  <c r="V205" i="2"/>
  <c r="AI205" i="2"/>
  <c r="V378" i="2"/>
  <c r="AI378" i="2"/>
  <c r="V94" i="2"/>
  <c r="AI94" i="2"/>
  <c r="V30" i="2"/>
  <c r="AI30" i="2"/>
  <c r="V112" i="2"/>
  <c r="AI112" i="2"/>
  <c r="V111" i="2"/>
  <c r="AI111" i="2"/>
  <c r="V101" i="2"/>
  <c r="AI101" i="2"/>
  <c r="V209" i="2"/>
  <c r="AI209" i="2"/>
  <c r="V352" i="2"/>
  <c r="AI352" i="2"/>
  <c r="V391" i="2"/>
  <c r="AI391" i="2"/>
  <c r="V380" i="2"/>
  <c r="AI380" i="2"/>
  <c r="V42" i="2"/>
  <c r="AI42" i="2"/>
  <c r="V302" i="2"/>
  <c r="AI302" i="2"/>
  <c r="V295" i="2"/>
  <c r="AI295" i="2"/>
  <c r="V195" i="2"/>
  <c r="AI195" i="2"/>
  <c r="V294" i="2"/>
  <c r="AI294" i="2"/>
  <c r="V267" i="2"/>
  <c r="AI267" i="2"/>
  <c r="V270" i="2"/>
  <c r="AI270" i="2"/>
  <c r="W211" i="2"/>
  <c r="AF211" i="2"/>
  <c r="AF288" i="2"/>
  <c r="W361" i="2"/>
  <c r="AF361" i="2"/>
  <c r="W72" i="2"/>
  <c r="AF72" i="2"/>
  <c r="W240" i="2"/>
  <c r="AF240" i="2"/>
  <c r="W232" i="2"/>
  <c r="AF232" i="2"/>
  <c r="W77" i="2"/>
  <c r="AF77" i="2"/>
  <c r="W92" i="2"/>
  <c r="AF92" i="2"/>
  <c r="W68" i="2"/>
  <c r="AF68" i="2"/>
  <c r="W103" i="2"/>
  <c r="AF103" i="2"/>
  <c r="W134" i="2"/>
  <c r="AF134" i="2"/>
  <c r="W85" i="2"/>
  <c r="AF85" i="2"/>
  <c r="W31" i="2"/>
  <c r="AF31" i="2"/>
  <c r="W9" i="2"/>
  <c r="AF9" i="2"/>
  <c r="W35" i="2"/>
  <c r="AF35" i="2"/>
  <c r="AF317" i="2"/>
  <c r="W140" i="2"/>
  <c r="AF140" i="2"/>
  <c r="W382" i="2"/>
  <c r="AF382" i="2"/>
  <c r="W117" i="2"/>
  <c r="AF117" i="2"/>
  <c r="W351" i="2"/>
  <c r="AF351" i="2"/>
  <c r="W204" i="2"/>
  <c r="AF204" i="2"/>
  <c r="W109" i="2"/>
  <c r="AF109" i="2"/>
  <c r="AF280" i="2"/>
  <c r="W8" i="2"/>
  <c r="AF8" i="2"/>
  <c r="AF278" i="2"/>
  <c r="W207" i="2"/>
  <c r="AF207" i="2"/>
  <c r="W357" i="2"/>
  <c r="AF357" i="2"/>
  <c r="W124" i="2"/>
  <c r="AF124" i="2"/>
  <c r="AF394" i="2"/>
  <c r="W397" i="2"/>
  <c r="AF397" i="2"/>
  <c r="W413" i="2"/>
  <c r="AF413" i="2"/>
  <c r="W387" i="2"/>
  <c r="AF387" i="2"/>
  <c r="W571" i="2"/>
  <c r="AF571" i="2"/>
  <c r="W599" i="2"/>
  <c r="AF599" i="2"/>
  <c r="W592" i="2"/>
  <c r="AF592" i="2"/>
  <c r="AF434" i="2"/>
  <c r="W587" i="2"/>
  <c r="AF587" i="2"/>
  <c r="W564" i="2"/>
  <c r="AF564" i="2"/>
  <c r="W444" i="2"/>
  <c r="AF444" i="2"/>
  <c r="W528" i="2"/>
  <c r="AF528" i="2"/>
  <c r="W582" i="2"/>
  <c r="AF582" i="2"/>
  <c r="W482" i="2"/>
  <c r="AF482" i="2"/>
  <c r="W698" i="2"/>
  <c r="AF698" i="2"/>
  <c r="W487" i="2"/>
  <c r="AF487" i="2"/>
  <c r="W696" i="2"/>
  <c r="AF696" i="2"/>
  <c r="AF424" i="2"/>
  <c r="W427" i="2"/>
  <c r="AF427" i="2"/>
  <c r="W588" i="2"/>
  <c r="AF588" i="2"/>
  <c r="W535" i="2"/>
  <c r="AF535" i="2"/>
  <c r="W508" i="2"/>
  <c r="AF508" i="2"/>
  <c r="W636" i="2"/>
  <c r="AF636" i="2"/>
  <c r="W570" i="2"/>
  <c r="AF570" i="2"/>
  <c r="AF432" i="2"/>
  <c r="W694" i="2"/>
  <c r="AF694" i="2"/>
  <c r="W630" i="2"/>
  <c r="AF630" i="2"/>
  <c r="W437" i="2"/>
  <c r="AF437" i="2"/>
  <c r="W575" i="2"/>
  <c r="AF575" i="2"/>
  <c r="W591" i="2"/>
  <c r="AF591" i="2"/>
  <c r="W479" i="2"/>
  <c r="AF479" i="2"/>
  <c r="W466" i="2"/>
  <c r="AF466" i="2"/>
  <c r="W465" i="2"/>
  <c r="AF465" i="2"/>
  <c r="W662" i="2"/>
  <c r="AF662" i="2"/>
  <c r="W470" i="2"/>
  <c r="AF470" i="2"/>
  <c r="AF436" i="2"/>
  <c r="AF681" i="2"/>
  <c r="AF705" i="2"/>
  <c r="W756" i="2"/>
  <c r="AF756" i="2"/>
  <c r="AF749" i="2"/>
  <c r="AF707" i="2"/>
  <c r="AF732" i="2"/>
  <c r="AF738" i="2"/>
  <c r="AF730" i="2"/>
  <c r="AF703" i="2"/>
  <c r="AF706" i="2"/>
  <c r="AF769" i="2"/>
  <c r="AF900" i="2"/>
  <c r="AF924" i="2"/>
  <c r="AF778" i="2"/>
  <c r="AF772" i="2"/>
  <c r="AF767" i="2"/>
  <c r="AF922" i="2"/>
  <c r="AF770" i="2"/>
  <c r="AF786" i="2"/>
  <c r="W869" i="2"/>
  <c r="AF869" i="2"/>
  <c r="W43" i="2"/>
  <c r="AF43" i="2"/>
  <c r="W40" i="2"/>
  <c r="AF40" i="2"/>
  <c r="AF882" i="2"/>
  <c r="AF21" i="2"/>
  <c r="W302" i="2"/>
  <c r="AF302" i="2"/>
  <c r="W845" i="2"/>
  <c r="AF845" i="2"/>
  <c r="W1078" i="2"/>
  <c r="AF1078" i="2"/>
  <c r="W1093" i="2"/>
  <c r="AF1093" i="2"/>
  <c r="W1058" i="2"/>
  <c r="AF1058" i="2"/>
  <c r="AF172" i="2"/>
  <c r="AF161" i="2"/>
  <c r="W985" i="2"/>
  <c r="AF985" i="2"/>
  <c r="W959" i="2"/>
  <c r="AF959" i="2"/>
  <c r="W796" i="2"/>
  <c r="AF796" i="2"/>
  <c r="W978" i="2"/>
  <c r="AF978" i="2"/>
  <c r="W1061" i="2"/>
  <c r="AF1061" i="2"/>
  <c r="W861" i="2"/>
  <c r="AF861" i="2"/>
  <c r="W1126" i="2"/>
  <c r="AF1126" i="2"/>
  <c r="W852" i="2"/>
  <c r="AF852" i="2"/>
  <c r="AF162" i="2"/>
  <c r="W1135" i="2"/>
  <c r="AF1135" i="2"/>
  <c r="W297" i="2"/>
  <c r="AF297" i="2"/>
  <c r="W816" i="2"/>
  <c r="AF816" i="2"/>
  <c r="W813" i="2"/>
  <c r="AF813" i="2"/>
  <c r="W306" i="2"/>
  <c r="AF306" i="2"/>
  <c r="W1131" i="2"/>
  <c r="AF1131" i="2"/>
  <c r="W1052" i="2"/>
  <c r="AF1052" i="2"/>
  <c r="W945" i="2"/>
  <c r="AF945" i="2"/>
  <c r="AF146" i="2"/>
  <c r="W831" i="2"/>
  <c r="AF831" i="2"/>
  <c r="W1155" i="2"/>
  <c r="AF1155" i="2"/>
  <c r="W1108" i="2"/>
  <c r="AF1108" i="2"/>
  <c r="W993" i="2"/>
  <c r="AF993" i="2"/>
  <c r="W1053" i="2"/>
  <c r="AF1053" i="2"/>
  <c r="W859" i="2"/>
  <c r="AF859" i="2"/>
  <c r="W970" i="2"/>
  <c r="AF970" i="2"/>
  <c r="W956" i="2"/>
  <c r="AF956" i="2"/>
  <c r="W310" i="2"/>
  <c r="AF310" i="2"/>
  <c r="W1157" i="2"/>
  <c r="AF1157" i="2"/>
  <c r="AF166" i="2"/>
  <c r="W826" i="2"/>
  <c r="AF826" i="2"/>
  <c r="W860" i="2"/>
  <c r="AF860" i="2"/>
  <c r="W798" i="2"/>
  <c r="AF798" i="2"/>
  <c r="W990" i="2"/>
  <c r="AF990" i="2"/>
  <c r="W820" i="2"/>
  <c r="AF820" i="2"/>
  <c r="W1130" i="2"/>
  <c r="AF1130" i="2"/>
  <c r="W1223" i="2"/>
  <c r="AF1223" i="2"/>
  <c r="W1230" i="2"/>
  <c r="AF1230" i="2"/>
  <c r="AF1256" i="2"/>
  <c r="W1313" i="2"/>
  <c r="AF1313" i="2"/>
  <c r="W1242" i="2"/>
  <c r="AF1242" i="2"/>
  <c r="W1317" i="2"/>
  <c r="AF1317" i="2"/>
  <c r="W1238" i="2"/>
  <c r="AF1238" i="2"/>
  <c r="W1243" i="2"/>
  <c r="AF1243" i="2"/>
  <c r="AF50" i="2"/>
  <c r="V34" i="2"/>
  <c r="AI34" i="2"/>
  <c r="V9" i="2"/>
  <c r="AI9" i="2"/>
  <c r="V207" i="2"/>
  <c r="AI207" i="2"/>
  <c r="V193" i="2"/>
  <c r="AI193" i="2"/>
  <c r="V258" i="2"/>
  <c r="AI258" i="2"/>
  <c r="AF324" i="2"/>
  <c r="AF336" i="2"/>
  <c r="W236" i="2"/>
  <c r="AF236" i="2"/>
  <c r="W223" i="2"/>
  <c r="AF223" i="2"/>
  <c r="AF279" i="2"/>
  <c r="W82" i="2"/>
  <c r="AF82" i="2"/>
  <c r="W530" i="2"/>
  <c r="AF530" i="2"/>
  <c r="W492" i="2"/>
  <c r="AF492" i="2"/>
  <c r="W597" i="2"/>
  <c r="AF597" i="2"/>
  <c r="W689" i="2"/>
  <c r="AF689" i="2"/>
  <c r="W688" i="2"/>
  <c r="AF688" i="2"/>
  <c r="W664" i="2"/>
  <c r="AF664" i="2"/>
  <c r="AF420" i="2"/>
  <c r="V222" i="2"/>
  <c r="AI222" i="2"/>
  <c r="V114" i="2"/>
  <c r="AI114" i="2"/>
  <c r="V241" i="2"/>
  <c r="AI241" i="2"/>
  <c r="V141" i="2"/>
  <c r="AI141" i="2"/>
  <c r="V69" i="2"/>
  <c r="AI69" i="2"/>
  <c r="V238" i="2"/>
  <c r="AI238" i="2"/>
  <c r="V92" i="2"/>
  <c r="AI92" i="2"/>
  <c r="V234" i="2"/>
  <c r="AI234" i="2"/>
  <c r="V100" i="2"/>
  <c r="AI100" i="2"/>
  <c r="V247" i="2"/>
  <c r="AI247" i="2"/>
  <c r="V139" i="2"/>
  <c r="AI139" i="2"/>
  <c r="V95" i="2"/>
  <c r="AI95" i="2"/>
  <c r="V35" i="2"/>
  <c r="AI35" i="2"/>
  <c r="V129" i="2"/>
  <c r="AI129" i="2"/>
  <c r="V214" i="2"/>
  <c r="AI214" i="2"/>
  <c r="V102" i="2"/>
  <c r="AI102" i="2"/>
  <c r="V252" i="2"/>
  <c r="AI252" i="2"/>
  <c r="V121" i="2"/>
  <c r="AI121" i="2"/>
  <c r="V228" i="2"/>
  <c r="AI228" i="2"/>
  <c r="V133" i="2"/>
  <c r="AI133" i="2"/>
  <c r="V216" i="2"/>
  <c r="AI216" i="2"/>
  <c r="V76" i="2"/>
  <c r="AI76" i="2"/>
  <c r="V82" i="2"/>
  <c r="AI82" i="2"/>
  <c r="V10" i="2"/>
  <c r="AI10" i="2"/>
  <c r="V409" i="2"/>
  <c r="AI409" i="2"/>
  <c r="V397" i="2"/>
  <c r="AI397" i="2"/>
  <c r="V399" i="2"/>
  <c r="AI399" i="2"/>
  <c r="V389" i="2"/>
  <c r="AI389" i="2"/>
  <c r="V387" i="2"/>
  <c r="AI387" i="2"/>
  <c r="V431" i="2"/>
  <c r="AI431" i="2"/>
  <c r="V45" i="2"/>
  <c r="AI45" i="2"/>
  <c r="V39" i="2"/>
  <c r="AI39" i="2"/>
  <c r="V191" i="2"/>
  <c r="AI191" i="2"/>
  <c r="V296" i="2"/>
  <c r="AI296" i="2"/>
  <c r="V301" i="2"/>
  <c r="AI301" i="2"/>
  <c r="V176" i="2"/>
  <c r="AI176" i="2"/>
  <c r="V304" i="2"/>
  <c r="AI304" i="2"/>
  <c r="V201" i="2"/>
  <c r="AI201" i="2"/>
  <c r="V274" i="2"/>
  <c r="AI274" i="2"/>
  <c r="V203" i="2"/>
  <c r="AI203" i="2"/>
  <c r="V48" i="2"/>
  <c r="AI48" i="2"/>
  <c r="AF375" i="2"/>
  <c r="AF348" i="2"/>
  <c r="W142" i="2"/>
  <c r="AF142" i="2"/>
  <c r="W255" i="2"/>
  <c r="AF255" i="2"/>
  <c r="AF316" i="2"/>
  <c r="W88" i="2"/>
  <c r="AF88" i="2"/>
  <c r="W69" i="2"/>
  <c r="AF69" i="2"/>
  <c r="AF282" i="2"/>
  <c r="W250" i="2"/>
  <c r="AF250" i="2"/>
  <c r="AF339" i="2"/>
  <c r="W251" i="2"/>
  <c r="AF251" i="2"/>
  <c r="AF281" i="2"/>
  <c r="W74" i="2"/>
  <c r="AF74" i="2"/>
  <c r="W243" i="2"/>
  <c r="AF243" i="2"/>
  <c r="AF325" i="2"/>
  <c r="W205" i="2"/>
  <c r="AF205" i="2"/>
  <c r="AF284" i="2"/>
  <c r="W91" i="2"/>
  <c r="AF91" i="2"/>
  <c r="AF338" i="2"/>
  <c r="W14" i="2"/>
  <c r="AF14" i="2"/>
  <c r="AF293" i="2"/>
  <c r="W215" i="2"/>
  <c r="AF215" i="2"/>
  <c r="W233" i="2"/>
  <c r="AF233" i="2"/>
  <c r="W83" i="2"/>
  <c r="AF83" i="2"/>
  <c r="AF349" i="2"/>
  <c r="W138" i="2"/>
  <c r="AF138" i="2"/>
  <c r="W132" i="2"/>
  <c r="AF132" i="2"/>
  <c r="W381" i="2"/>
  <c r="AF381" i="2"/>
  <c r="W118" i="2"/>
  <c r="AF118" i="2"/>
  <c r="W105" i="2"/>
  <c r="AF105" i="2"/>
  <c r="AF328" i="2"/>
  <c r="W33" i="2"/>
  <c r="AF33" i="2"/>
  <c r="W401" i="2"/>
  <c r="AF401" i="2"/>
  <c r="W407" i="2"/>
  <c r="AF407" i="2"/>
  <c r="W517" i="2"/>
  <c r="AF517" i="2"/>
  <c r="W425" i="2"/>
  <c r="AF425" i="2"/>
  <c r="W461" i="2"/>
  <c r="AF461" i="2"/>
  <c r="W495" i="2"/>
  <c r="AF495" i="2"/>
  <c r="W695" i="2"/>
  <c r="AF695" i="2"/>
  <c r="W549" i="2"/>
  <c r="AF549" i="2"/>
  <c r="W521" i="2"/>
  <c r="AF521" i="2"/>
  <c r="W558" i="2"/>
  <c r="AF558" i="2"/>
  <c r="AF687" i="2"/>
  <c r="W538" i="2"/>
  <c r="AF538" i="2"/>
  <c r="AF644" i="2"/>
  <c r="W590" i="2"/>
  <c r="AF590" i="2"/>
  <c r="AF643" i="2"/>
  <c r="W474" i="2"/>
  <c r="AF474" i="2"/>
  <c r="W441" i="2"/>
  <c r="AF441" i="2"/>
  <c r="W581" i="2"/>
  <c r="AF581" i="2"/>
  <c r="W472" i="2"/>
  <c r="AF472" i="2"/>
  <c r="W562" i="2"/>
  <c r="AF562" i="2"/>
  <c r="W544" i="2"/>
  <c r="AF544" i="2"/>
  <c r="W619" i="2"/>
  <c r="AF619" i="2"/>
  <c r="W547" i="2"/>
  <c r="AF547" i="2"/>
  <c r="W563" i="2"/>
  <c r="AF563" i="2"/>
  <c r="W543" i="2"/>
  <c r="AF543" i="2"/>
  <c r="AF641" i="2"/>
  <c r="W468" i="2"/>
  <c r="AF468" i="2"/>
  <c r="W605" i="2"/>
  <c r="AF605" i="2"/>
  <c r="W516" i="2"/>
  <c r="AF516" i="2"/>
  <c r="W526" i="2"/>
  <c r="AF526" i="2"/>
  <c r="AF656" i="2"/>
  <c r="AF646" i="2"/>
  <c r="W540" i="2"/>
  <c r="AF540" i="2"/>
  <c r="W672" i="2"/>
  <c r="AF672" i="2"/>
  <c r="W548" i="2"/>
  <c r="AF548" i="2"/>
  <c r="W511" i="2"/>
  <c r="AF511" i="2"/>
  <c r="W439" i="2"/>
  <c r="AF439" i="2"/>
  <c r="AF751" i="2"/>
  <c r="AF734" i="2"/>
  <c r="AF747" i="2"/>
  <c r="AF741" i="2"/>
  <c r="AF739" i="2"/>
  <c r="AF719" i="2"/>
  <c r="AF908" i="2"/>
  <c r="AF774" i="2"/>
  <c r="AF890" i="2"/>
  <c r="AF904" i="2"/>
  <c r="AF765" i="2"/>
  <c r="AF911" i="2"/>
  <c r="AF787" i="2"/>
  <c r="AF917" i="2"/>
  <c r="AF868" i="2"/>
  <c r="AF27" i="2"/>
  <c r="AF1026" i="2"/>
  <c r="AF1071" i="2"/>
  <c r="W823" i="2"/>
  <c r="AF823" i="2"/>
  <c r="W953" i="2"/>
  <c r="AF953" i="2"/>
  <c r="W981" i="2"/>
  <c r="AF981" i="2"/>
  <c r="W1145" i="2"/>
  <c r="AF1145" i="2"/>
  <c r="AF1027" i="2"/>
  <c r="AF1070" i="2"/>
  <c r="W854" i="2"/>
  <c r="AF854" i="2"/>
  <c r="W1063" i="2"/>
  <c r="AF1063" i="2"/>
  <c r="W1134" i="2"/>
  <c r="AF1134" i="2"/>
  <c r="AF1212" i="2"/>
  <c r="W191" i="2"/>
  <c r="AF191" i="2"/>
  <c r="W1142" i="2"/>
  <c r="AF1142" i="2"/>
  <c r="W198" i="2"/>
  <c r="AF198" i="2"/>
  <c r="AF173" i="2"/>
  <c r="W808" i="2"/>
  <c r="AF808" i="2"/>
  <c r="W991" i="2"/>
  <c r="AF991" i="2"/>
  <c r="W837" i="2"/>
  <c r="AF837" i="2"/>
  <c r="W1127" i="2"/>
  <c r="AF1127" i="2"/>
  <c r="W1100" i="2"/>
  <c r="AF1100" i="2"/>
  <c r="W1164" i="2"/>
  <c r="AF1164" i="2"/>
  <c r="W1136" i="2"/>
  <c r="AF1136" i="2"/>
  <c r="AF1075" i="2"/>
  <c r="W1109" i="2"/>
  <c r="AF1109" i="2"/>
  <c r="W1090" i="2"/>
  <c r="AF1090" i="2"/>
  <c r="W972" i="2"/>
  <c r="AF972" i="2"/>
  <c r="W307" i="2"/>
  <c r="AF307" i="2"/>
  <c r="W844" i="2"/>
  <c r="AF844" i="2"/>
  <c r="W1057" i="2"/>
  <c r="AF1057" i="2"/>
  <c r="W802" i="2"/>
  <c r="AF802" i="2"/>
  <c r="W821" i="2"/>
  <c r="AF821" i="2"/>
  <c r="AF1067" i="2"/>
  <c r="W934" i="2"/>
  <c r="AF934" i="2"/>
  <c r="W799" i="2"/>
  <c r="AF799" i="2"/>
  <c r="W1101" i="2"/>
  <c r="AF1101" i="2"/>
  <c r="AF1039" i="2"/>
  <c r="AF1031" i="2"/>
  <c r="W182" i="2"/>
  <c r="AF182" i="2"/>
  <c r="W841" i="2"/>
  <c r="AF841" i="2"/>
  <c r="W988" i="2"/>
  <c r="AF988" i="2"/>
  <c r="W1159" i="2"/>
  <c r="AF1159" i="2"/>
  <c r="W200" i="2"/>
  <c r="AF200" i="2"/>
  <c r="W1117" i="2"/>
  <c r="AF1117" i="2"/>
  <c r="AF1043" i="2"/>
  <c r="W929" i="2"/>
  <c r="AF929" i="2"/>
  <c r="W1062" i="2"/>
  <c r="AF1062" i="2"/>
  <c r="W1112" i="2"/>
  <c r="AF1112" i="2"/>
  <c r="W1217" i="2"/>
  <c r="AF1217" i="2"/>
  <c r="W1232" i="2"/>
  <c r="AF1232" i="2"/>
  <c r="W1311" i="2"/>
  <c r="AF1311" i="2"/>
  <c r="W1309" i="2"/>
  <c r="AF1309" i="2"/>
  <c r="W1307" i="2"/>
  <c r="AF1307" i="2"/>
  <c r="W1251" i="2"/>
  <c r="AF1251" i="2"/>
  <c r="W1316" i="2"/>
  <c r="AF1316" i="2"/>
  <c r="AF29" i="2"/>
  <c r="AF62" i="2"/>
  <c r="V113" i="2"/>
  <c r="AI113" i="2"/>
  <c r="V359" i="2"/>
  <c r="AI359" i="2"/>
  <c r="V223" i="2"/>
  <c r="AI223" i="2"/>
  <c r="V17" i="2"/>
  <c r="AI17" i="2"/>
  <c r="V47" i="2"/>
  <c r="AI47" i="2"/>
  <c r="V297" i="2"/>
  <c r="AI297" i="2"/>
  <c r="V198" i="2"/>
  <c r="AI198" i="2"/>
  <c r="AF345" i="2"/>
  <c r="W139" i="2"/>
  <c r="AF139" i="2"/>
  <c r="V88" i="2"/>
  <c r="AI88" i="2"/>
  <c r="V6" i="2"/>
  <c r="AI6" i="2"/>
  <c r="V116" i="2"/>
  <c r="AI116" i="2"/>
  <c r="V218" i="2"/>
  <c r="AI218" i="2"/>
  <c r="V5" i="2"/>
  <c r="AI5" i="2"/>
  <c r="V115" i="2"/>
  <c r="AI115" i="2"/>
  <c r="V81" i="2"/>
  <c r="AI81" i="2"/>
  <c r="V33" i="2"/>
  <c r="AI33" i="2"/>
  <c r="V91" i="2"/>
  <c r="AI91" i="2"/>
  <c r="V71" i="2"/>
  <c r="AI71" i="2"/>
  <c r="V227" i="2"/>
  <c r="AI227" i="2"/>
  <c r="V134" i="2"/>
  <c r="AI134" i="2"/>
  <c r="V215" i="2"/>
  <c r="AI215" i="2"/>
  <c r="V217" i="2"/>
  <c r="AI217" i="2"/>
  <c r="V73" i="2"/>
  <c r="AI73" i="2"/>
  <c r="V242" i="2"/>
  <c r="AI242" i="2"/>
  <c r="V213" i="2"/>
  <c r="AI213" i="2"/>
  <c r="V83" i="2"/>
  <c r="AI83" i="2"/>
  <c r="V15" i="2"/>
  <c r="AI15" i="2"/>
  <c r="V248" i="2"/>
  <c r="AI248" i="2"/>
  <c r="V110" i="2"/>
  <c r="AI110" i="2"/>
  <c r="V379" i="2"/>
  <c r="AI379" i="2"/>
  <c r="V120" i="2"/>
  <c r="AI120" i="2"/>
  <c r="V79" i="2"/>
  <c r="AI79" i="2"/>
  <c r="V407" i="2"/>
  <c r="AI407" i="2"/>
  <c r="V415" i="2"/>
  <c r="AI415" i="2"/>
  <c r="V421" i="2"/>
  <c r="AI421" i="2"/>
  <c r="V38" i="2"/>
  <c r="AI38" i="2"/>
  <c r="V180" i="2"/>
  <c r="AI180" i="2"/>
  <c r="V307" i="2"/>
  <c r="AI307" i="2"/>
  <c r="V178" i="2"/>
  <c r="AI178" i="2"/>
  <c r="V308" i="2"/>
  <c r="AI308" i="2"/>
  <c r="V182" i="2"/>
  <c r="AI182" i="2"/>
  <c r="V271" i="2"/>
  <c r="AI271" i="2"/>
  <c r="V273" i="2"/>
  <c r="AI273" i="2"/>
  <c r="V44" i="2"/>
  <c r="AI44" i="2"/>
  <c r="W226" i="2"/>
  <c r="AF226" i="2"/>
  <c r="W112" i="2"/>
  <c r="AF112" i="2"/>
  <c r="W101" i="2"/>
  <c r="AF101" i="2"/>
  <c r="W352" i="2"/>
  <c r="AF352" i="2"/>
  <c r="AF335" i="2"/>
  <c r="W113" i="2"/>
  <c r="AF113" i="2"/>
  <c r="W355" i="2"/>
  <c r="AF355" i="2"/>
  <c r="AF329" i="2"/>
  <c r="AF330" i="2"/>
  <c r="W358" i="2"/>
  <c r="AF358" i="2"/>
  <c r="W126" i="2"/>
  <c r="AF126" i="2"/>
  <c r="W229" i="2"/>
  <c r="AF229" i="2"/>
  <c r="W122" i="2"/>
  <c r="AF122" i="2"/>
  <c r="AF276" i="2"/>
  <c r="W34" i="2"/>
  <c r="AF34" i="2"/>
  <c r="W78" i="2"/>
  <c r="AF78" i="2"/>
  <c r="W210" i="2"/>
  <c r="AF210" i="2"/>
  <c r="W213" i="2"/>
  <c r="AF213" i="2"/>
  <c r="AF327" i="2"/>
  <c r="W106" i="2"/>
  <c r="AF106" i="2"/>
  <c r="AF321" i="2"/>
  <c r="AF314" i="2"/>
  <c r="W209" i="2"/>
  <c r="AF209" i="2"/>
  <c r="AF275" i="2"/>
  <c r="W3" i="2"/>
  <c r="AF3" i="2"/>
  <c r="W254" i="2"/>
  <c r="AF254" i="2"/>
  <c r="W415" i="2"/>
  <c r="AF415" i="2"/>
  <c r="W417" i="2"/>
  <c r="AF417" i="2"/>
  <c r="AF410" i="2"/>
  <c r="W393" i="2"/>
  <c r="AF393" i="2"/>
  <c r="W577" i="2"/>
  <c r="AF577" i="2"/>
  <c r="W539" i="2"/>
  <c r="AF539" i="2"/>
  <c r="W631" i="2"/>
  <c r="AF631" i="2"/>
  <c r="W674" i="2"/>
  <c r="AF674" i="2"/>
  <c r="AF640" i="2"/>
  <c r="W566" i="2"/>
  <c r="AF566" i="2"/>
  <c r="W475" i="2"/>
  <c r="AF475" i="2"/>
  <c r="W531" i="2"/>
  <c r="AF531" i="2"/>
  <c r="W486" i="2"/>
  <c r="AF486" i="2"/>
  <c r="W583" i="2"/>
  <c r="AF583" i="2"/>
  <c r="AF657" i="2"/>
  <c r="W529" i="2"/>
  <c r="AF529" i="2"/>
  <c r="AF642" i="2"/>
  <c r="W565" i="2"/>
  <c r="AF565" i="2"/>
  <c r="W611" i="2"/>
  <c r="AF611" i="2"/>
  <c r="AF680" i="2"/>
  <c r="W518" i="2"/>
  <c r="AF518" i="2"/>
  <c r="W464" i="2"/>
  <c r="AF464" i="2"/>
  <c r="W576" i="2"/>
  <c r="AF576" i="2"/>
  <c r="W668" i="2"/>
  <c r="AF668" i="2"/>
  <c r="W460" i="2"/>
  <c r="AF460" i="2"/>
  <c r="W421" i="2"/>
  <c r="AF421" i="2"/>
  <c r="W559" i="2"/>
  <c r="AF559" i="2"/>
  <c r="W513" i="2"/>
  <c r="AF513" i="2"/>
  <c r="W483" i="2"/>
  <c r="AF483" i="2"/>
  <c r="AF647" i="2"/>
  <c r="W431" i="2"/>
  <c r="AF431" i="2"/>
  <c r="AF430" i="2"/>
  <c r="W524" i="2"/>
  <c r="AF524" i="2"/>
  <c r="W621" i="2"/>
  <c r="AF621" i="2"/>
  <c r="W632" i="2"/>
  <c r="AF632" i="2"/>
  <c r="W589" i="2"/>
  <c r="AF589" i="2"/>
  <c r="W507" i="2"/>
  <c r="AF507" i="2"/>
  <c r="W490" i="2"/>
  <c r="AF490" i="2"/>
  <c r="W595" i="2"/>
  <c r="AF595" i="2"/>
  <c r="W580" i="2"/>
  <c r="AF580" i="2"/>
  <c r="W757" i="2"/>
  <c r="AF757" i="2"/>
  <c r="AF753" i="2"/>
  <c r="AF729" i="2"/>
  <c r="AF748" i="2"/>
  <c r="AF727" i="2"/>
  <c r="AF713" i="2"/>
  <c r="AF709" i="2"/>
  <c r="AF744" i="2"/>
  <c r="AF771" i="2"/>
  <c r="AF792" i="2"/>
  <c r="AF891" i="2"/>
  <c r="AF889" i="2"/>
  <c r="AF907" i="2"/>
  <c r="AF779" i="2"/>
  <c r="AF764" i="2"/>
  <c r="AF788" i="2"/>
  <c r="AF925" i="2"/>
  <c r="W42" i="2"/>
  <c r="AF42" i="2"/>
  <c r="AF24" i="2"/>
  <c r="AF877" i="2"/>
  <c r="AF883" i="2"/>
  <c r="W834" i="2"/>
  <c r="AF834" i="2"/>
  <c r="W812" i="2"/>
  <c r="AF812" i="2"/>
  <c r="W187" i="2"/>
  <c r="AF187" i="2"/>
  <c r="W1147" i="2"/>
  <c r="AF1147" i="2"/>
  <c r="W1161" i="2"/>
  <c r="AF1161" i="2"/>
  <c r="W835" i="2"/>
  <c r="AF835" i="2"/>
  <c r="W1050" i="2"/>
  <c r="AF1050" i="2"/>
  <c r="AF1033" i="2"/>
  <c r="W303" i="2"/>
  <c r="AF303" i="2"/>
  <c r="AF1030" i="2"/>
  <c r="W948" i="2"/>
  <c r="AF948" i="2"/>
  <c r="W1141" i="2"/>
  <c r="AF1141" i="2"/>
  <c r="W824" i="2"/>
  <c r="AF824" i="2"/>
  <c r="W795" i="2"/>
  <c r="AF795" i="2"/>
  <c r="W1106" i="2"/>
  <c r="AF1106" i="2"/>
  <c r="W950" i="2"/>
  <c r="AF950" i="2"/>
  <c r="W842" i="2"/>
  <c r="AF842" i="2"/>
  <c r="W805" i="2"/>
  <c r="AF805" i="2"/>
  <c r="W296" i="2"/>
  <c r="AF296" i="2"/>
  <c r="W975" i="2"/>
  <c r="AF975" i="2"/>
  <c r="W828" i="2"/>
  <c r="AF828" i="2"/>
  <c r="W983" i="2"/>
  <c r="AF983" i="2"/>
  <c r="W944" i="2"/>
  <c r="AF944" i="2"/>
  <c r="AF1035" i="2"/>
  <c r="W197" i="2"/>
  <c r="AF197" i="2"/>
  <c r="W1089" i="2"/>
  <c r="AF1089" i="2"/>
  <c r="W1096" i="2"/>
  <c r="AF1096" i="2"/>
  <c r="W947" i="2"/>
  <c r="AF947" i="2"/>
  <c r="W932" i="2"/>
  <c r="AF932" i="2"/>
  <c r="W818" i="2"/>
  <c r="AF818" i="2"/>
  <c r="W946" i="2"/>
  <c r="AF946" i="2"/>
  <c r="W1137" i="2"/>
  <c r="AF1137" i="2"/>
  <c r="W1149" i="2"/>
  <c r="AF1149" i="2"/>
  <c r="W311" i="2"/>
  <c r="AF311" i="2"/>
  <c r="W195" i="2"/>
  <c r="AF195" i="2"/>
  <c r="AF1034" i="2"/>
  <c r="W1114" i="2"/>
  <c r="AF1114" i="2"/>
  <c r="W797" i="2"/>
  <c r="AF797" i="2"/>
  <c r="AF1069" i="2"/>
  <c r="W992" i="2"/>
  <c r="AF992" i="2"/>
  <c r="W810" i="2"/>
  <c r="AF810" i="2"/>
  <c r="W1083" i="2"/>
  <c r="AF1083" i="2"/>
  <c r="AF152" i="2"/>
  <c r="W793" i="2"/>
  <c r="AF793" i="2"/>
  <c r="W817" i="2"/>
  <c r="AF817" i="2"/>
  <c r="AF167" i="2"/>
  <c r="AF1216" i="2"/>
  <c r="W1221" i="2"/>
  <c r="AF1221" i="2"/>
  <c r="AF1262" i="2"/>
  <c r="W1302" i="2"/>
  <c r="AF1302" i="2"/>
  <c r="W1318" i="2"/>
  <c r="AF1318" i="2"/>
  <c r="AF55" i="2"/>
  <c r="AF67" i="2"/>
  <c r="V254" i="2"/>
  <c r="AI254" i="2"/>
  <c r="V358" i="2"/>
  <c r="AI358" i="2"/>
  <c r="V211" i="2"/>
  <c r="AI211" i="2"/>
  <c r="V85" i="2"/>
  <c r="AI85" i="2"/>
  <c r="V208" i="2"/>
  <c r="AI208" i="2"/>
  <c r="V72" i="2"/>
  <c r="AI72" i="2"/>
  <c r="V219" i="2"/>
  <c r="AI219" i="2"/>
  <c r="V239" i="2"/>
  <c r="AI239" i="2"/>
  <c r="V37" i="2"/>
  <c r="AI37" i="2"/>
  <c r="V74" i="2"/>
  <c r="AI74" i="2"/>
  <c r="V221" i="2"/>
  <c r="AI221" i="2"/>
  <c r="V382" i="2"/>
  <c r="AI382" i="2"/>
  <c r="V251" i="2"/>
  <c r="AI251" i="2"/>
  <c r="V125" i="2"/>
  <c r="AI125" i="2"/>
  <c r="V31" i="2"/>
  <c r="AI31" i="2"/>
  <c r="V108" i="2"/>
  <c r="AI108" i="2"/>
  <c r="V381" i="2"/>
  <c r="AI381" i="2"/>
  <c r="V357" i="2"/>
  <c r="AI357" i="2"/>
  <c r="V4" i="2"/>
  <c r="AI4" i="2"/>
  <c r="V135" i="2"/>
  <c r="AI135" i="2"/>
  <c r="V84" i="2"/>
  <c r="AI84" i="2"/>
  <c r="V118" i="2"/>
  <c r="AI118" i="2"/>
  <c r="V393" i="2"/>
  <c r="AI393" i="2"/>
  <c r="V437" i="2"/>
  <c r="AI437" i="2"/>
  <c r="V427" i="2"/>
  <c r="AI427" i="2"/>
  <c r="V40" i="2"/>
  <c r="AI40" i="2"/>
  <c r="V46" i="2"/>
  <c r="AI46" i="2"/>
  <c r="V197" i="2"/>
  <c r="AI197" i="2"/>
  <c r="V310" i="2"/>
  <c r="AI310" i="2"/>
  <c r="V199" i="2"/>
  <c r="AI199" i="2"/>
  <c r="V263" i="2"/>
  <c r="AI263" i="2"/>
  <c r="V266" i="2"/>
  <c r="AI266" i="2"/>
  <c r="V272" i="2"/>
  <c r="AI272" i="2"/>
  <c r="W354" i="2"/>
  <c r="AF354" i="2"/>
  <c r="W5" i="2"/>
  <c r="AF5" i="2"/>
  <c r="W220" i="2"/>
  <c r="AF220" i="2"/>
  <c r="W107" i="2"/>
  <c r="AF107" i="2"/>
  <c r="W98" i="2"/>
  <c r="AF98" i="2"/>
  <c r="W104" i="2"/>
  <c r="AF104" i="2"/>
  <c r="W244" i="2"/>
  <c r="AF244" i="2"/>
  <c r="W100" i="2"/>
  <c r="AF100" i="2"/>
  <c r="AF315" i="2"/>
  <c r="W116" i="2"/>
  <c r="AF116" i="2"/>
  <c r="W356" i="2"/>
  <c r="AF356" i="2"/>
  <c r="W90" i="2"/>
  <c r="AF90" i="2"/>
  <c r="W32" i="2"/>
  <c r="AF32" i="2"/>
  <c r="W235" i="2"/>
  <c r="AF235" i="2"/>
  <c r="AF374" i="2"/>
  <c r="W230" i="2"/>
  <c r="AF230" i="2"/>
  <c r="W141" i="2"/>
  <c r="AF141" i="2"/>
  <c r="W377" i="2"/>
  <c r="AF377" i="2"/>
  <c r="W216" i="2"/>
  <c r="AF216" i="2"/>
  <c r="W136" i="2"/>
  <c r="AF136" i="2"/>
  <c r="W102" i="2"/>
  <c r="AF102" i="2"/>
  <c r="W131" i="2"/>
  <c r="AF131" i="2"/>
  <c r="W237" i="2"/>
  <c r="AF237" i="2"/>
  <c r="AF344" i="2"/>
  <c r="W129" i="2"/>
  <c r="AF129" i="2"/>
  <c r="W249" i="2"/>
  <c r="AF249" i="2"/>
  <c r="W135" i="2"/>
  <c r="AF135" i="2"/>
  <c r="W84" i="2"/>
  <c r="AF84" i="2"/>
  <c r="W231" i="2"/>
  <c r="AF231" i="2"/>
  <c r="W79" i="2"/>
  <c r="AF79" i="2"/>
  <c r="W133" i="2"/>
  <c r="AF133" i="2"/>
  <c r="AF318" i="2"/>
  <c r="W409" i="2"/>
  <c r="AF409" i="2"/>
  <c r="AF402" i="2"/>
  <c r="AF400" i="2"/>
  <c r="W403" i="2"/>
  <c r="AF403" i="2"/>
  <c r="AF416" i="2"/>
  <c r="W669" i="2"/>
  <c r="AF669" i="2"/>
  <c r="W629" i="2"/>
  <c r="AF629" i="2"/>
  <c r="W520" i="2"/>
  <c r="AF520" i="2"/>
  <c r="W504" i="2"/>
  <c r="AF504" i="2"/>
  <c r="W673" i="2"/>
  <c r="AF673" i="2"/>
  <c r="W505" i="2"/>
  <c r="AF505" i="2"/>
  <c r="W500" i="2"/>
  <c r="AF500" i="2"/>
  <c r="AF653" i="2"/>
  <c r="W661" i="2"/>
  <c r="AF661" i="2"/>
  <c r="W567" i="2"/>
  <c r="AF567" i="2"/>
  <c r="AF422" i="2"/>
  <c r="AF440" i="2"/>
  <c r="W510" i="2"/>
  <c r="AF510" i="2"/>
  <c r="W455" i="2"/>
  <c r="AF455" i="2"/>
  <c r="W501" i="2"/>
  <c r="AF501" i="2"/>
  <c r="W515" i="2"/>
  <c r="AF515" i="2"/>
  <c r="W667" i="2"/>
  <c r="AF667" i="2"/>
  <c r="W617" i="2"/>
  <c r="AF617" i="2"/>
  <c r="W625" i="2"/>
  <c r="AF625" i="2"/>
  <c r="W491" i="2"/>
  <c r="AF491" i="2"/>
  <c r="W679" i="2"/>
  <c r="AF679" i="2"/>
  <c r="W616" i="2"/>
  <c r="AF616" i="2"/>
  <c r="W573" i="2"/>
  <c r="AF573" i="2"/>
  <c r="W462" i="2"/>
  <c r="AF462" i="2"/>
  <c r="W550" i="2"/>
  <c r="AF550" i="2"/>
  <c r="W488" i="2"/>
  <c r="AF488" i="2"/>
  <c r="W457" i="2"/>
  <c r="AF457" i="2"/>
  <c r="W555" i="2"/>
  <c r="AF555" i="2"/>
  <c r="W546" i="2"/>
  <c r="AF546" i="2"/>
  <c r="W568" i="2"/>
  <c r="AF568" i="2"/>
  <c r="W471" i="2"/>
  <c r="AF471" i="2"/>
  <c r="W586" i="2"/>
  <c r="AF586" i="2"/>
  <c r="W675" i="2"/>
  <c r="AF675" i="2"/>
  <c r="AF701" i="2"/>
  <c r="AF712" i="2"/>
  <c r="AF717" i="2"/>
  <c r="AF710" i="2"/>
  <c r="AF923" i="2"/>
  <c r="AF892" i="2"/>
  <c r="AF920" i="2"/>
  <c r="AF781" i="2"/>
  <c r="AF776" i="2"/>
  <c r="AF894" i="2"/>
  <c r="AF768" i="2"/>
  <c r="AF784" i="2"/>
  <c r="AF886" i="2"/>
  <c r="AF56" i="2"/>
  <c r="AF866" i="2"/>
  <c r="AF65" i="2"/>
  <c r="AF867" i="2"/>
  <c r="AF58" i="2"/>
  <c r="AF878" i="2"/>
  <c r="W1146" i="2"/>
  <c r="AF1146" i="2"/>
  <c r="W954" i="2"/>
  <c r="AF954" i="2"/>
  <c r="W937" i="2"/>
  <c r="AF937" i="2"/>
  <c r="W825" i="2"/>
  <c r="AF825" i="2"/>
  <c r="W1118" i="2"/>
  <c r="AF1118" i="2"/>
  <c r="W1094" i="2"/>
  <c r="AF1094" i="2"/>
  <c r="W966" i="2"/>
  <c r="AF966" i="2"/>
  <c r="W806" i="2"/>
  <c r="AF806" i="2"/>
  <c r="W189" i="2"/>
  <c r="AF189" i="2"/>
  <c r="AF1211" i="2"/>
  <c r="W938" i="2"/>
  <c r="AF938" i="2"/>
  <c r="W961" i="2"/>
  <c r="AF961" i="2"/>
  <c r="W295" i="2"/>
  <c r="AF295" i="2"/>
  <c r="W853" i="2"/>
  <c r="AF853" i="2"/>
  <c r="W299" i="2"/>
  <c r="AF299" i="2"/>
  <c r="W1172" i="2"/>
  <c r="AF1172" i="2"/>
  <c r="W309" i="2"/>
  <c r="AF309" i="2"/>
  <c r="W1168" i="2"/>
  <c r="AF1168" i="2"/>
  <c r="AF1072" i="2"/>
  <c r="W965" i="2"/>
  <c r="AF965" i="2"/>
  <c r="W1129" i="2"/>
  <c r="AF1129" i="2"/>
  <c r="W1081" i="2"/>
  <c r="AF1081" i="2"/>
  <c r="W1087" i="2"/>
  <c r="AF1087" i="2"/>
  <c r="W1154" i="2"/>
  <c r="AF1154" i="2"/>
  <c r="W857" i="2"/>
  <c r="AF857" i="2"/>
  <c r="W1170" i="2"/>
  <c r="AF1170" i="2"/>
  <c r="W933" i="2"/>
  <c r="AF933" i="2"/>
  <c r="W976" i="2"/>
  <c r="AF976" i="2"/>
  <c r="W1060" i="2"/>
  <c r="AF1060" i="2"/>
  <c r="W977" i="2"/>
  <c r="AF977" i="2"/>
  <c r="W814" i="2"/>
  <c r="AF814" i="2"/>
  <c r="W194" i="2"/>
  <c r="AF194" i="2"/>
  <c r="W1160" i="2"/>
  <c r="AF1160" i="2"/>
  <c r="W1128" i="2"/>
  <c r="AF1128" i="2"/>
  <c r="W800" i="2"/>
  <c r="AF800" i="2"/>
  <c r="AF160" i="2"/>
  <c r="W848" i="2"/>
  <c r="AF848" i="2"/>
  <c r="W202" i="2"/>
  <c r="AF202" i="2"/>
  <c r="W1158" i="2"/>
  <c r="AF1158" i="2"/>
  <c r="W1082" i="2"/>
  <c r="AF1082" i="2"/>
  <c r="W955" i="2"/>
  <c r="AF955" i="2"/>
  <c r="W832" i="2"/>
  <c r="AF832" i="2"/>
  <c r="AF153" i="2"/>
  <c r="W1222" i="2"/>
  <c r="AF1222" i="2"/>
  <c r="W1229" i="2"/>
  <c r="AF1229" i="2"/>
  <c r="W1306" i="2"/>
  <c r="AF1306" i="2"/>
  <c r="W1245" i="2"/>
  <c r="AF1245" i="2"/>
  <c r="W1303" i="2"/>
  <c r="AF1303" i="2"/>
  <c r="AF1300" i="2"/>
  <c r="W1301" i="2"/>
  <c r="AF1301" i="2"/>
  <c r="W1252" i="2"/>
  <c r="AF1252" i="2"/>
  <c r="AF1299" i="2"/>
  <c r="AF52" i="2"/>
  <c r="X373" i="2"/>
  <c r="U373" i="2"/>
  <c r="V373" i="2"/>
  <c r="X476" i="2"/>
  <c r="V476" i="2"/>
  <c r="U476" i="2"/>
  <c r="X500" i="2"/>
  <c r="U500" i="2"/>
  <c r="V500" i="2"/>
  <c r="X558" i="2"/>
  <c r="V558" i="2"/>
  <c r="U558" i="2"/>
  <c r="V582" i="2"/>
  <c r="U582" i="2"/>
  <c r="X582" i="2"/>
  <c r="V574" i="2"/>
  <c r="U574" i="2"/>
  <c r="X574" i="2"/>
  <c r="U508" i="2"/>
  <c r="X508" i="2"/>
  <c r="V508" i="2"/>
  <c r="V1265" i="2"/>
  <c r="U1265" i="2"/>
  <c r="X1265" i="2"/>
  <c r="U472" i="2"/>
  <c r="X472" i="2"/>
  <c r="V472" i="2"/>
  <c r="X869" i="2"/>
  <c r="U869" i="2"/>
  <c r="V869" i="2"/>
  <c r="X544" i="2"/>
  <c r="V544" i="2"/>
  <c r="U544" i="2"/>
  <c r="U562" i="2"/>
  <c r="X562" i="2"/>
  <c r="V562" i="2"/>
  <c r="V570" i="2"/>
  <c r="U570" i="2"/>
  <c r="X570" i="2"/>
  <c r="X504" i="2"/>
  <c r="U504" i="2"/>
  <c r="V504" i="2"/>
  <c r="U1263" i="2"/>
  <c r="V1263" i="2"/>
  <c r="X1263" i="2"/>
  <c r="V492" i="2"/>
  <c r="U492" i="2"/>
  <c r="X492" i="2"/>
  <c r="U594" i="2"/>
  <c r="V594" i="2"/>
  <c r="X594" i="2"/>
  <c r="X516" i="2"/>
  <c r="V516" i="2"/>
  <c r="U516" i="2"/>
  <c r="U528" i="2"/>
  <c r="X528" i="2"/>
  <c r="V528" i="2"/>
  <c r="U361" i="2"/>
  <c r="X361" i="2"/>
  <c r="V361" i="2"/>
  <c r="V578" i="2"/>
  <c r="U578" i="2"/>
  <c r="X578" i="2"/>
  <c r="U460" i="2"/>
  <c r="X460" i="2"/>
  <c r="V460" i="2"/>
  <c r="V520" i="2"/>
  <c r="X520" i="2"/>
  <c r="U520" i="2"/>
  <c r="U448" i="2"/>
  <c r="X448" i="2"/>
  <c r="V448" i="2"/>
  <c r="V590" i="2"/>
  <c r="U590" i="2"/>
  <c r="X590" i="2"/>
  <c r="U1255" i="2"/>
  <c r="V1255" i="2"/>
  <c r="X1255" i="2"/>
  <c r="X566" i="2"/>
  <c r="V566" i="2"/>
  <c r="U566" i="2"/>
  <c r="V468" i="2"/>
  <c r="U468" i="2"/>
  <c r="X468" i="2"/>
  <c r="V548" i="2"/>
  <c r="U548" i="2"/>
  <c r="X548" i="2"/>
  <c r="U484" i="2"/>
  <c r="X484" i="2"/>
  <c r="V484" i="2"/>
  <c r="U512" i="2"/>
  <c r="V512" i="2"/>
  <c r="X512" i="2"/>
  <c r="V456" i="2"/>
  <c r="U456" i="2"/>
  <c r="X456" i="2"/>
  <c r="X532" i="2"/>
  <c r="U532" i="2"/>
  <c r="V532" i="2"/>
  <c r="X598" i="2"/>
  <c r="V598" i="2"/>
  <c r="U598" i="2"/>
  <c r="U488" i="2"/>
  <c r="X488" i="2"/>
  <c r="V488" i="2"/>
  <c r="X362" i="2"/>
  <c r="U362" i="2"/>
  <c r="V362" i="2"/>
  <c r="U630" i="2"/>
  <c r="X630" i="2"/>
  <c r="V630" i="2"/>
  <c r="V536" i="2"/>
  <c r="U536" i="2"/>
  <c r="X536" i="2"/>
  <c r="V452" i="2"/>
  <c r="X452" i="2"/>
  <c r="U452" i="2"/>
  <c r="V586" i="2"/>
  <c r="U586" i="2"/>
  <c r="X586" i="2"/>
  <c r="V540" i="2"/>
  <c r="U540" i="2"/>
  <c r="X540" i="2"/>
  <c r="U480" i="2"/>
  <c r="X480" i="2"/>
  <c r="V480" i="2"/>
  <c r="X444" i="2"/>
  <c r="U444" i="2"/>
  <c r="V444" i="2"/>
  <c r="X524" i="2"/>
  <c r="U524" i="2"/>
  <c r="V524" i="2"/>
  <c r="V496" i="2"/>
  <c r="U496" i="2"/>
  <c r="X496" i="2"/>
  <c r="X464" i="2"/>
  <c r="U464" i="2"/>
  <c r="V464" i="2"/>
  <c r="X1314" i="2"/>
  <c r="V1314" i="2"/>
  <c r="U1314" i="2"/>
  <c r="U1307" i="2"/>
  <c r="X1307" i="2"/>
  <c r="V1307" i="2"/>
  <c r="U1305" i="2"/>
  <c r="V1305" i="2"/>
  <c r="X1305" i="2"/>
  <c r="V1309" i="2"/>
  <c r="X1309" i="2"/>
  <c r="U1309" i="2"/>
  <c r="V1241" i="2"/>
  <c r="X1241" i="2"/>
  <c r="U1241" i="2"/>
  <c r="V1238" i="2"/>
  <c r="U1238" i="2"/>
  <c r="X1238" i="2"/>
  <c r="V1253" i="2"/>
  <c r="U1253" i="2"/>
  <c r="X1253" i="2"/>
  <c r="V1251" i="2"/>
  <c r="X1251" i="2"/>
  <c r="U1251" i="2"/>
  <c r="V1240" i="2"/>
  <c r="X1240" i="2"/>
  <c r="U1240" i="2"/>
  <c r="V1306" i="2"/>
  <c r="U1306" i="2"/>
  <c r="X1306" i="2"/>
  <c r="V1311" i="2"/>
  <c r="U1311" i="2"/>
  <c r="X1311" i="2"/>
  <c r="V1310" i="2"/>
  <c r="X1310" i="2"/>
  <c r="U1310" i="2"/>
  <c r="U1319" i="2"/>
  <c r="X1319" i="2"/>
  <c r="V1319" i="2"/>
  <c r="V1301" i="2"/>
  <c r="U1301" i="2"/>
  <c r="X1301" i="2"/>
  <c r="V1248" i="2"/>
  <c r="U1248" i="2"/>
  <c r="X1248" i="2"/>
  <c r="V3" i="2"/>
  <c r="U3" i="2"/>
  <c r="V1242" i="2"/>
  <c r="U1242" i="2"/>
  <c r="X1242" i="2"/>
  <c r="U1247" i="2"/>
  <c r="V1247" i="2"/>
  <c r="X1247" i="2"/>
  <c r="V1303" i="2"/>
  <c r="X1303" i="2"/>
  <c r="U1303" i="2"/>
  <c r="U1236" i="2"/>
  <c r="V1236" i="2"/>
  <c r="X1236" i="2"/>
  <c r="V1252" i="2"/>
  <c r="U1252" i="2"/>
  <c r="X1252" i="2"/>
  <c r="U1312" i="2"/>
  <c r="V1312" i="2"/>
  <c r="X1312" i="2"/>
  <c r="V1245" i="2"/>
  <c r="X1245" i="2"/>
  <c r="U1245" i="2"/>
  <c r="V1308" i="2"/>
  <c r="U1308" i="2"/>
  <c r="X1308" i="2"/>
  <c r="U1318" i="2"/>
  <c r="V1318" i="2"/>
  <c r="X1318" i="2"/>
  <c r="V1237" i="2"/>
  <c r="U1237" i="2"/>
  <c r="X1237" i="2"/>
  <c r="X1316" i="2"/>
  <c r="U1316" i="2"/>
  <c r="V1316" i="2"/>
  <c r="X1320" i="2"/>
  <c r="V1320" i="2"/>
  <c r="U1320" i="2"/>
  <c r="V1243" i="2"/>
  <c r="X1243" i="2"/>
  <c r="U1243" i="2"/>
  <c r="V1315" i="2"/>
  <c r="X1315" i="2"/>
  <c r="U1315" i="2"/>
  <c r="V1302" i="2"/>
  <c r="U1302" i="2"/>
  <c r="X1302" i="2"/>
  <c r="X1317" i="2"/>
  <c r="U1317" i="2"/>
  <c r="V1317" i="2"/>
  <c r="V1313" i="2"/>
  <c r="X1313" i="2"/>
  <c r="U1313" i="2"/>
  <c r="X1304" i="2"/>
  <c r="V1304" i="2"/>
  <c r="U1304" i="2"/>
  <c r="V1246" i="2"/>
  <c r="U1246" i="2"/>
  <c r="X1246" i="2"/>
  <c r="V1249" i="2"/>
  <c r="U1249" i="2"/>
  <c r="X1249" i="2"/>
  <c r="V1254" i="2"/>
  <c r="U1254" i="2"/>
  <c r="X1254" i="2"/>
  <c r="X1222" i="2"/>
  <c r="U1222" i="2"/>
  <c r="X1229" i="2"/>
  <c r="U1229" i="2"/>
  <c r="X1224" i="2"/>
  <c r="U1224" i="2"/>
  <c r="X1232" i="2"/>
  <c r="U1232" i="2"/>
  <c r="U1231" i="2"/>
  <c r="X1231" i="2"/>
  <c r="U1233" i="2"/>
  <c r="X1233" i="2"/>
  <c r="U1228" i="2"/>
  <c r="X1228" i="2"/>
  <c r="U1220" i="2"/>
  <c r="X1220" i="2"/>
  <c r="X1230" i="2"/>
  <c r="U1230" i="2"/>
  <c r="X1221" i="2"/>
  <c r="U1221" i="2"/>
  <c r="U1226" i="2"/>
  <c r="X1226" i="2"/>
  <c r="U1217" i="2"/>
  <c r="X1217" i="2"/>
  <c r="U1234" i="2"/>
  <c r="X1234" i="2"/>
  <c r="U1227" i="2"/>
  <c r="X1227" i="2"/>
  <c r="U1223" i="2"/>
  <c r="X1223" i="2"/>
  <c r="U1225" i="2"/>
  <c r="X1225" i="2"/>
  <c r="U1218" i="2"/>
  <c r="X1218" i="2"/>
  <c r="U108" i="2"/>
  <c r="X108" i="2"/>
  <c r="U1138" i="2"/>
  <c r="X1138" i="2"/>
  <c r="U943" i="2"/>
  <c r="X943" i="2"/>
  <c r="X1079" i="2"/>
  <c r="U1079" i="2"/>
  <c r="X827" i="2"/>
  <c r="U827" i="2"/>
  <c r="U583" i="2"/>
  <c r="X583" i="2"/>
  <c r="X196" i="2"/>
  <c r="U196" i="2"/>
  <c r="U180" i="2"/>
  <c r="X180" i="2"/>
  <c r="U1082" i="2"/>
  <c r="X1082" i="2"/>
  <c r="U545" i="2"/>
  <c r="X545" i="2"/>
  <c r="X698" i="2"/>
  <c r="U698" i="2"/>
  <c r="X1127" i="2"/>
  <c r="U1127" i="2"/>
  <c r="X970" i="2"/>
  <c r="U970" i="2"/>
  <c r="X941" i="2"/>
  <c r="U941" i="2"/>
  <c r="X1150" i="2"/>
  <c r="U1150" i="2"/>
  <c r="X852" i="2"/>
  <c r="U852" i="2"/>
  <c r="X818" i="2"/>
  <c r="U818" i="2"/>
  <c r="X1124" i="2"/>
  <c r="U1124" i="2"/>
  <c r="U969" i="2"/>
  <c r="X969" i="2"/>
  <c r="U450" i="2"/>
  <c r="X450" i="2"/>
  <c r="U1049" i="2"/>
  <c r="X1049" i="2"/>
  <c r="X814" i="2"/>
  <c r="U814" i="2"/>
  <c r="X1142" i="2"/>
  <c r="U1142" i="2"/>
  <c r="U987" i="2"/>
  <c r="X987" i="2"/>
  <c r="X847" i="2"/>
  <c r="U847" i="2"/>
  <c r="U832" i="2"/>
  <c r="X832" i="2"/>
  <c r="U237" i="2"/>
  <c r="X237" i="2"/>
  <c r="X568" i="2"/>
  <c r="U568" i="2"/>
  <c r="U556" i="2"/>
  <c r="X556" i="2"/>
  <c r="X755" i="2"/>
  <c r="U755" i="2"/>
  <c r="U577" i="2"/>
  <c r="X577" i="2"/>
  <c r="U481" i="2"/>
  <c r="X481" i="2"/>
  <c r="U637" i="2"/>
  <c r="X637" i="2"/>
  <c r="U489" i="2"/>
  <c r="X489" i="2"/>
  <c r="U307" i="2"/>
  <c r="X307" i="2"/>
  <c r="U575" i="2"/>
  <c r="X575" i="2"/>
  <c r="U213" i="2"/>
  <c r="X213" i="2"/>
  <c r="U454" i="2"/>
  <c r="X454" i="2"/>
  <c r="U46" i="2"/>
  <c r="X46" i="2"/>
  <c r="X137" i="2"/>
  <c r="U137" i="2"/>
  <c r="X427" i="2"/>
  <c r="U427" i="2"/>
  <c r="X191" i="2"/>
  <c r="U191" i="2"/>
  <c r="X71" i="2"/>
  <c r="U71" i="2"/>
  <c r="U306" i="2"/>
  <c r="X306" i="2"/>
  <c r="U135" i="2"/>
  <c r="X135" i="2"/>
  <c r="U79" i="2"/>
  <c r="X79" i="2"/>
  <c r="U107" i="2"/>
  <c r="X107" i="2"/>
  <c r="U233" i="2"/>
  <c r="X233" i="2"/>
  <c r="U134" i="2"/>
  <c r="X134" i="2"/>
  <c r="U100" i="2"/>
  <c r="X100" i="2"/>
  <c r="U92" i="2"/>
  <c r="X92" i="2"/>
  <c r="X84" i="2"/>
  <c r="U84" i="2"/>
  <c r="X247" i="2"/>
  <c r="U247" i="2"/>
  <c r="U1165" i="2"/>
  <c r="X1165" i="2"/>
  <c r="X635" i="2"/>
  <c r="U635" i="2"/>
  <c r="U580" i="2"/>
  <c r="X580" i="2"/>
  <c r="U632" i="2"/>
  <c r="X632" i="2"/>
  <c r="X666" i="2"/>
  <c r="U666" i="2"/>
  <c r="U506" i="2"/>
  <c r="X506" i="2"/>
  <c r="U305" i="2"/>
  <c r="X305" i="2"/>
  <c r="U199" i="2"/>
  <c r="X199" i="2"/>
  <c r="X103" i="2"/>
  <c r="U103" i="2"/>
  <c r="X183" i="2"/>
  <c r="U183" i="2"/>
  <c r="X106" i="2"/>
  <c r="U106" i="2"/>
  <c r="X68" i="2"/>
  <c r="U68" i="2"/>
  <c r="X10" i="2"/>
  <c r="U10" i="2"/>
  <c r="X354" i="2"/>
  <c r="U354" i="2"/>
  <c r="U797" i="2"/>
  <c r="X797" i="2"/>
  <c r="X1170" i="2"/>
  <c r="U1170" i="2"/>
  <c r="U1095" i="2"/>
  <c r="X1095" i="2"/>
  <c r="U671" i="2"/>
  <c r="X671" i="2"/>
  <c r="U806" i="2"/>
  <c r="X806" i="2"/>
  <c r="U1125" i="2"/>
  <c r="X1125" i="2"/>
  <c r="X756" i="2"/>
  <c r="U756" i="2"/>
  <c r="X989" i="2"/>
  <c r="U989" i="2"/>
  <c r="U593" i="2"/>
  <c r="X593" i="2"/>
  <c r="U596" i="2"/>
  <c r="X596" i="2"/>
  <c r="U675" i="2"/>
  <c r="X675" i="2"/>
  <c r="X833" i="2"/>
  <c r="U833" i="2"/>
  <c r="U1121" i="2"/>
  <c r="X1121" i="2"/>
  <c r="U966" i="2"/>
  <c r="X966" i="2"/>
  <c r="X1086" i="2"/>
  <c r="U1086" i="2"/>
  <c r="X931" i="2"/>
  <c r="U931" i="2"/>
  <c r="U636" i="2"/>
  <c r="X636" i="2"/>
  <c r="U809" i="2"/>
  <c r="X809" i="2"/>
  <c r="X679" i="2"/>
  <c r="U679" i="2"/>
  <c r="U665" i="2"/>
  <c r="X665" i="2"/>
  <c r="U697" i="2"/>
  <c r="X697" i="2"/>
  <c r="X227" i="2"/>
  <c r="U227" i="2"/>
  <c r="U581" i="2"/>
  <c r="X581" i="2"/>
  <c r="U473" i="2"/>
  <c r="X473" i="2"/>
  <c r="U526" i="2"/>
  <c r="X526" i="2"/>
  <c r="U389" i="2"/>
  <c r="X389" i="2"/>
  <c r="U491" i="2"/>
  <c r="X491" i="2"/>
  <c r="U299" i="2"/>
  <c r="X299" i="2"/>
  <c r="X501" i="2"/>
  <c r="U501" i="2"/>
  <c r="U194" i="2"/>
  <c r="X194" i="2"/>
  <c r="X231" i="2"/>
  <c r="U231" i="2"/>
  <c r="U98" i="2"/>
  <c r="X98" i="2"/>
  <c r="U236" i="2"/>
  <c r="X236" i="2"/>
  <c r="U5" i="2"/>
  <c r="X5" i="2"/>
  <c r="X189" i="2"/>
  <c r="U189" i="2"/>
  <c r="U254" i="2"/>
  <c r="X254" i="2"/>
  <c r="U78" i="2"/>
  <c r="X78" i="2"/>
  <c r="U1167" i="2"/>
  <c r="X1167" i="2"/>
  <c r="U946" i="2"/>
  <c r="X946" i="2"/>
  <c r="U1057" i="2"/>
  <c r="X1057" i="2"/>
  <c r="U535" i="2"/>
  <c r="X535" i="2"/>
  <c r="U437" i="2"/>
  <c r="X437" i="2"/>
  <c r="U980" i="2"/>
  <c r="X980" i="2"/>
  <c r="X979" i="2"/>
  <c r="U979" i="2"/>
  <c r="U308" i="2"/>
  <c r="X308" i="2"/>
  <c r="U42" i="2"/>
  <c r="X42" i="2"/>
  <c r="U353" i="2"/>
  <c r="X353" i="2"/>
  <c r="U1080" i="2"/>
  <c r="X1080" i="2"/>
  <c r="U810" i="2"/>
  <c r="X810" i="2"/>
  <c r="U1108" i="2"/>
  <c r="X1108" i="2"/>
  <c r="U826" i="2"/>
  <c r="X826" i="2"/>
  <c r="X128" i="2"/>
  <c r="U128" i="2"/>
  <c r="X295" i="2"/>
  <c r="U295" i="2"/>
  <c r="U935" i="2"/>
  <c r="X935" i="2"/>
  <c r="X820" i="2"/>
  <c r="U820" i="2"/>
  <c r="U439" i="2"/>
  <c r="X439" i="2"/>
  <c r="U937" i="2"/>
  <c r="X937" i="2"/>
  <c r="X802" i="2"/>
  <c r="U802" i="2"/>
  <c r="U423" i="2"/>
  <c r="X423" i="2"/>
  <c r="U296" i="2"/>
  <c r="X296" i="2"/>
  <c r="U360" i="2"/>
  <c r="X360" i="2"/>
  <c r="X617" i="2"/>
  <c r="U617" i="2"/>
  <c r="U839" i="2"/>
  <c r="X839" i="2"/>
  <c r="U1102" i="2"/>
  <c r="X1102" i="2"/>
  <c r="U695" i="2"/>
  <c r="X695" i="2"/>
  <c r="U507" i="2"/>
  <c r="X507" i="2"/>
  <c r="U517" i="2"/>
  <c r="X517" i="2"/>
  <c r="U625" i="2"/>
  <c r="X625" i="2"/>
  <c r="U691" i="2"/>
  <c r="X691" i="2"/>
  <c r="X841" i="2"/>
  <c r="U841" i="2"/>
  <c r="X944" i="2"/>
  <c r="U944" i="2"/>
  <c r="X836" i="2"/>
  <c r="U836" i="2"/>
  <c r="X939" i="2"/>
  <c r="U939" i="2"/>
  <c r="U817" i="2"/>
  <c r="X817" i="2"/>
  <c r="X499" i="2"/>
  <c r="U499" i="2"/>
  <c r="X509" i="2"/>
  <c r="U509" i="2"/>
  <c r="U37" i="2"/>
  <c r="X37" i="2"/>
  <c r="U16" i="2"/>
  <c r="X16" i="2"/>
  <c r="X664" i="2"/>
  <c r="U664" i="2"/>
  <c r="U1109" i="2"/>
  <c r="X1109" i="2"/>
  <c r="U1162" i="2"/>
  <c r="X1162" i="2"/>
  <c r="U572" i="2"/>
  <c r="X572" i="2"/>
  <c r="U1161" i="2"/>
  <c r="X1161" i="2"/>
  <c r="U1103" i="2"/>
  <c r="X1103" i="2"/>
  <c r="U466" i="2"/>
  <c r="X466" i="2"/>
  <c r="X104" i="2"/>
  <c r="U104" i="2"/>
  <c r="U693" i="2"/>
  <c r="X693" i="2"/>
  <c r="X984" i="2"/>
  <c r="U984" i="2"/>
  <c r="X584" i="2"/>
  <c r="U584" i="2"/>
  <c r="U551" i="2"/>
  <c r="X551" i="2"/>
  <c r="X1060" i="2"/>
  <c r="U1060" i="2"/>
  <c r="U830" i="2"/>
  <c r="X830" i="2"/>
  <c r="U1113" i="2"/>
  <c r="X1113" i="2"/>
  <c r="X958" i="2"/>
  <c r="U958" i="2"/>
  <c r="U587" i="2"/>
  <c r="X587" i="2"/>
  <c r="X1078" i="2"/>
  <c r="U1078" i="2"/>
  <c r="U801" i="2"/>
  <c r="X801" i="2"/>
  <c r="U609" i="2"/>
  <c r="X609" i="2"/>
  <c r="X689" i="2"/>
  <c r="U689" i="2"/>
  <c r="U294" i="2"/>
  <c r="X294" i="2"/>
  <c r="U47" i="2"/>
  <c r="X47" i="2"/>
  <c r="U202" i="2"/>
  <c r="X202" i="2"/>
  <c r="U573" i="2"/>
  <c r="X573" i="2"/>
  <c r="U546" i="2"/>
  <c r="X546" i="2"/>
  <c r="U518" i="2"/>
  <c r="X518" i="2"/>
  <c r="U358" i="2"/>
  <c r="X358" i="2"/>
  <c r="U483" i="2"/>
  <c r="X483" i="2"/>
  <c r="U379" i="2"/>
  <c r="X379" i="2"/>
  <c r="U493" i="2"/>
  <c r="X493" i="2"/>
  <c r="X127" i="2"/>
  <c r="U127" i="2"/>
  <c r="U72" i="2"/>
  <c r="X72" i="2"/>
  <c r="X45" i="2"/>
  <c r="U45" i="2"/>
  <c r="U302" i="2"/>
  <c r="X302" i="2"/>
  <c r="X312" i="2"/>
  <c r="U312" i="2"/>
  <c r="X381" i="2"/>
  <c r="U381" i="2"/>
  <c r="U223" i="2"/>
  <c r="X223" i="2"/>
  <c r="X15" i="2"/>
  <c r="U15" i="2"/>
  <c r="U228" i="2"/>
  <c r="X228" i="2"/>
  <c r="U138" i="2"/>
  <c r="X138" i="2"/>
  <c r="X176" i="2"/>
  <c r="U176" i="2"/>
  <c r="U246" i="2"/>
  <c r="X246" i="2"/>
  <c r="U75" i="2"/>
  <c r="X75" i="2"/>
  <c r="U837" i="2"/>
  <c r="X837" i="2"/>
  <c r="X1091" i="2"/>
  <c r="U1091" i="2"/>
  <c r="U670" i="2"/>
  <c r="X670" i="2"/>
  <c r="U855" i="2"/>
  <c r="X855" i="2"/>
  <c r="U311" i="2"/>
  <c r="X311" i="2"/>
  <c r="U142" i="2"/>
  <c r="X142" i="2"/>
  <c r="U1085" i="2"/>
  <c r="X1085" i="2"/>
  <c r="X965" i="2"/>
  <c r="U965" i="2"/>
  <c r="U1058" i="2"/>
  <c r="X1058" i="2"/>
  <c r="X807" i="2"/>
  <c r="U807" i="2"/>
  <c r="U527" i="2"/>
  <c r="X527" i="2"/>
  <c r="X567" i="2"/>
  <c r="U567" i="2"/>
  <c r="U298" i="2"/>
  <c r="X298" i="2"/>
  <c r="X88" i="2"/>
  <c r="U88" i="2"/>
  <c r="X952" i="2"/>
  <c r="U952" i="2"/>
  <c r="U831" i="2"/>
  <c r="X831" i="2"/>
  <c r="U964" i="2"/>
  <c r="X964" i="2"/>
  <c r="X1126" i="2"/>
  <c r="U1126" i="2"/>
  <c r="X621" i="2"/>
  <c r="U621" i="2"/>
  <c r="U559" i="2"/>
  <c r="X559" i="2"/>
  <c r="U89" i="2"/>
  <c r="X89" i="2"/>
  <c r="U118" i="2"/>
  <c r="X118" i="2"/>
  <c r="X928" i="2"/>
  <c r="U928" i="2"/>
  <c r="U945" i="2"/>
  <c r="X945" i="2"/>
  <c r="U90" i="2"/>
  <c r="X90" i="2"/>
  <c r="X859" i="2"/>
  <c r="U859" i="2"/>
  <c r="U505" i="2"/>
  <c r="X505" i="2"/>
  <c r="X605" i="2"/>
  <c r="U605" i="2"/>
  <c r="U530" i="2"/>
  <c r="X530" i="2"/>
  <c r="X413" i="2"/>
  <c r="U413" i="2"/>
  <c r="X91" i="2"/>
  <c r="U91" i="2"/>
  <c r="X129" i="2"/>
  <c r="U129" i="2"/>
  <c r="U854" i="2"/>
  <c r="X854" i="2"/>
  <c r="X849" i="2"/>
  <c r="U849" i="2"/>
  <c r="U949" i="2"/>
  <c r="X949" i="2"/>
  <c r="X982" i="2"/>
  <c r="U982" i="2"/>
  <c r="X947" i="2"/>
  <c r="U947" i="2"/>
  <c r="X692" i="2"/>
  <c r="U692" i="2"/>
  <c r="U252" i="2"/>
  <c r="X252" i="2"/>
  <c r="U967" i="2"/>
  <c r="X967" i="2"/>
  <c r="U1159" i="2"/>
  <c r="X1159" i="2"/>
  <c r="X994" i="2"/>
  <c r="U994" i="2"/>
  <c r="U974" i="2"/>
  <c r="X974" i="2"/>
  <c r="U1094" i="2"/>
  <c r="X1094" i="2"/>
  <c r="U248" i="2"/>
  <c r="X248" i="2"/>
  <c r="X589" i="2"/>
  <c r="U589" i="2"/>
  <c r="U397" i="2"/>
  <c r="X397" i="2"/>
  <c r="X419" i="2"/>
  <c r="U419" i="2"/>
  <c r="U239" i="2"/>
  <c r="X239" i="2"/>
  <c r="X244" i="2"/>
  <c r="U244" i="2"/>
  <c r="U86" i="2"/>
  <c r="X86" i="2"/>
  <c r="U1168" i="2"/>
  <c r="X1168" i="2"/>
  <c r="U1156" i="2"/>
  <c r="X1156" i="2"/>
  <c r="X1099" i="2"/>
  <c r="U1099" i="2"/>
  <c r="U1166" i="2"/>
  <c r="X1166" i="2"/>
  <c r="X628" i="2"/>
  <c r="U628" i="2"/>
  <c r="X1123" i="2"/>
  <c r="U1123" i="2"/>
  <c r="U997" i="2"/>
  <c r="X997" i="2"/>
  <c r="X1115" i="2"/>
  <c r="U1115" i="2"/>
  <c r="X1107" i="2"/>
  <c r="U1107" i="2"/>
  <c r="X1098" i="2"/>
  <c r="U1098" i="2"/>
  <c r="X976" i="2"/>
  <c r="U976" i="2"/>
  <c r="U1146" i="2"/>
  <c r="X1146" i="2"/>
  <c r="U677" i="2"/>
  <c r="X677" i="2"/>
  <c r="U968" i="2"/>
  <c r="X968" i="2"/>
  <c r="U862" i="2"/>
  <c r="X862" i="2"/>
  <c r="U495" i="2"/>
  <c r="X495" i="2"/>
  <c r="U1052" i="2"/>
  <c r="X1052" i="2"/>
  <c r="U620" i="2"/>
  <c r="X620" i="2"/>
  <c r="U799" i="2"/>
  <c r="X799" i="2"/>
  <c r="X1105" i="2"/>
  <c r="U1105" i="2"/>
  <c r="X950" i="2"/>
  <c r="U950" i="2"/>
  <c r="U579" i="2"/>
  <c r="X579" i="2"/>
  <c r="U627" i="2"/>
  <c r="X627" i="2"/>
  <c r="X793" i="2"/>
  <c r="U793" i="2"/>
  <c r="X561" i="2"/>
  <c r="U561" i="2"/>
  <c r="X592" i="2"/>
  <c r="U592" i="2"/>
  <c r="U811" i="2"/>
  <c r="X811" i="2"/>
  <c r="U824" i="2"/>
  <c r="X824" i="2"/>
  <c r="U694" i="2"/>
  <c r="X694" i="2"/>
  <c r="U6" i="2"/>
  <c r="X6" i="2"/>
  <c r="X136" i="2"/>
  <c r="U136" i="2"/>
  <c r="X565" i="2"/>
  <c r="U565" i="2"/>
  <c r="U463" i="2"/>
  <c r="X463" i="2"/>
  <c r="X447" i="2"/>
  <c r="U447" i="2"/>
  <c r="U631" i="2"/>
  <c r="X631" i="2"/>
  <c r="U455" i="2"/>
  <c r="X455" i="2"/>
  <c r="U510" i="2"/>
  <c r="X510" i="2"/>
  <c r="X475" i="2"/>
  <c r="U475" i="2"/>
  <c r="U208" i="2"/>
  <c r="X208" i="2"/>
  <c r="U245" i="2"/>
  <c r="X245" i="2"/>
  <c r="U378" i="2"/>
  <c r="X378" i="2"/>
  <c r="X485" i="2"/>
  <c r="U485" i="2"/>
  <c r="U80" i="2"/>
  <c r="X80" i="2"/>
  <c r="U250" i="2"/>
  <c r="X250" i="2"/>
  <c r="U309" i="2"/>
  <c r="X309" i="2"/>
  <c r="X215" i="2"/>
  <c r="U215" i="2"/>
  <c r="U220" i="2"/>
  <c r="X220" i="2"/>
  <c r="U14" i="2"/>
  <c r="X14" i="2"/>
  <c r="U125" i="2"/>
  <c r="X125" i="2"/>
  <c r="U97" i="2"/>
  <c r="X97" i="2"/>
  <c r="U238" i="2"/>
  <c r="X238" i="2"/>
  <c r="U73" i="2"/>
  <c r="X73" i="2"/>
  <c r="X40" i="2"/>
  <c r="U40" i="2"/>
  <c r="X1051" i="2"/>
  <c r="U1051" i="2"/>
  <c r="U821" i="2"/>
  <c r="X821" i="2"/>
  <c r="U462" i="2"/>
  <c r="X462" i="2"/>
  <c r="X182" i="2"/>
  <c r="U182" i="2"/>
  <c r="U219" i="2"/>
  <c r="X219" i="2"/>
  <c r="U241" i="2"/>
  <c r="X241" i="2"/>
  <c r="U663" i="2"/>
  <c r="X663" i="2"/>
  <c r="U1090" i="2"/>
  <c r="X1090" i="2"/>
  <c r="U973" i="2"/>
  <c r="X973" i="2"/>
  <c r="X564" i="2"/>
  <c r="U564" i="2"/>
  <c r="U619" i="2"/>
  <c r="X619" i="2"/>
  <c r="U446" i="2"/>
  <c r="X446" i="2"/>
  <c r="U122" i="2"/>
  <c r="X122" i="2"/>
  <c r="X225" i="2"/>
  <c r="U225" i="2"/>
  <c r="U805" i="2"/>
  <c r="X805" i="2"/>
  <c r="X1111" i="2"/>
  <c r="U1111" i="2"/>
  <c r="U95" i="2"/>
  <c r="X95" i="2"/>
  <c r="X1122" i="2"/>
  <c r="U1122" i="2"/>
  <c r="U843" i="2"/>
  <c r="X843" i="2"/>
  <c r="U1045" i="2"/>
  <c r="X1045" i="2"/>
  <c r="X963" i="2"/>
  <c r="U963" i="2"/>
  <c r="X1171" i="2"/>
  <c r="U1171" i="2"/>
  <c r="U860" i="2"/>
  <c r="X860" i="2"/>
  <c r="U954" i="2"/>
  <c r="X954" i="2"/>
  <c r="U1145" i="2"/>
  <c r="X1145" i="2"/>
  <c r="U955" i="2"/>
  <c r="X955" i="2"/>
  <c r="U102" i="2"/>
  <c r="X102" i="2"/>
  <c r="U377" i="2"/>
  <c r="X377" i="2"/>
  <c r="U929" i="2"/>
  <c r="X929" i="2"/>
  <c r="X828" i="2"/>
  <c r="U828" i="2"/>
  <c r="U1147" i="2"/>
  <c r="X1147" i="2"/>
  <c r="X1174" i="2"/>
  <c r="U1174" i="2"/>
  <c r="U957" i="2"/>
  <c r="X957" i="2"/>
  <c r="U1048" i="2"/>
  <c r="X1048" i="2"/>
  <c r="U815" i="2"/>
  <c r="X815" i="2"/>
  <c r="U1077" i="2"/>
  <c r="X1077" i="2"/>
  <c r="X1155" i="2"/>
  <c r="U1155" i="2"/>
  <c r="U1172" i="2"/>
  <c r="X1172" i="2"/>
  <c r="U1055" i="2"/>
  <c r="X1055" i="2"/>
  <c r="U846" i="2"/>
  <c r="X846" i="2"/>
  <c r="X1093" i="2"/>
  <c r="U1093" i="2"/>
  <c r="X1141" i="2"/>
  <c r="U1141" i="2"/>
  <c r="X555" i="2"/>
  <c r="U555" i="2"/>
  <c r="U840" i="2"/>
  <c r="X840" i="2"/>
  <c r="U490" i="2"/>
  <c r="X490" i="2"/>
  <c r="U608" i="2"/>
  <c r="X608" i="2"/>
  <c r="U1097" i="2"/>
  <c r="X1097" i="2"/>
  <c r="U942" i="2"/>
  <c r="X942" i="2"/>
  <c r="X1062" i="2"/>
  <c r="U1062" i="2"/>
  <c r="X611" i="2"/>
  <c r="U611" i="2"/>
  <c r="X529" i="2"/>
  <c r="U529" i="2"/>
  <c r="U676" i="2"/>
  <c r="X676" i="2"/>
  <c r="X588" i="2"/>
  <c r="U588" i="2"/>
  <c r="U803" i="2"/>
  <c r="X803" i="2"/>
  <c r="U13" i="2"/>
  <c r="X13" i="2"/>
  <c r="U816" i="2"/>
  <c r="X816" i="2"/>
  <c r="U87" i="2"/>
  <c r="X87" i="2"/>
  <c r="U557" i="2"/>
  <c r="X557" i="2"/>
  <c r="U30" i="2"/>
  <c r="X30" i="2"/>
  <c r="U623" i="2"/>
  <c r="X623" i="2"/>
  <c r="X433" i="2"/>
  <c r="U433" i="2"/>
  <c r="X502" i="2"/>
  <c r="U502" i="2"/>
  <c r="X235" i="2"/>
  <c r="U235" i="2"/>
  <c r="X467" i="2"/>
  <c r="U467" i="2"/>
  <c r="U232" i="2"/>
  <c r="X232" i="2"/>
  <c r="X477" i="2"/>
  <c r="U477" i="2"/>
  <c r="X11" i="2"/>
  <c r="U11" i="2"/>
  <c r="U34" i="2"/>
  <c r="X34" i="2"/>
  <c r="U131" i="2"/>
  <c r="X131" i="2"/>
  <c r="U207" i="2"/>
  <c r="X207" i="2"/>
  <c r="U212" i="2"/>
  <c r="X212" i="2"/>
  <c r="U300" i="2"/>
  <c r="X300" i="2"/>
  <c r="U121" i="2"/>
  <c r="X121" i="2"/>
  <c r="X230" i="2"/>
  <c r="U230" i="2"/>
  <c r="U36" i="2"/>
  <c r="X36" i="2"/>
  <c r="U117" i="2"/>
  <c r="X117" i="2"/>
  <c r="U32" i="2"/>
  <c r="X32" i="2"/>
  <c r="U193" i="2"/>
  <c r="X193" i="2"/>
  <c r="X981" i="2"/>
  <c r="U981" i="2"/>
  <c r="X503" i="2"/>
  <c r="U503" i="2"/>
  <c r="X310" i="2"/>
  <c r="U310" i="2"/>
  <c r="X835" i="2"/>
  <c r="U835" i="2"/>
  <c r="U1116" i="2"/>
  <c r="X1116" i="2"/>
  <c r="X829" i="2"/>
  <c r="U829" i="2"/>
  <c r="X303" i="2"/>
  <c r="U303" i="2"/>
  <c r="U126" i="2"/>
  <c r="X126" i="2"/>
  <c r="U983" i="2"/>
  <c r="X983" i="2"/>
  <c r="U988" i="2"/>
  <c r="X988" i="2"/>
  <c r="U415" i="2"/>
  <c r="X415" i="2"/>
  <c r="X543" i="2"/>
  <c r="U543" i="2"/>
  <c r="U7" i="2"/>
  <c r="X7" i="2"/>
  <c r="X352" i="2"/>
  <c r="U352" i="2"/>
  <c r="U1164" i="2"/>
  <c r="X1164" i="2"/>
  <c r="U550" i="2"/>
  <c r="X550" i="2"/>
  <c r="U613" i="2"/>
  <c r="X613" i="2"/>
  <c r="X549" i="2"/>
  <c r="U549" i="2"/>
  <c r="U209" i="2"/>
  <c r="X209" i="2"/>
  <c r="U110" i="2"/>
  <c r="X110" i="2"/>
  <c r="U940" i="2"/>
  <c r="X940" i="2"/>
  <c r="U1092" i="2"/>
  <c r="X1092" i="2"/>
  <c r="X850" i="2"/>
  <c r="U850" i="2"/>
  <c r="X403" i="2"/>
  <c r="U403" i="2"/>
  <c r="U417" i="2"/>
  <c r="X417" i="2"/>
  <c r="X210" i="2"/>
  <c r="U210" i="2"/>
  <c r="U200" i="2"/>
  <c r="X200" i="2"/>
  <c r="X848" i="2"/>
  <c r="U848" i="2"/>
  <c r="X798" i="2"/>
  <c r="U798" i="2"/>
  <c r="X192" i="2"/>
  <c r="U192" i="2"/>
  <c r="U94" i="2"/>
  <c r="X94" i="2"/>
  <c r="U1076" i="2"/>
  <c r="X1076" i="2"/>
  <c r="U534" i="2"/>
  <c r="X534" i="2"/>
  <c r="U8" i="2"/>
  <c r="X8" i="2"/>
  <c r="U1119" i="2"/>
  <c r="X1119" i="2"/>
  <c r="X936" i="2"/>
  <c r="U936" i="2"/>
  <c r="U932" i="2"/>
  <c r="X932" i="2"/>
  <c r="X1139" i="2"/>
  <c r="U1139" i="2"/>
  <c r="X601" i="2"/>
  <c r="U601" i="2"/>
  <c r="X1063" i="2"/>
  <c r="U1063" i="2"/>
  <c r="U962" i="2"/>
  <c r="X962" i="2"/>
  <c r="U1163" i="2"/>
  <c r="X1163" i="2"/>
  <c r="X1158" i="2"/>
  <c r="U1158" i="2"/>
  <c r="X1056" i="2"/>
  <c r="U1056" i="2"/>
  <c r="U1047" i="2"/>
  <c r="X1047" i="2"/>
  <c r="X696" i="2"/>
  <c r="U696" i="2"/>
  <c r="U1088" i="2"/>
  <c r="X1088" i="2"/>
  <c r="U667" i="2"/>
  <c r="X667" i="2"/>
  <c r="X1136" i="2"/>
  <c r="U1136" i="2"/>
  <c r="X1117" i="2"/>
  <c r="U1117" i="2"/>
  <c r="X576" i="2"/>
  <c r="U576" i="2"/>
  <c r="U1089" i="2"/>
  <c r="X1089" i="2"/>
  <c r="X934" i="2"/>
  <c r="U934" i="2"/>
  <c r="U662" i="2"/>
  <c r="X662" i="2"/>
  <c r="X1054" i="2"/>
  <c r="U1054" i="2"/>
  <c r="X603" i="2"/>
  <c r="U603" i="2"/>
  <c r="X757" i="2"/>
  <c r="U757" i="2"/>
  <c r="U431" i="2"/>
  <c r="X431" i="2"/>
  <c r="U673" i="2"/>
  <c r="X673" i="2"/>
  <c r="X571" i="2"/>
  <c r="U571" i="2"/>
  <c r="X795" i="2"/>
  <c r="U795" i="2"/>
  <c r="X808" i="2"/>
  <c r="U808" i="2"/>
  <c r="U678" i="2"/>
  <c r="X678" i="2"/>
  <c r="U547" i="2"/>
  <c r="X547" i="2"/>
  <c r="U411" i="2"/>
  <c r="X411" i="2"/>
  <c r="U421" i="2"/>
  <c r="X421" i="2"/>
  <c r="U615" i="2"/>
  <c r="X615" i="2"/>
  <c r="U494" i="2"/>
  <c r="X494" i="2"/>
  <c r="U218" i="2"/>
  <c r="X218" i="2"/>
  <c r="X459" i="2"/>
  <c r="U459" i="2"/>
  <c r="X469" i="2"/>
  <c r="U469" i="2"/>
  <c r="U38" i="2"/>
  <c r="X38" i="2"/>
  <c r="X123" i="2"/>
  <c r="U123" i="2"/>
  <c r="U198" i="2"/>
  <c r="X198" i="2"/>
  <c r="X204" i="2"/>
  <c r="U204" i="2"/>
  <c r="U83" i="2"/>
  <c r="X83" i="2"/>
  <c r="U222" i="2"/>
  <c r="X222" i="2"/>
  <c r="U109" i="2"/>
  <c r="X109" i="2"/>
  <c r="U140" i="2"/>
  <c r="X140" i="2"/>
  <c r="U1064" i="2"/>
  <c r="X1064" i="2"/>
  <c r="X938" i="2"/>
  <c r="U938" i="2"/>
  <c r="X977" i="2"/>
  <c r="U977" i="2"/>
  <c r="U542" i="2"/>
  <c r="X542" i="2"/>
  <c r="U479" i="2"/>
  <c r="X479" i="2"/>
  <c r="U595" i="2"/>
  <c r="X595" i="2"/>
  <c r="U425" i="2"/>
  <c r="X425" i="2"/>
  <c r="X211" i="2"/>
  <c r="U211" i="2"/>
  <c r="X139" i="2"/>
  <c r="U139" i="2"/>
  <c r="X77" i="2"/>
  <c r="U77" i="2"/>
  <c r="X812" i="2"/>
  <c r="U812" i="2"/>
  <c r="U1128" i="2"/>
  <c r="X1128" i="2"/>
  <c r="U804" i="2"/>
  <c r="X804" i="2"/>
  <c r="U823" i="2"/>
  <c r="X823" i="2"/>
  <c r="X560" i="2"/>
  <c r="U560" i="2"/>
  <c r="X301" i="2"/>
  <c r="U301" i="2"/>
  <c r="U819" i="2"/>
  <c r="X819" i="2"/>
  <c r="U1133" i="2"/>
  <c r="X1133" i="2"/>
  <c r="U960" i="2"/>
  <c r="X960" i="2"/>
  <c r="U1053" i="2"/>
  <c r="X1053" i="2"/>
  <c r="U217" i="2"/>
  <c r="X217" i="2"/>
  <c r="U33" i="2"/>
  <c r="X33" i="2"/>
  <c r="X822" i="2"/>
  <c r="U822" i="2"/>
  <c r="U959" i="2"/>
  <c r="X959" i="2"/>
  <c r="X1118" i="2"/>
  <c r="U1118" i="2"/>
  <c r="X688" i="2"/>
  <c r="U688" i="2"/>
  <c r="U1151" i="2"/>
  <c r="X1151" i="2"/>
  <c r="X842" i="2"/>
  <c r="U842" i="2"/>
  <c r="U1110" i="2"/>
  <c r="X1110" i="2"/>
  <c r="U497" i="2"/>
  <c r="X497" i="2"/>
  <c r="X515" i="2"/>
  <c r="U515" i="2"/>
  <c r="U525" i="2"/>
  <c r="X525" i="2"/>
  <c r="X948" i="2"/>
  <c r="U948" i="2"/>
  <c r="X1173" i="2"/>
  <c r="U1173" i="2"/>
  <c r="U825" i="2"/>
  <c r="X825" i="2"/>
  <c r="X674" i="2"/>
  <c r="U674" i="2"/>
  <c r="U356" i="2"/>
  <c r="X356" i="2"/>
  <c r="U1144" i="2"/>
  <c r="X1144" i="2"/>
  <c r="X1129" i="2"/>
  <c r="U1129" i="2"/>
  <c r="U409" i="2"/>
  <c r="X409" i="2"/>
  <c r="X407" i="2"/>
  <c r="U407" i="2"/>
  <c r="X1157" i="2"/>
  <c r="U1157" i="2"/>
  <c r="U838" i="2"/>
  <c r="X838" i="2"/>
  <c r="U1061" i="2"/>
  <c r="X1061" i="2"/>
  <c r="X975" i="2"/>
  <c r="U975" i="2"/>
  <c r="U1135" i="2"/>
  <c r="X1135" i="2"/>
  <c r="U1149" i="2"/>
  <c r="X1149" i="2"/>
  <c r="U996" i="2"/>
  <c r="X996" i="2"/>
  <c r="X1131" i="2"/>
  <c r="U1131" i="2"/>
  <c r="U441" i="2"/>
  <c r="X441" i="2"/>
  <c r="U1106" i="2"/>
  <c r="X1106" i="2"/>
  <c r="X861" i="2"/>
  <c r="U861" i="2"/>
  <c r="U563" i="2"/>
  <c r="X563" i="2"/>
  <c r="X690" i="2"/>
  <c r="U690" i="2"/>
  <c r="U1081" i="2"/>
  <c r="X1081" i="2"/>
  <c r="U926" i="2"/>
  <c r="X926" i="2"/>
  <c r="X1046" i="2"/>
  <c r="U1046" i="2"/>
  <c r="U537" i="2"/>
  <c r="X537" i="2"/>
  <c r="U660" i="2"/>
  <c r="X660" i="2"/>
  <c r="U800" i="2"/>
  <c r="X800" i="2"/>
  <c r="U668" i="2"/>
  <c r="X668" i="2"/>
  <c r="X669" i="2"/>
  <c r="U669" i="2"/>
  <c r="U395" i="2"/>
  <c r="X395" i="2"/>
  <c r="U607" i="2"/>
  <c r="X607" i="2"/>
  <c r="X458" i="2"/>
  <c r="U458" i="2"/>
  <c r="X486" i="2"/>
  <c r="U486" i="2"/>
  <c r="U451" i="2"/>
  <c r="X451" i="2"/>
  <c r="U461" i="2"/>
  <c r="X461" i="2"/>
  <c r="X399" i="2"/>
  <c r="U399" i="2"/>
  <c r="U226" i="2"/>
  <c r="X226" i="2"/>
  <c r="U393" i="2"/>
  <c r="X393" i="2"/>
  <c r="U115" i="2"/>
  <c r="X115" i="2"/>
  <c r="X234" i="2"/>
  <c r="U234" i="2"/>
  <c r="U81" i="2"/>
  <c r="X81" i="2"/>
  <c r="X190" i="2"/>
  <c r="U190" i="2"/>
  <c r="U70" i="2"/>
  <c r="X70" i="2"/>
  <c r="X195" i="2"/>
  <c r="U195" i="2"/>
  <c r="U214" i="2"/>
  <c r="X214" i="2"/>
  <c r="U101" i="2"/>
  <c r="X101" i="2"/>
  <c r="U17" i="2"/>
  <c r="X17" i="2"/>
  <c r="U132" i="2"/>
  <c r="X132" i="2"/>
  <c r="U1169" i="2"/>
  <c r="X1169" i="2"/>
  <c r="X1154" i="2"/>
  <c r="U1154" i="2"/>
  <c r="U1132" i="2"/>
  <c r="X1132" i="2"/>
  <c r="U112" i="2"/>
  <c r="X112" i="2"/>
  <c r="U972" i="2"/>
  <c r="X972" i="2"/>
  <c r="X813" i="2"/>
  <c r="U813" i="2"/>
  <c r="U1134" i="2"/>
  <c r="X1134" i="2"/>
  <c r="U511" i="2"/>
  <c r="X511" i="2"/>
  <c r="U539" i="2"/>
  <c r="X539" i="2"/>
  <c r="X629" i="2"/>
  <c r="U629" i="2"/>
  <c r="U4" i="2"/>
  <c r="X4" i="2"/>
  <c r="X971" i="2"/>
  <c r="U971" i="2"/>
  <c r="X242" i="2"/>
  <c r="U242" i="2"/>
  <c r="U99" i="2"/>
  <c r="X99" i="2"/>
  <c r="X1059" i="2"/>
  <c r="U1059" i="2"/>
  <c r="U1100" i="2"/>
  <c r="X1100" i="2"/>
  <c r="X858" i="2"/>
  <c r="U858" i="2"/>
  <c r="U105" i="2"/>
  <c r="X105" i="2"/>
  <c r="U523" i="2"/>
  <c r="X523" i="2"/>
  <c r="U533" i="2"/>
  <c r="X533" i="2"/>
  <c r="U76" i="2"/>
  <c r="X76" i="2"/>
  <c r="U927" i="2"/>
  <c r="X927" i="2"/>
  <c r="U990" i="2"/>
  <c r="X990" i="2"/>
  <c r="U465" i="2"/>
  <c r="X465" i="2"/>
  <c r="U255" i="2"/>
  <c r="X255" i="2"/>
  <c r="U297" i="2"/>
  <c r="X297" i="2"/>
  <c r="X672" i="2"/>
  <c r="U672" i="2"/>
  <c r="U1050" i="2"/>
  <c r="X1050" i="2"/>
  <c r="U1084" i="2"/>
  <c r="X1084" i="2"/>
  <c r="U1137" i="2"/>
  <c r="X1137" i="2"/>
  <c r="U449" i="2"/>
  <c r="X449" i="2"/>
  <c r="U457" i="2"/>
  <c r="X457" i="2"/>
  <c r="U597" i="2"/>
  <c r="X597" i="2"/>
  <c r="U401" i="2"/>
  <c r="X401" i="2"/>
  <c r="U43" i="2"/>
  <c r="X43" i="2"/>
  <c r="X1130" i="2"/>
  <c r="U1130" i="2"/>
  <c r="U796" i="2"/>
  <c r="X796" i="2"/>
  <c r="U1104" i="2"/>
  <c r="X1104" i="2"/>
  <c r="X1120" i="2"/>
  <c r="U1120" i="2"/>
  <c r="U1143" i="2"/>
  <c r="X1143" i="2"/>
  <c r="U991" i="2"/>
  <c r="X991" i="2"/>
  <c r="U956" i="2"/>
  <c r="X956" i="2"/>
  <c r="U240" i="2"/>
  <c r="X240" i="2"/>
  <c r="X1114" i="2"/>
  <c r="U1114" i="2"/>
  <c r="U1160" i="2"/>
  <c r="X1160" i="2"/>
  <c r="U1101" i="2"/>
  <c r="X1101" i="2"/>
  <c r="X253" i="2"/>
  <c r="U253" i="2"/>
  <c r="U993" i="2"/>
  <c r="X993" i="2"/>
  <c r="U853" i="2"/>
  <c r="X853" i="2"/>
  <c r="X624" i="2"/>
  <c r="U624" i="2"/>
  <c r="U498" i="2"/>
  <c r="X498" i="2"/>
  <c r="X487" i="2"/>
  <c r="U487" i="2"/>
  <c r="X616" i="2"/>
  <c r="U616" i="2"/>
  <c r="X661" i="2"/>
  <c r="U661" i="2"/>
  <c r="X541" i="2"/>
  <c r="U541" i="2"/>
  <c r="X531" i="2"/>
  <c r="U531" i="2"/>
  <c r="U387" i="2"/>
  <c r="X387" i="2"/>
  <c r="U380" i="2"/>
  <c r="X380" i="2"/>
  <c r="X599" i="2"/>
  <c r="U599" i="2"/>
  <c r="U478" i="2"/>
  <c r="X478" i="2"/>
  <c r="U179" i="2"/>
  <c r="X179" i="2"/>
  <c r="X443" i="2"/>
  <c r="U443" i="2"/>
  <c r="X12" i="2"/>
  <c r="U12" i="2"/>
  <c r="X141" i="2"/>
  <c r="U141" i="2"/>
  <c r="U113" i="2"/>
  <c r="X113" i="2"/>
  <c r="U453" i="2"/>
  <c r="X453" i="2"/>
  <c r="U391" i="2"/>
  <c r="X391" i="2"/>
  <c r="X221" i="2"/>
  <c r="U221" i="2"/>
  <c r="X243" i="2"/>
  <c r="U243" i="2"/>
  <c r="U384" i="2"/>
  <c r="X384" i="2"/>
  <c r="U229" i="2"/>
  <c r="X229" i="2"/>
  <c r="U181" i="2"/>
  <c r="X181" i="2"/>
  <c r="U206" i="2"/>
  <c r="X206" i="2"/>
  <c r="X74" i="2"/>
  <c r="U74" i="2"/>
  <c r="X93" i="2"/>
  <c r="U93" i="2"/>
  <c r="X9" i="2"/>
  <c r="U9" i="2"/>
  <c r="U124" i="2"/>
  <c r="X124" i="2"/>
  <c r="U39" i="2"/>
  <c r="X39" i="2"/>
  <c r="U978" i="2"/>
  <c r="X978" i="2"/>
  <c r="U856" i="2"/>
  <c r="X856" i="2"/>
  <c r="U995" i="2"/>
  <c r="X995" i="2"/>
  <c r="X585" i="2"/>
  <c r="U585" i="2"/>
  <c r="X355" i="2"/>
  <c r="U355" i="2"/>
  <c r="X992" i="2"/>
  <c r="U992" i="2"/>
  <c r="U961" i="2"/>
  <c r="X961" i="2"/>
  <c r="U120" i="2"/>
  <c r="X120" i="2"/>
  <c r="X251" i="2"/>
  <c r="U251" i="2"/>
  <c r="X1148" i="2"/>
  <c r="U1148" i="2"/>
  <c r="X569" i="2"/>
  <c r="U569" i="2"/>
  <c r="X851" i="2"/>
  <c r="U851" i="2"/>
  <c r="U933" i="2"/>
  <c r="X933" i="2"/>
  <c r="X953" i="2"/>
  <c r="U953" i="2"/>
  <c r="U35" i="2"/>
  <c r="X35" i="2"/>
  <c r="U474" i="2"/>
  <c r="X474" i="2"/>
  <c r="U187" i="2"/>
  <c r="X187" i="2"/>
  <c r="U1153" i="2"/>
  <c r="X1153" i="2"/>
  <c r="U521" i="2"/>
  <c r="X521" i="2"/>
  <c r="X3" i="2"/>
  <c r="X133" i="2"/>
  <c r="U133" i="2"/>
  <c r="X351" i="2"/>
  <c r="U351" i="2"/>
  <c r="U184" i="2"/>
  <c r="X184" i="2"/>
  <c r="U514" i="2"/>
  <c r="X514" i="2"/>
  <c r="X659" i="2"/>
  <c r="U659" i="2"/>
  <c r="X794" i="2"/>
  <c r="U794" i="2"/>
  <c r="X522" i="2"/>
  <c r="U522" i="2"/>
  <c r="U82" i="2"/>
  <c r="X82" i="2"/>
  <c r="U205" i="2"/>
  <c r="X205" i="2"/>
  <c r="U111" i="2"/>
  <c r="X111" i="2"/>
  <c r="U834" i="2"/>
  <c r="X834" i="2"/>
  <c r="U519" i="2"/>
  <c r="X519" i="2"/>
  <c r="U1087" i="2"/>
  <c r="X1087" i="2"/>
  <c r="X1152" i="2"/>
  <c r="U1152" i="2"/>
  <c r="X857" i="2"/>
  <c r="U857" i="2"/>
  <c r="X844" i="2"/>
  <c r="U844" i="2"/>
  <c r="U1112" i="2"/>
  <c r="X1112" i="2"/>
  <c r="X930" i="2"/>
  <c r="U930" i="2"/>
  <c r="X986" i="2"/>
  <c r="U986" i="2"/>
  <c r="U604" i="2"/>
  <c r="X604" i="2"/>
  <c r="U951" i="2"/>
  <c r="X951" i="2"/>
  <c r="X119" i="2"/>
  <c r="U119" i="2"/>
  <c r="X1083" i="2"/>
  <c r="U1083" i="2"/>
  <c r="X1096" i="2"/>
  <c r="U1096" i="2"/>
  <c r="X482" i="2"/>
  <c r="U482" i="2"/>
  <c r="X1140" i="2"/>
  <c r="U1140" i="2"/>
  <c r="U985" i="2"/>
  <c r="X985" i="2"/>
  <c r="U845" i="2"/>
  <c r="X845" i="2"/>
  <c r="U600" i="2"/>
  <c r="X600" i="2"/>
  <c r="U304" i="2"/>
  <c r="X304" i="2"/>
  <c r="U471" i="2"/>
  <c r="X471" i="2"/>
  <c r="U612" i="2"/>
  <c r="X612" i="2"/>
  <c r="U633" i="2"/>
  <c r="X633" i="2"/>
  <c r="U538" i="2"/>
  <c r="X538" i="2"/>
  <c r="X513" i="2"/>
  <c r="U513" i="2"/>
  <c r="U591" i="2"/>
  <c r="X591" i="2"/>
  <c r="U470" i="2"/>
  <c r="X470" i="2"/>
  <c r="U114" i="2"/>
  <c r="X114" i="2"/>
  <c r="X435" i="2"/>
  <c r="U435" i="2"/>
  <c r="U96" i="2"/>
  <c r="X96" i="2"/>
  <c r="U445" i="2"/>
  <c r="X445" i="2"/>
  <c r="U382" i="2"/>
  <c r="X382" i="2"/>
  <c r="U216" i="2"/>
  <c r="X216" i="2"/>
  <c r="U201" i="2"/>
  <c r="X201" i="2"/>
  <c r="U357" i="2"/>
  <c r="X357" i="2"/>
  <c r="X224" i="2"/>
  <c r="U224" i="2"/>
  <c r="U359" i="2"/>
  <c r="X359" i="2"/>
  <c r="X178" i="2"/>
  <c r="U178" i="2"/>
  <c r="U130" i="2"/>
  <c r="X130" i="2"/>
  <c r="U249" i="2"/>
  <c r="X249" i="2"/>
  <c r="U197" i="2"/>
  <c r="X197" i="2"/>
  <c r="U69" i="2"/>
  <c r="X69" i="2"/>
  <c r="X85" i="2"/>
  <c r="U85" i="2"/>
  <c r="X116" i="2"/>
  <c r="U116" i="2"/>
  <c r="U31" i="2"/>
  <c r="X31" i="2"/>
  <c r="AG376" i="2" l="1"/>
  <c r="L376" i="2"/>
  <c r="AC376" i="2"/>
  <c r="V376" i="2" l="1"/>
  <c r="AH376" i="2"/>
</calcChain>
</file>

<file path=xl/sharedStrings.xml><?xml version="1.0" encoding="utf-8"?>
<sst xmlns="http://schemas.openxmlformats.org/spreadsheetml/2006/main" count="12442" uniqueCount="974">
  <si>
    <t>Jurisdiction</t>
  </si>
  <si>
    <t>Utility</t>
  </si>
  <si>
    <t>Source</t>
  </si>
  <si>
    <t>Years</t>
  </si>
  <si>
    <t>Notes / Issues</t>
  </si>
  <si>
    <t>Sector</t>
  </si>
  <si>
    <t>Prorgam</t>
  </si>
  <si>
    <t>State</t>
  </si>
  <si>
    <t>NTG</t>
  </si>
  <si>
    <t xml:space="preserve">&lt;==set missing gross savings values based on 90% NTG for these states. Update if we find better NTG values to assume. </t>
  </si>
  <si>
    <t>Massachusetts</t>
  </si>
  <si>
    <t>National Grid</t>
  </si>
  <si>
    <t>NGrid MA 2022-2024 Plan.xlsx</t>
  </si>
  <si>
    <t>2022-2024</t>
  </si>
  <si>
    <t>Full data available in spreadsheet, plans include 2023-2024, better msr resolution vs Evsrc</t>
  </si>
  <si>
    <t>Res</t>
  </si>
  <si>
    <t>Equip - furnace</t>
  </si>
  <si>
    <t>CT</t>
  </si>
  <si>
    <t>Eversource</t>
  </si>
  <si>
    <t>Eversource MA 2022-2024 Plan.xlsx</t>
  </si>
  <si>
    <t>Full data available in spreadsheet, plans include 2023-2024, worse msr resolution vs Grid</t>
  </si>
  <si>
    <t>Other</t>
  </si>
  <si>
    <t>NY</t>
  </si>
  <si>
    <t>Connecticut</t>
  </si>
  <si>
    <t>CT Final 2023 Plan Update to 2022 2024 Plan.pdf</t>
  </si>
  <si>
    <t>2024-2025</t>
  </si>
  <si>
    <t>Full data available in spreadsheet, plans include 2024-2025</t>
  </si>
  <si>
    <t>Wx</t>
  </si>
  <si>
    <t>IL</t>
  </si>
  <si>
    <t>New York</t>
  </si>
  <si>
    <t>NGrid SEEP.pdf</t>
  </si>
  <si>
    <t>Full data available in spreadsheet, plans include 2024-2025. Had to assume 90% NTG</t>
  </si>
  <si>
    <t>NC</t>
  </si>
  <si>
    <t>CAN</t>
  </si>
  <si>
    <t>ConEd</t>
  </si>
  <si>
    <t>ConEd SEEP.pdf</t>
  </si>
  <si>
    <t>Behave</t>
  </si>
  <si>
    <t>NJ</t>
  </si>
  <si>
    <t>Michigan</t>
  </si>
  <si>
    <t>Consumers Energy</t>
  </si>
  <si>
    <t>2024-2025 EWR Plan Forecasts_18JUL2023_Final_v9.xlsx</t>
  </si>
  <si>
    <t>Full data available in spreadsheet, plans include 2024-2025 (reflects updated plan)</t>
  </si>
  <si>
    <t>Kits</t>
  </si>
  <si>
    <t>UT</t>
  </si>
  <si>
    <t>DTE Energy</t>
  </si>
  <si>
    <t>DTE - 6.29.2023 - 2024-25 Energy Waste Reduction Plan - U-21322.pdf</t>
  </si>
  <si>
    <t>Data available in PDF only. Assume 92% NTG for all.</t>
  </si>
  <si>
    <t>C&amp;I</t>
  </si>
  <si>
    <t>Equip-furnace</t>
  </si>
  <si>
    <t>WA</t>
  </si>
  <si>
    <t>Minnesota</t>
  </si>
  <si>
    <t>Xcel Energy</t>
  </si>
  <si>
    <t>MN Xcel 23-92 - 2024-2026 MN Triennial Plan 062923.pdf</t>
  </si>
  <si>
    <t>2024-2026</t>
  </si>
  <si>
    <t>Triennial plan, 2024-2026, available in PDF only. Gross = Net (1.0 NTG).</t>
  </si>
  <si>
    <t>Equip-boiler</t>
  </si>
  <si>
    <t>CenterPoint Energy</t>
  </si>
  <si>
    <t>CPE 2024-2026 Triennial.pdf</t>
  </si>
  <si>
    <t>Illinois</t>
  </si>
  <si>
    <t>Nicor Gas</t>
  </si>
  <si>
    <t>IL Nicor-Gas-2022-2025-EE-Plan_filed-March-2021.pdf</t>
  </si>
  <si>
    <t>Custom</t>
  </si>
  <si>
    <t>Peoples Gas/North Shore Gas</t>
  </si>
  <si>
    <t>IL Peoples 588144.pdf</t>
  </si>
  <si>
    <t>Missing gross, had to assume 90% NTG. Data available in spreadsheet. 2024 only</t>
  </si>
  <si>
    <t>Ameren Illinois</t>
  </si>
  <si>
    <t>IL Ameren 561826 22-25 Plan.pdf</t>
  </si>
  <si>
    <t>Missing detailed data, only aggregate program level.</t>
  </si>
  <si>
    <t>SEM</t>
  </si>
  <si>
    <t>Wisconsin</t>
  </si>
  <si>
    <t>Focus on Energy</t>
  </si>
  <si>
    <t>Rcx</t>
  </si>
  <si>
    <t>Colorado</t>
  </si>
  <si>
    <t>CO Xcel HE 101_Attachment NCM-1, 2024-2026 DSM BE Plan_without header.pdf</t>
  </si>
  <si>
    <t>Only 2022 evaluation data available, in PDF format. Request for planned data denied.</t>
  </si>
  <si>
    <t>Small Biz</t>
  </si>
  <si>
    <t>Ontario</t>
  </si>
  <si>
    <t>Enbridge</t>
  </si>
  <si>
    <t>DRAFT 2023-2025 Target and Budget for First Tracks - Jan 10 2024.xlsx</t>
  </si>
  <si>
    <t>Plan data extracted from PDF.</t>
  </si>
  <si>
    <t>British Columbia</t>
  </si>
  <si>
    <t>FortisBC</t>
  </si>
  <si>
    <t>Fortis 24-27 Plan.pdf</t>
  </si>
  <si>
    <t>2023-204</t>
  </si>
  <si>
    <t>Full data provided by client. Variable resolution for spend $s vs savings</t>
  </si>
  <si>
    <t>Washington/ Idaho</t>
  </si>
  <si>
    <t>Avista</t>
  </si>
  <si>
    <t>https://apexanalyticsllc.sharepoint.com/:b:/s/FirstTracksGasBenchmarking/EYUDGseDhcpLtVZ0igcZEbABiqu5QJ5Sv9LoiR_GGM1X3Q?e=d0utYj</t>
  </si>
  <si>
    <t>2023-2027</t>
  </si>
  <si>
    <t>Full data provided in PDF. Significant effort to align participation with unit savings/spending.</t>
  </si>
  <si>
    <t>Puget Sound</t>
  </si>
  <si>
    <t xml:space="preserve">Assume net=gross (NTG=1.0). Data available in spreadsheet. </t>
  </si>
  <si>
    <t>Oregon</t>
  </si>
  <si>
    <t>Northwest Natural Gas</t>
  </si>
  <si>
    <t>Energy Trust OR Action-plans_2024-2025.pdf</t>
  </si>
  <si>
    <t>Energy Trust of Oregon</t>
  </si>
  <si>
    <t>https://apexanalyticsllc.sharepoint.com/:b:/s/FirstTracksGasBenchmarking/EXO6CgtLdbVEvQXbLUYIcoEB7oaVOxc2BHnXqiocCO2k_Q?e=la1x8S</t>
  </si>
  <si>
    <t>Assume net=gross (NTG=1.0). Data available in PDF.</t>
  </si>
  <si>
    <t>Utah</t>
  </si>
  <si>
    <t>Questar</t>
  </si>
  <si>
    <t>UT 330538DEUExhbt1.10Budget10-31-2023 (3).xlsx</t>
  </si>
  <si>
    <t xml:space="preserve">Assume NTG=0.9. Data available in spreadsheet. </t>
  </si>
  <si>
    <t>ALSO INCLUDED: WA - PSE, NJ - PSEG</t>
  </si>
  <si>
    <t>Total</t>
  </si>
  <si>
    <t>Canadian Units</t>
  </si>
  <si>
    <t>Exclude</t>
  </si>
  <si>
    <t>Year</t>
  </si>
  <si>
    <t>Utility_Final</t>
  </si>
  <si>
    <t>IQ</t>
  </si>
  <si>
    <t>Program</t>
  </si>
  <si>
    <t>Initiative</t>
  </si>
  <si>
    <t>Apex_Category</t>
  </si>
  <si>
    <t>NetSavings</t>
  </si>
  <si>
    <t>GrossSavings</t>
  </si>
  <si>
    <t>Total_Costs</t>
  </si>
  <si>
    <t>Incentive_Costs</t>
  </si>
  <si>
    <t>Revenue</t>
  </si>
  <si>
    <t>Volume</t>
  </si>
  <si>
    <t>Consumers</t>
  </si>
  <si>
    <t>Net Savings as % of Sales Volume</t>
  </si>
  <si>
    <t>Gross Savings as % of Sales Volume</t>
  </si>
  <si>
    <t>EE Spending as % of Revenue</t>
  </si>
  <si>
    <t>EE Spending per Sales Volume ($/thm)</t>
  </si>
  <si>
    <t>EE Spending per EE Savings ($/thm)</t>
  </si>
  <si>
    <t>EE Spending per EE Savings ($/thm) V2</t>
  </si>
  <si>
    <t>Notes</t>
  </si>
  <si>
    <t>test</t>
  </si>
  <si>
    <t>CA$ Total Cost</t>
  </si>
  <si>
    <t>CA$ Incentive Costs</t>
  </si>
  <si>
    <t>CA$ Total Revenue</t>
  </si>
  <si>
    <t>MJ Net Savings</t>
  </si>
  <si>
    <t>MJs Gross Savings</t>
  </si>
  <si>
    <t>MJs Volume</t>
  </si>
  <si>
    <t>Equip</t>
  </si>
  <si>
    <t>MA</t>
  </si>
  <si>
    <t>A - RES</t>
  </si>
  <si>
    <t>A1 - Residential New Buildings</t>
  </si>
  <si>
    <t>A1a - Residential New Homes &amp; Renovations</t>
  </si>
  <si>
    <t>Bus</t>
  </si>
  <si>
    <t>A2 - Residential Existing Buildings</t>
  </si>
  <si>
    <t>A2a - Residential Coordinated Delivery</t>
  </si>
  <si>
    <t>A2c - Residential Retail</t>
  </si>
  <si>
    <t>Equip-all else</t>
  </si>
  <si>
    <t>B - IQ</t>
  </si>
  <si>
    <t>B1 - Income Eligible Existing Buildings</t>
  </si>
  <si>
    <t>B1a - Income Eligible Coordinated Delivery</t>
  </si>
  <si>
    <t>C - C&amp;I</t>
  </si>
  <si>
    <t>C1 - C&amp;I New Buildings</t>
  </si>
  <si>
    <t>C1a - C&amp;I New Buildings &amp; Major Renovations</t>
  </si>
  <si>
    <t>Code</t>
  </si>
  <si>
    <t>C2 - C&amp;I Existing Buildings</t>
  </si>
  <si>
    <t>C2a - C&amp;I Existing Building Retrofit</t>
  </si>
  <si>
    <t>Other specialty</t>
  </si>
  <si>
    <t>C2b - C&amp;I New &amp; Replacement Equipment</t>
  </si>
  <si>
    <t>A2b - Residential Conservation Services (RCS)</t>
  </si>
  <si>
    <t>Overhead</t>
  </si>
  <si>
    <t>A2d - Residential Behavior</t>
  </si>
  <si>
    <t xml:space="preserve">Behave </t>
  </si>
  <si>
    <t xml:space="preserve">Cost only </t>
  </si>
  <si>
    <t>Ngrid</t>
  </si>
  <si>
    <t>A2 - Residential Existing Buildings (Furnace)</t>
  </si>
  <si>
    <t xml:space="preserve">A2c - Residential Retail (Furnace) </t>
  </si>
  <si>
    <t xml:space="preserve">Furnace </t>
  </si>
  <si>
    <t xml:space="preserve">B1 - Income Eligible Existing Buildings (Furnace) </t>
  </si>
  <si>
    <t>B1a - Income Eligible Coordinated Delivery (Furnace)</t>
  </si>
  <si>
    <t xml:space="preserve">C2 - C&amp;I Existing Buildings (Furnace) </t>
  </si>
  <si>
    <t>C2b - C&amp;I New &amp; Replacement Equipment (Furnace)</t>
  </si>
  <si>
    <t>Cost only</t>
  </si>
  <si>
    <t xml:space="preserve">B1 - Income Eligible Existing Buildings </t>
  </si>
  <si>
    <t>Ameren</t>
  </si>
  <si>
    <t>Standard</t>
  </si>
  <si>
    <t>Small Business Direct Install</t>
  </si>
  <si>
    <t>Small Business Energy Performance</t>
  </si>
  <si>
    <t>One Stop Shop for Homeless Facilities</t>
  </si>
  <si>
    <t>Midstream Lighting &amp; HVAC</t>
  </si>
  <si>
    <t>Midstream Food Service</t>
  </si>
  <si>
    <t xml:space="preserve">Custom </t>
  </si>
  <si>
    <t>Retro-Commissioning</t>
  </si>
  <si>
    <t>Streetlights</t>
  </si>
  <si>
    <t>Business Market Transformation</t>
  </si>
  <si>
    <t>Market Rate Single Family Home Efficiency</t>
  </si>
  <si>
    <t>Market Rate Single Family Midstream HVAC</t>
  </si>
  <si>
    <t>Market Rate Multifamily</t>
  </si>
  <si>
    <t>Direct Distribution Efficient Products Initiative - School Kits</t>
  </si>
  <si>
    <t>Retail Products</t>
  </si>
  <si>
    <t>Residential Market Transformation</t>
  </si>
  <si>
    <t>Public Housing</t>
  </si>
  <si>
    <t>Residential Targeted / Direct Distribution High School Innovation</t>
  </si>
  <si>
    <t>IQ CAA</t>
  </si>
  <si>
    <t>IQ Single Family</t>
  </si>
  <si>
    <t>IQ Multifamily</t>
  </si>
  <si>
    <t>IQ Retail Products</t>
  </si>
  <si>
    <t>IQ Community Kits</t>
  </si>
  <si>
    <t>IQ Smart Savers</t>
  </si>
  <si>
    <t>IQ Electrification</t>
  </si>
  <si>
    <t>IQ Manufactured Homes Weatherization and Air Sealing</t>
  </si>
  <si>
    <t>IQ Healthier Homes</t>
  </si>
  <si>
    <t>Smart Home Engagement</t>
  </si>
  <si>
    <t>Advanced Thermostats with TOU</t>
  </si>
  <si>
    <t>MI</t>
  </si>
  <si>
    <t>DTE</t>
  </si>
  <si>
    <t>ES products</t>
  </si>
  <si>
    <t>HVAC</t>
  </si>
  <si>
    <t>MF</t>
  </si>
  <si>
    <t>Home Energy Consult</t>
  </si>
  <si>
    <t>Audit and Wx</t>
  </si>
  <si>
    <t>School</t>
  </si>
  <si>
    <t>New Home</t>
  </si>
  <si>
    <t>HER</t>
  </si>
  <si>
    <t>Insights</t>
  </si>
  <si>
    <t>Emerging</t>
  </si>
  <si>
    <t>Admin</t>
  </si>
  <si>
    <t>EEA</t>
  </si>
  <si>
    <t>NF</t>
  </si>
  <si>
    <t>Prescript</t>
  </si>
  <si>
    <t>Non-prescipt</t>
  </si>
  <si>
    <t>Biz energy consult</t>
  </si>
  <si>
    <t>midstream food</t>
  </si>
  <si>
    <t>midstream hvac</t>
  </si>
  <si>
    <t>MF common</t>
  </si>
  <si>
    <t>find and fix</t>
  </si>
  <si>
    <t>small biz focus</t>
  </si>
  <si>
    <t>admin</t>
  </si>
  <si>
    <t xml:space="preserve">Building Envelope (RBE) - furnace </t>
  </si>
  <si>
    <t xml:space="preserve">Building Envelope (RBE) </t>
  </si>
  <si>
    <t>Multifamily - furnace</t>
  </si>
  <si>
    <t xml:space="preserve">Multifamily </t>
  </si>
  <si>
    <t xml:space="preserve">Schools </t>
  </si>
  <si>
    <t xml:space="preserve">Home Energy Reports </t>
  </si>
  <si>
    <t>Multifamily SEM</t>
  </si>
  <si>
    <t xml:space="preserve">Emerging </t>
  </si>
  <si>
    <t xml:space="preserve">Shared Savings </t>
  </si>
  <si>
    <t xml:space="preserve">Admin </t>
  </si>
  <si>
    <t>Education</t>
  </si>
  <si>
    <t xml:space="preserve">IQ EEA </t>
  </si>
  <si>
    <t xml:space="preserve">IQ Admin </t>
  </si>
  <si>
    <t xml:space="preserve">Prescriptive </t>
  </si>
  <si>
    <t>Non-Prescriptive</t>
  </si>
  <si>
    <t xml:space="preserve">Small Biz </t>
  </si>
  <si>
    <t xml:space="preserve">Midstream food </t>
  </si>
  <si>
    <t>Midstream hvac</t>
  </si>
  <si>
    <t>MN</t>
  </si>
  <si>
    <t>Xcel</t>
  </si>
  <si>
    <t>BEA</t>
  </si>
  <si>
    <t>https://www.xcelenergy.com/staticfiles/xe-responsive/Company/Rates%20&amp;%20Regulations/Regulatory%20Filings/MN%20fillings/2021-2023-CIP-Triennial-Plan.pdf</t>
  </si>
  <si>
    <t>BNC</t>
  </si>
  <si>
    <t>numbers don’t line up perfect w plan</t>
  </si>
  <si>
    <t>Com EE</t>
  </si>
  <si>
    <t>assessment</t>
  </si>
  <si>
    <t>compressed air</t>
  </si>
  <si>
    <t>custom</t>
  </si>
  <si>
    <t>data center</t>
  </si>
  <si>
    <t>ee controls</t>
  </si>
  <si>
    <t>EIS</t>
  </si>
  <si>
    <t>rate savings</t>
  </si>
  <si>
    <t>food service</t>
  </si>
  <si>
    <t>hvac</t>
  </si>
  <si>
    <t>lighting</t>
  </si>
  <si>
    <t>peak partners</t>
  </si>
  <si>
    <t>process ee</t>
  </si>
  <si>
    <t>AC control</t>
  </si>
  <si>
    <t>self direct</t>
  </si>
  <si>
    <t>benchmarking</t>
  </si>
  <si>
    <t>biz ed</t>
  </si>
  <si>
    <t>small biz lamp recycle</t>
  </si>
  <si>
    <t>NH</t>
  </si>
  <si>
    <t>showerheads</t>
  </si>
  <si>
    <t>ee insights</t>
  </si>
  <si>
    <t>home energy squad</t>
  </si>
  <si>
    <t>insulation</t>
  </si>
  <si>
    <t>recycling</t>
  </si>
  <si>
    <t>DR</t>
  </si>
  <si>
    <t>school kits</t>
  </si>
  <si>
    <t>whole home</t>
  </si>
  <si>
    <t>consumer eduction</t>
  </si>
  <si>
    <t>audits</t>
  </si>
  <si>
    <t>lamp recycling</t>
  </si>
  <si>
    <t>HES</t>
  </si>
  <si>
    <t>Home Energy Squad</t>
  </si>
  <si>
    <t>advert</t>
  </si>
  <si>
    <t>app develop</t>
  </si>
  <si>
    <t>CIP train</t>
  </si>
  <si>
    <t>partners</t>
  </si>
  <si>
    <t>regulatory</t>
  </si>
  <si>
    <t>C&amp;S</t>
  </si>
  <si>
    <t>market research</t>
  </si>
  <si>
    <t>prod dev</t>
  </si>
  <si>
    <t>energchanged</t>
  </si>
  <si>
    <t>energy smart</t>
  </si>
  <si>
    <t>1stop shop</t>
  </si>
  <si>
    <t>trillion btu</t>
  </si>
  <si>
    <t>assessments</t>
  </si>
  <si>
    <t>infrastructure</t>
  </si>
  <si>
    <t>HES-iQ</t>
  </si>
  <si>
    <t>Behavior</t>
  </si>
  <si>
    <t>Conscious blueprint</t>
  </si>
  <si>
    <t>energy opps</t>
  </si>
  <si>
    <t>O&amp;M, Rcx, SEM, CSP</t>
  </si>
  <si>
    <t>Res DR</t>
  </si>
  <si>
    <t>C&amp;I DR</t>
  </si>
  <si>
    <t>workforce</t>
  </si>
  <si>
    <t>community outreach</t>
  </si>
  <si>
    <t>engagement</t>
  </si>
  <si>
    <t>loan</t>
  </si>
  <si>
    <t>financing</t>
  </si>
  <si>
    <t>R&amp;D</t>
  </si>
  <si>
    <t>D - Overhead</t>
  </si>
  <si>
    <t>CNG</t>
  </si>
  <si>
    <t>Eduction</t>
  </si>
  <si>
    <t>SoCTGas</t>
  </si>
  <si>
    <t>X</t>
  </si>
  <si>
    <t>North Shore</t>
  </si>
  <si>
    <t>Outreach and Education</t>
  </si>
  <si>
    <t>Home Energy Rebate</t>
  </si>
  <si>
    <t>Single Family Home Energy Jumpstart</t>
  </si>
  <si>
    <t>Multi-Family Assessments &amp; Rebates/Grants</t>
  </si>
  <si>
    <t>Income Eligible Multi-Family</t>
  </si>
  <si>
    <t>Income Eligible Single Family</t>
  </si>
  <si>
    <t>Small/Mid-Size Business Assessments and Rebates</t>
  </si>
  <si>
    <t>Rebates Grants and Studies</t>
  </si>
  <si>
    <t>Public Sector Rebates, Grants, and Studies</t>
  </si>
  <si>
    <t>Commercial Food Service Program</t>
  </si>
  <si>
    <t>WI</t>
  </si>
  <si>
    <t>FOE</t>
  </si>
  <si>
    <t>OR</t>
  </si>
  <si>
    <t>NW Natural</t>
  </si>
  <si>
    <t>New Buildings</t>
  </si>
  <si>
    <t>Some of the programs I didn’t know how to split out by res / commercial</t>
  </si>
  <si>
    <t xml:space="preserve">https://www.energytrust.org/wp-content/uploads/2023/10/Action-plans_2024-2025.pdf </t>
  </si>
  <si>
    <t>Gas Savings = "Gas Savings Annual Goal" - not sure if net or gross</t>
  </si>
  <si>
    <t>^page 61</t>
  </si>
  <si>
    <t>Low-Income Program</t>
  </si>
  <si>
    <t>Existing Buildings w MF</t>
  </si>
  <si>
    <t>NEEA Commercial</t>
  </si>
  <si>
    <t>Industry and Agriculture</t>
  </si>
  <si>
    <t>Residential</t>
  </si>
  <si>
    <t>NEEA Residential</t>
  </si>
  <si>
    <t>Industrial DSM</t>
  </si>
  <si>
    <t>Gas Commercial &amp; Industrial Program</t>
  </si>
  <si>
    <t>Had Net values not gross</t>
  </si>
  <si>
    <t>file:///C:/Users/ChristinaCarlson/Downloads/%7B6B539BFB-53F5-4C21-BF9A-CDB7A9AAF093%7D.pdf</t>
  </si>
  <si>
    <t>Multifamily - nor res or ci</t>
  </si>
  <si>
    <t>^page 34</t>
  </si>
  <si>
    <t>Gas Non-Residential Online MarketPlace Program</t>
  </si>
  <si>
    <t>Gas Non-Residential Weatherization Program</t>
  </si>
  <si>
    <t>Gas LMI</t>
  </si>
  <si>
    <t>Gas Multifamily Program</t>
  </si>
  <si>
    <t>Gas Residential Engagement Program</t>
  </si>
  <si>
    <t>Gas Residential Online MarketPlace Program</t>
  </si>
  <si>
    <t>Gas Residential Program</t>
  </si>
  <si>
    <t>Gas Residential Comfort Plan Program</t>
  </si>
  <si>
    <t>Gas Residential Weatherization Program</t>
  </si>
  <si>
    <t>C&amp;I Gas</t>
  </si>
  <si>
    <t>Planned Savings 2024 - is this net or gross</t>
  </si>
  <si>
    <t>file:///C:/Users/ChristinaCarlson/Downloads/%7B79CA39DD-1A12-4A3F-8850-BB77457FE666%7D%20(1).pdf</t>
  </si>
  <si>
    <t>^page 41</t>
  </si>
  <si>
    <t>Commercial Kitchen Gas</t>
  </si>
  <si>
    <t>Commercial Upstream Water Heating</t>
  </si>
  <si>
    <t>Small-Medium Business Gas</t>
  </si>
  <si>
    <t>Westchester P4P Gas</t>
  </si>
  <si>
    <t>Marketplace Gas</t>
  </si>
  <si>
    <t>Pilots Gas</t>
  </si>
  <si>
    <t>Residential Gas</t>
  </si>
  <si>
    <t>Residential Weatherization</t>
  </si>
  <si>
    <t>Residential Home Energy Report</t>
  </si>
  <si>
    <t>Smart Kids Gas</t>
  </si>
  <si>
    <t>Multifamily Gas</t>
  </si>
  <si>
    <t>6.08mm</t>
  </si>
  <si>
    <t>1.79mm</t>
  </si>
  <si>
    <t>Home Renovation</t>
  </si>
  <si>
    <t>https://www.cdn.fortisbc.com/libraries/docs/default-source/about-us-documents/regulatory-affairs-documents/gas-utility/230712-fei-2024-27-dsm-expenditures-application-ff.pdf?sfvrsn=2bc0ce61_1</t>
  </si>
  <si>
    <t>1.56mm</t>
  </si>
  <si>
    <t>$ have been converted from CA$ -&gt; US$</t>
  </si>
  <si>
    <t>^ Page 63</t>
  </si>
  <si>
    <t>1.4mm</t>
  </si>
  <si>
    <t>Some programs arent Res/C&amp;I</t>
  </si>
  <si>
    <t>Savings = Yearly Incremental Gas Savings - is this net or gross?</t>
  </si>
  <si>
    <t>Residential Labour</t>
  </si>
  <si>
    <t>Residential Non-Program Specific Expenditures</t>
  </si>
  <si>
    <t>Commercial Prescriptive</t>
  </si>
  <si>
    <t>Commercial Performance</t>
  </si>
  <si>
    <t>Performance New Construction</t>
  </si>
  <si>
    <t>RAP</t>
  </si>
  <si>
    <t>Commercial Labour</t>
  </si>
  <si>
    <t>Commercial Non-Program Specific Expenditures</t>
  </si>
  <si>
    <t>Industrial Prescriptive</t>
  </si>
  <si>
    <t>Industrial Performance</t>
  </si>
  <si>
    <t>Industrial Labor</t>
  </si>
  <si>
    <t>Industrial Non Program Specific Expenditures</t>
  </si>
  <si>
    <t>Low Income Self Install</t>
  </si>
  <si>
    <t>Low Income Direct Install</t>
  </si>
  <si>
    <t>Low Income Prescriptive</t>
  </si>
  <si>
    <t>Low Income Support</t>
  </si>
  <si>
    <t>Low Income Labour</t>
  </si>
  <si>
    <t>Low Income Non Program Specific Expenditures</t>
  </si>
  <si>
    <t>Indigenous Direct Install</t>
  </si>
  <si>
    <t>Indigenous Prescriptive</t>
  </si>
  <si>
    <t>Indigenous Performance</t>
  </si>
  <si>
    <t>Indigenous Conservation Education and Outreach</t>
  </si>
  <si>
    <t>Indigenous Community Energy Specialist</t>
  </si>
  <si>
    <t>Indigenous Labour</t>
  </si>
  <si>
    <t>Indigenous Non-Program Specific Expenditures</t>
  </si>
  <si>
    <t>CEO Program Overhead</t>
  </si>
  <si>
    <t>CEO Program Customer Engagement Tool</t>
  </si>
  <si>
    <t>CEO Program Residential Education Program</t>
  </si>
  <si>
    <t>CEO Program Commercial Education Program</t>
  </si>
  <si>
    <t>CEO Program School Education Program</t>
  </si>
  <si>
    <t>CEO Program Labour</t>
  </si>
  <si>
    <t>CEO Program Non-Program Specific Expenditures</t>
  </si>
  <si>
    <t>Innovative Technologies Program Technology Screening</t>
  </si>
  <si>
    <t>Innovative Technologies Program Pilots</t>
  </si>
  <si>
    <t>Innovative Technologies Program Deep Energy Retrofits</t>
  </si>
  <si>
    <t>Innovative Technologies Program Labour</t>
  </si>
  <si>
    <t>Innovative Technologies Program Non-Program Specific Expenses</t>
  </si>
  <si>
    <t>Enabling Activities Trade Ally Network</t>
  </si>
  <si>
    <t>Enabling Activities Codes &amp; Standards</t>
  </si>
  <si>
    <t>Enabling Activities Reporting Tool &amp; Customer Application Portal</t>
  </si>
  <si>
    <t>Enabling Activities Conservation Potenital Review</t>
  </si>
  <si>
    <t>Enabling Activities Customer Research</t>
  </si>
  <si>
    <t>Enabling Activities Commercial Energy Specialist Pogram</t>
  </si>
  <si>
    <t>Enabling Activities Community Energy Specialist Program</t>
  </si>
  <si>
    <t>Enabling Activities Labour</t>
  </si>
  <si>
    <t>Legacy Incentives</t>
  </si>
  <si>
    <t>Legacy Program Labour</t>
  </si>
  <si>
    <t>PSE</t>
  </si>
  <si>
    <t>Low Income Weatherization</t>
  </si>
  <si>
    <t>https://www.utc.wa.gov/casedocket/2023/230893/docsets</t>
  </si>
  <si>
    <t>SF Space heat</t>
  </si>
  <si>
    <t>Budgets doc</t>
  </si>
  <si>
    <t>SF Water heat</t>
  </si>
  <si>
    <t>SF Home Appliances</t>
  </si>
  <si>
    <t>SF Smart Thermostats</t>
  </si>
  <si>
    <t>SF Weatherization</t>
  </si>
  <si>
    <t xml:space="preserve">SF Home Energy Reports </t>
  </si>
  <si>
    <t>SF Midstream HVAC and Water Heat</t>
  </si>
  <si>
    <t>Single Family New Construction</t>
  </si>
  <si>
    <t>Moderate Income Residences</t>
  </si>
  <si>
    <t>Multifamily Retrofit</t>
  </si>
  <si>
    <t>Multifamily New Construction</t>
  </si>
  <si>
    <t>Commercial / Industrial Retrofit</t>
  </si>
  <si>
    <t>Commercial/Industrial New Construction</t>
  </si>
  <si>
    <t>Commercial Strategic Energy Management</t>
  </si>
  <si>
    <t>Commercial Rebates</t>
  </si>
  <si>
    <t>Regional Efficiency Programs - NEEA Natural Gas Market Transformation</t>
  </si>
  <si>
    <t>Regional Efficiency Programs - Targeted DSM Pilot</t>
  </si>
  <si>
    <t>Portfolio Support</t>
  </si>
  <si>
    <t>Energy Efficiency Research and Compliance</t>
  </si>
  <si>
    <t>Demand Response Pilot</t>
  </si>
  <si>
    <t>QUESTAR</t>
  </si>
  <si>
    <t>ThermWise Home Energy Plan</t>
  </si>
  <si>
    <t>https://psc.utah.gov/2023/11/01/docket-no-23-057-17/</t>
  </si>
  <si>
    <t>ThermWise Weatherization</t>
  </si>
  <si>
    <t>Budget file</t>
  </si>
  <si>
    <t>ThermWise Builder</t>
  </si>
  <si>
    <t>ThermWise Appliances</t>
  </si>
  <si>
    <t>ThermWise Buisness</t>
  </si>
  <si>
    <t>Market Transformation</t>
  </si>
  <si>
    <t>Energy Comparison Report</t>
  </si>
  <si>
    <t>Low-Income Efficiency</t>
  </si>
  <si>
    <t>FY2026</t>
  </si>
  <si>
    <t>PSEG</t>
  </si>
  <si>
    <t>Whole Home</t>
  </si>
  <si>
    <t>https://poweringprogress.pseg.com/wp-content/uploads/2023/12/2023-12-01-PSEG-CEF-EE-II-Filing.pdf</t>
  </si>
  <si>
    <t>Income Qualified</t>
  </si>
  <si>
    <t>P189</t>
  </si>
  <si>
    <t>CE-EEP 2</t>
  </si>
  <si>
    <t>Energy Efficient Products</t>
  </si>
  <si>
    <t>Savings are Net</t>
  </si>
  <si>
    <t>Behavioral</t>
  </si>
  <si>
    <t>Noting that I think spends are across gas and electric</t>
  </si>
  <si>
    <t>Energy Solutions</t>
  </si>
  <si>
    <t>cant compare to totals bc not same programs</t>
  </si>
  <si>
    <t>Prescriptive &amp; Custom</t>
  </si>
  <si>
    <t>Noting their triennial plan went through FY2023 then had a 9 month extension and then their next plan had first 6 months of 2025, then FY2026</t>
  </si>
  <si>
    <t>Direct Install</t>
  </si>
  <si>
    <t>Multifamily</t>
  </si>
  <si>
    <t>Next Generation Savings</t>
  </si>
  <si>
    <t>Building Decarbonization</t>
  </si>
  <si>
    <t>Demand Response</t>
  </si>
  <si>
    <t>DTH</t>
  </si>
  <si>
    <t>Consumer Eduction</t>
  </si>
  <si>
    <t>Efficient New Home Construction</t>
  </si>
  <si>
    <t>Energy Efficient Showerhead</t>
  </si>
  <si>
    <t>Home Energy Audit</t>
  </si>
  <si>
    <t>Home Energy Insights</t>
  </si>
  <si>
    <t>Insulation Rebates</t>
  </si>
  <si>
    <t>Residential Heating &amp; Cooling</t>
  </si>
  <si>
    <t>School Education Kits</t>
  </si>
  <si>
    <t>Whole Home Efficiency</t>
  </si>
  <si>
    <t>FirstTracks Gas Benchmarking - MN Xcel 23-92 - 2024-2026 MN Triennial Plan 062923.pdf - All Documents (sharepoint.com)</t>
  </si>
  <si>
    <t>Business Education</t>
  </si>
  <si>
    <t>Business Energy Assessments</t>
  </si>
  <si>
    <t>Business New Construction</t>
  </si>
  <si>
    <t>Custom Efficiency</t>
  </si>
  <si>
    <t>Efficiency Controls</t>
  </si>
  <si>
    <t>Empower Facilities</t>
  </si>
  <si>
    <t>Empower Intelligence</t>
  </si>
  <si>
    <t>Foodservice Equipment</t>
  </si>
  <si>
    <t>HVAC+R</t>
  </si>
  <si>
    <t>Load Strategy Analysis</t>
  </si>
  <si>
    <t>MF Building Efficiency</t>
  </si>
  <si>
    <t>Non-Profit Energy Savings Program</t>
  </si>
  <si>
    <t>Process &amp; Commercial Efficiency</t>
  </si>
  <si>
    <t>Affordable Efficient New Home Construction</t>
  </si>
  <si>
    <t>Home Energy Savings Program</t>
  </si>
  <si>
    <t>Low Income Home Energy Squad</t>
  </si>
  <si>
    <t>Low Income MF Building Efficiency</t>
  </si>
  <si>
    <t>Workforce Development &amp; Education</t>
  </si>
  <si>
    <t>Commercial AC Control</t>
  </si>
  <si>
    <t>Advertising &amp; Promotion</t>
  </si>
  <si>
    <t>App Development &amp; Maintenance</t>
  </si>
  <si>
    <t>CIP Training</t>
  </si>
  <si>
    <t>Community Energy Reporting</t>
  </si>
  <si>
    <t>Energy Benchmarking</t>
  </si>
  <si>
    <t>Partners in Energy</t>
  </si>
  <si>
    <t xml:space="preserve"> </t>
  </si>
  <si>
    <t>Planning &amp; Regulatory Affairs</t>
  </si>
  <si>
    <t>Product Development</t>
  </si>
  <si>
    <t>Minnesota Assessments</t>
  </si>
  <si>
    <t>Minnesota Efficient Technology Accelerator</t>
  </si>
  <si>
    <t>EnerChange</t>
  </si>
  <si>
    <t>EnergySmart</t>
  </si>
  <si>
    <t>One Stop Shop</t>
  </si>
  <si>
    <t>Trillion BTU</t>
  </si>
  <si>
    <t>Midstream</t>
  </si>
  <si>
    <t>Residential Prescriptive</t>
  </si>
  <si>
    <t>MF (New Offerings)</t>
  </si>
  <si>
    <t>On-Bill Repayment</t>
  </si>
  <si>
    <t>Shell</t>
  </si>
  <si>
    <t>Site-Specific</t>
  </si>
  <si>
    <t>Pay for Performance</t>
  </si>
  <si>
    <t>Clean Buildings Accelerator</t>
  </si>
  <si>
    <t>Low-Income Programs</t>
  </si>
  <si>
    <t>NEEA Savings</t>
  </si>
  <si>
    <t>CO</t>
  </si>
  <si>
    <t>Business HVAC+R Systems</t>
  </si>
  <si>
    <t>Energy Management Systems</t>
  </si>
  <si>
    <t>New Construction</t>
  </si>
  <si>
    <t>Small Business Energy Solutions</t>
  </si>
  <si>
    <t>General Advertising-Bus</t>
  </si>
  <si>
    <t>Insulation &amp; Air Sealing</t>
  </si>
  <si>
    <t>Multifamily Buildings Efficiency</t>
  </si>
  <si>
    <t>Residential New Home Construction</t>
  </si>
  <si>
    <t>General Advertising-Res</t>
  </si>
  <si>
    <t>All-Electric Affordable New Home</t>
  </si>
  <si>
    <t>Energy Savings Kit</t>
  </si>
  <si>
    <t>Income Qualified Home Energy Squad</t>
  </si>
  <si>
    <t>Multifamily Weatherization</t>
  </si>
  <si>
    <t>Non-Profit</t>
  </si>
  <si>
    <t>Single-Family Weatherization</t>
  </si>
  <si>
    <t>Tiered Geographic Prequalification</t>
  </si>
  <si>
    <t>Business Energy Analysis</t>
  </si>
  <si>
    <t>EE Market Research</t>
  </si>
  <si>
    <t>EE EM&amp;V</t>
  </si>
  <si>
    <t>EE Planning &amp; Administration</t>
  </si>
  <si>
    <t>EE Product Development</t>
  </si>
  <si>
    <t>Other-Res</t>
  </si>
  <si>
    <t>Market Rate Single Family</t>
  </si>
  <si>
    <t>Direct Distribution Efficient Products</t>
  </si>
  <si>
    <t>Ameren-IL</t>
  </si>
  <si>
    <t>Income Qualified - CAA</t>
  </si>
  <si>
    <t>Income Qualified - Single Family</t>
  </si>
  <si>
    <t>Income Qualified - Multifamily</t>
  </si>
  <si>
    <t>Income Qualified - Retail Products</t>
  </si>
  <si>
    <t>Income Qualified - Community Kits</t>
  </si>
  <si>
    <t>Income Qualified - Smart Savers</t>
  </si>
  <si>
    <t>Income Qualified - Manufactured Homes Weatherization</t>
  </si>
  <si>
    <t>Small Business</t>
  </si>
  <si>
    <t>Streetlighting</t>
  </si>
  <si>
    <t>Breakthrough Equipment &amp; Devices</t>
  </si>
  <si>
    <t>CtPt</t>
  </si>
  <si>
    <t>Home Efficiency Rebates</t>
  </si>
  <si>
    <t>FirstTracks Gas Benchmarking - CPE 2024-2026 Triennial.pdf - All Documents (sharepoint.com)</t>
  </si>
  <si>
    <t>DIY Home Efficiency</t>
  </si>
  <si>
    <t>Home Insulation Rebates</t>
  </si>
  <si>
    <t>Home Energy Reports</t>
  </si>
  <si>
    <t>High Efficiency Home</t>
  </si>
  <si>
    <t>New Home Construction Rebates</t>
  </si>
  <si>
    <t>Energy Efficiency Kits</t>
  </si>
  <si>
    <t>Residential Code Support</t>
  </si>
  <si>
    <t>Low-Income Weatherization</t>
  </si>
  <si>
    <t>Low-Income Rental Efficiency</t>
  </si>
  <si>
    <t>Homeowner Efficiency Lift Program</t>
  </si>
  <si>
    <t>Low-Income Free Heating System</t>
  </si>
  <si>
    <t>Non-Profit Affordable Housing</t>
  </si>
  <si>
    <t>Low-Income Multi-Family Housing</t>
  </si>
  <si>
    <t>Low-Income Support and Awareness</t>
  </si>
  <si>
    <t>Commercial Foodservice Equipment</t>
  </si>
  <si>
    <t>C&amp;I Heating and Water Heating</t>
  </si>
  <si>
    <t>C&amp;I Custom Rebates</t>
  </si>
  <si>
    <t>C&amp;I Audit Services</t>
  </si>
  <si>
    <t>Energy Design Assistance</t>
  </si>
  <si>
    <t>Commercial Code Support</t>
  </si>
  <si>
    <t>C&amp;I Process Efficiency</t>
  </si>
  <si>
    <t>C&amp;I Training and Education</t>
  </si>
  <si>
    <t>Benchmarking Services</t>
  </si>
  <si>
    <t>Recommisioning Study &amp; Rebates</t>
  </si>
  <si>
    <t>Multi-Family Building Efficiency</t>
  </si>
  <si>
    <t>Analysis, Evaluation, &amp; Program Development</t>
  </si>
  <si>
    <t>Energy Efficiency Marketig &amp; Awareness</t>
  </si>
  <si>
    <t>Planning &amp; Regulatory Affaris</t>
  </si>
  <si>
    <t>EZ Pay ON-Bill Loan</t>
  </si>
  <si>
    <t>EFS Segment Home Efficiency Rebates</t>
  </si>
  <si>
    <t>EFS Segment Home Energy Squad</t>
  </si>
  <si>
    <t>EFS Segmet High Efficiecy Home</t>
  </si>
  <si>
    <t>EFS Segment Homeowner Efficiency Lift Program</t>
  </si>
  <si>
    <t>ETA</t>
  </si>
  <si>
    <t>Nicor</t>
  </si>
  <si>
    <t>A - Res</t>
  </si>
  <si>
    <t>HEER</t>
  </si>
  <si>
    <t>Outreach</t>
  </si>
  <si>
    <t>RNC</t>
  </si>
  <si>
    <t>IQ AHNC</t>
  </si>
  <si>
    <t>IQ ESK</t>
  </si>
  <si>
    <t>IQ PHA</t>
  </si>
  <si>
    <t>IQ Wx</t>
  </si>
  <si>
    <t>BEER</t>
  </si>
  <si>
    <t>SB</t>
  </si>
  <si>
    <t>Emerging Technology</t>
  </si>
  <si>
    <t>Market Development Initiative</t>
  </si>
  <si>
    <t>Program Evaluation</t>
  </si>
  <si>
    <t>Portfolio Management</t>
  </si>
  <si>
    <t>Portfolio Marketing</t>
  </si>
  <si>
    <t>Multi-Family</t>
  </si>
  <si>
    <t>Residential New Construction</t>
  </si>
  <si>
    <t>IQ Weatherization</t>
  </si>
  <si>
    <t>C&amp;I New Construction</t>
  </si>
  <si>
    <t>Business Custom</t>
  </si>
  <si>
    <t>Strategic Energy Management</t>
  </si>
  <si>
    <t>Peoples</t>
  </si>
  <si>
    <t>Home Energy Jumpstart</t>
  </si>
  <si>
    <t>Public Sector</t>
  </si>
  <si>
    <t>Small/Mid-Size Business</t>
  </si>
  <si>
    <t>Single Family</t>
  </si>
  <si>
    <t>Portfolio Market Development Initiative</t>
  </si>
  <si>
    <t>CMS</t>
  </si>
  <si>
    <t>Custom Solutions</t>
  </si>
  <si>
    <t>Energy Assessments</t>
  </si>
  <si>
    <t>Prescriptive Solutions</t>
  </si>
  <si>
    <t>Small Business Store</t>
  </si>
  <si>
    <t>Assessments and Behavior</t>
  </si>
  <si>
    <t>Contractor Rebates - Res</t>
  </si>
  <si>
    <t>New Home Construction</t>
  </si>
  <si>
    <t>Retail Rebates</t>
  </si>
  <si>
    <t>Think! Energy</t>
  </si>
  <si>
    <t>Income-Qualified Energy Assistance</t>
  </si>
  <si>
    <t>Income-Qualified Multifamily</t>
  </si>
  <si>
    <t xml:space="preserve">Contractor Rebates - Res (Furnace) </t>
  </si>
  <si>
    <t>Contractor Rebates - Bus</t>
  </si>
  <si>
    <t>Residential Pilots</t>
  </si>
  <si>
    <t>Business Pilots</t>
  </si>
  <si>
    <t>Education and Awareness</t>
  </si>
  <si>
    <t xml:space="preserve">Residential </t>
  </si>
  <si>
    <t>Single Measure</t>
  </si>
  <si>
    <t xml:space="preserve">Smart Home </t>
  </si>
  <si>
    <t xml:space="preserve">Large Commercial </t>
  </si>
  <si>
    <t xml:space="preserve">Large Custom </t>
  </si>
  <si>
    <t xml:space="preserve">Large Prescriptive </t>
  </si>
  <si>
    <t xml:space="preserve">Large Direct Install </t>
  </si>
  <si>
    <t xml:space="preserve">Large Midstream </t>
  </si>
  <si>
    <t xml:space="preserve">Small Commercial </t>
  </si>
  <si>
    <t xml:space="preserve">Small Custom </t>
  </si>
  <si>
    <t xml:space="preserve">Small Prescriptive </t>
  </si>
  <si>
    <t>Small Direct Install</t>
  </si>
  <si>
    <t xml:space="preserve">Small Midstream </t>
  </si>
  <si>
    <t xml:space="preserve">Industrial Custom </t>
  </si>
  <si>
    <t>Energy Performance- Commercial Whole Building P4P</t>
  </si>
  <si>
    <t xml:space="preserve">Large Volume </t>
  </si>
  <si>
    <t xml:space="preserve">Home Windproofing </t>
  </si>
  <si>
    <t xml:space="preserve">Affordable Housing Multi-Family </t>
  </si>
  <si>
    <t>Single Measure - Residential Air Sealing</t>
  </si>
  <si>
    <t>Single Measure - Residential Attic</t>
  </si>
  <si>
    <t>Single Measure - Residential Wall</t>
  </si>
  <si>
    <t>Single Measure - Residential Basement</t>
  </si>
  <si>
    <t>Direct Install - Air Curtain</t>
  </si>
  <si>
    <t>Direct Install - Dock Doors Seals</t>
  </si>
  <si>
    <t>Direct Install - DCKV</t>
  </si>
  <si>
    <t>Direct Install - Ozone Laundry</t>
  </si>
  <si>
    <t>Direct Install - DCV</t>
  </si>
  <si>
    <t>Direct Install - Destratification Fan</t>
  </si>
  <si>
    <t>Direct Install - ERV Improved Effectiveness</t>
  </si>
  <si>
    <t>Direct Install - ERV</t>
  </si>
  <si>
    <t>Direct Install - HRV Improved Effectiveness</t>
  </si>
  <si>
    <t>Direct Install - HRV</t>
  </si>
  <si>
    <t>Direct Install - MUA</t>
  </si>
  <si>
    <t>Prescriptive Downstream - Air Curtain</t>
  </si>
  <si>
    <t>Prescriptive Downstream - DCKV</t>
  </si>
  <si>
    <t>Prescriptive Downstream - DCV</t>
  </si>
  <si>
    <t>Prescriptive Downstream - Destratification Fan</t>
  </si>
  <si>
    <t>Prescriptive Downstream - Dock Doors Seals</t>
  </si>
  <si>
    <t>Prescriptive Downstream - ERV Improved Effectiveness</t>
  </si>
  <si>
    <t>Prescriptive Downstream - ERV</t>
  </si>
  <si>
    <t>Prescriptive Downstream - HRV Improved Effectiveness</t>
  </si>
  <si>
    <t>Prescriptive Downstream - HRV</t>
  </si>
  <si>
    <t>Prescriptive Downstream - MUA</t>
  </si>
  <si>
    <t>Prescriptive Downstream - Ozone Laundry</t>
  </si>
  <si>
    <t>FortisBC-CAN</t>
  </si>
  <si>
    <t xml:space="preserve">Home Renovation - Attic Insulation </t>
  </si>
  <si>
    <t xml:space="preserve">Home Renovation - Wall Insulation </t>
  </si>
  <si>
    <t xml:space="preserve">Home Renovation - Crawlspace and Basement Insulation </t>
  </si>
  <si>
    <t xml:space="preserve">Home Renovation - Other Insulation </t>
  </si>
  <si>
    <t xml:space="preserve">Home Renovation - Drain Water Heat Recovery </t>
  </si>
  <si>
    <t xml:space="preserve">Home Renovation - Bonus Offers </t>
  </si>
  <si>
    <t>Home Renovation - Appliance Maintenance</t>
  </si>
  <si>
    <t xml:space="preserve">Home Renovation - Air Sealing </t>
  </si>
  <si>
    <t xml:space="preserve">Home Renovation - Draft Proofing </t>
  </si>
  <si>
    <t xml:space="preserve">Home Renovation - ENERGY STAR Washer ($25) </t>
  </si>
  <si>
    <t xml:space="preserve">Home Renovation - ENERGY STAR Dryer </t>
  </si>
  <si>
    <t xml:space="preserve">Home Renovation - Showerheads and Aerators </t>
  </si>
  <si>
    <t xml:space="preserve">Home Renovation - High Performance Windows and Doors </t>
  </si>
  <si>
    <t xml:space="preserve">Home Renovation - Dual Fuel Hybrid Systems </t>
  </si>
  <si>
    <t xml:space="preserve">Home Renovation - High Efficiency Heat Recovery Ventilator </t>
  </si>
  <si>
    <t xml:space="preserve">Home Renovation - Whole Home Performance </t>
  </si>
  <si>
    <t xml:space="preserve">Home Renovation - HVAC Optimization – Contractor Rebate </t>
  </si>
  <si>
    <t xml:space="preserve">Home Renovation - Whole Home Performance Support </t>
  </si>
  <si>
    <t xml:space="preserve">Home Renovation - Space and Water Heating Controls </t>
  </si>
  <si>
    <t xml:space="preserve">New Homes - Drain Water Heat Recovery </t>
  </si>
  <si>
    <t xml:space="preserve">New Homes - Communicating Thermostat </t>
  </si>
  <si>
    <t xml:space="preserve">New Homes - ENERGY STAR Dryers </t>
  </si>
  <si>
    <t xml:space="preserve">New Homes - STEP 4 (Detached Home) – Dual Fuel Hybrid System </t>
  </si>
  <si>
    <t xml:space="preserve">New Homes - STEP 4 (Row Home) – Dual Fuel Hybrid System </t>
  </si>
  <si>
    <t xml:space="preserve">New Homes - STEP 5 (Detached Home) – Dual Fuel Hybrid System </t>
  </si>
  <si>
    <t xml:space="preserve">New Homes - STEP 5 (Row Home) – Dual Fuel Hybrid System </t>
  </si>
  <si>
    <t xml:space="preserve">Prescriptive - Condensing Boiler Plant Optimization </t>
  </si>
  <si>
    <t xml:space="preserve">Prescriptive - Domestic Hot Water System Optimization </t>
  </si>
  <si>
    <t xml:space="preserve">Prescriptive - Food Services Efficiency Measures </t>
  </si>
  <si>
    <t xml:space="preserve">Prescriptive - Low Flow Spray Valves </t>
  </si>
  <si>
    <t xml:space="preserve">Prescriptive - Vortex Deaerators </t>
  </si>
  <si>
    <t xml:space="preserve">Prescriptive - Air Curtains </t>
  </si>
  <si>
    <t xml:space="preserve">Prescriptive - Pipe and Tank Insulation </t>
  </si>
  <si>
    <t xml:space="preserve">Prescriptive - Steam Boiler Plant Optimization </t>
  </si>
  <si>
    <t xml:space="preserve">Prescriptive - Hybrid Dual Fuel RTUs </t>
  </si>
  <si>
    <t xml:space="preserve">Prescriptive - Hybrid Dual Fuel Hydronic Systems </t>
  </si>
  <si>
    <t xml:space="preserve">Prescriptive - Gas Heat Pumps </t>
  </si>
  <si>
    <t xml:space="preserve">Prescriptive - Connected Thermostats </t>
  </si>
  <si>
    <t xml:space="preserve">Prescriptive - Hydronic Additives </t>
  </si>
  <si>
    <t xml:space="preserve">Performance Existing Buildings - Studies </t>
  </si>
  <si>
    <t xml:space="preserve">Performance Existing Buildings - Capital Upgrades </t>
  </si>
  <si>
    <t xml:space="preserve">Performance Existing Buildings - Recommissioning </t>
  </si>
  <si>
    <t xml:space="preserve">Performance Existing Buildings - Commercial Energy Assessments </t>
  </si>
  <si>
    <t xml:space="preserve">Performance Existing Buildings - Commercial Strategic Energy Management (SEM) </t>
  </si>
  <si>
    <t xml:space="preserve">Performance New Construction - Step Code – Whole Building </t>
  </si>
  <si>
    <t xml:space="preserve">Performance New Construction - Non-Step Code – Whole Building </t>
  </si>
  <si>
    <t xml:space="preserve">RAP - Energy Assessments </t>
  </si>
  <si>
    <t xml:space="preserve">RAP - Implementation Support </t>
  </si>
  <si>
    <t xml:space="preserve">RAP - Recirculation Controls </t>
  </si>
  <si>
    <t xml:space="preserve">RAP - Pipe Insulation </t>
  </si>
  <si>
    <t xml:space="preserve">RAP - Door/Window Seal </t>
  </si>
  <si>
    <t xml:space="preserve">RAP - Showerheads and Aerators </t>
  </si>
  <si>
    <t xml:space="preserve">Industrial Prescriptive - Process Boiler (Hot Water and Steam) </t>
  </si>
  <si>
    <t xml:space="preserve">Industrial Prescriptive - Air Curtains </t>
  </si>
  <si>
    <t xml:space="preserve">Industrial Prescriptive - Direct Contact Water Heater </t>
  </si>
  <si>
    <t xml:space="preserve">Industrial Prescriptive - Steam Traps Survey </t>
  </si>
  <si>
    <t xml:space="preserve">Industrial Prescriptive - Steam Traps Replacement </t>
  </si>
  <si>
    <t xml:space="preserve">Industrial Prescriptive - 1” Insulation 0.5-1” HW Pipe </t>
  </si>
  <si>
    <t>Industrial Prescriptive - 1” Insulation ≥ 1” HW Pipe</t>
  </si>
  <si>
    <t>Industrial Prescriptive - 1” Insulation 0.5-1” LPS Pipe</t>
  </si>
  <si>
    <t>Industrial Prescriptive - 1” Insulation ≥ 1” LPS Pipe</t>
  </si>
  <si>
    <t>Industrial Prescriptive - 1” Insulation 0.5-1” HPS Pipe</t>
  </si>
  <si>
    <t>Industrial Prescriptive - 1” Insulation ≥ 1” HPS Pipe</t>
  </si>
  <si>
    <t>Industrial Prescriptive - Tank Insulation 1” Low Temp</t>
  </si>
  <si>
    <t xml:space="preserve">Industrial Prescriptive - Tank Insulation 1” High Temp </t>
  </si>
  <si>
    <t xml:space="preserve">Industrial Prescriptive - Tank Insulation 2” High Temp </t>
  </si>
  <si>
    <t xml:space="preserve">Industrial Prescriptive - Thermal Curtains </t>
  </si>
  <si>
    <t xml:space="preserve">Industrial Prescriptive - Single Stage Infrared Heater </t>
  </si>
  <si>
    <t xml:space="preserve">Industrial Prescriptive - Two Stage Infrared Heater </t>
  </si>
  <si>
    <t xml:space="preserve">Industrial Prescriptive - Condensing Infrared Heater </t>
  </si>
  <si>
    <t xml:space="preserve">Industrial Performance - Technology Implementation </t>
  </si>
  <si>
    <t xml:space="preserve">Industrial Performance - Feasibility Study </t>
  </si>
  <si>
    <t xml:space="preserve">Industrial Performance - Plant Wide Audit </t>
  </si>
  <si>
    <t xml:space="preserve">Industrial Performance - SEM – Individual, Large Customer </t>
  </si>
  <si>
    <t xml:space="preserve">Industrial Performance - SEM – Cohort, Medium Customers </t>
  </si>
  <si>
    <t xml:space="preserve">Low Income Self Install - Energy Savings Kit (ESK) </t>
  </si>
  <si>
    <t xml:space="preserve">Low Income Self Install - Re-Engagement Kit </t>
  </si>
  <si>
    <t>Low Income Direct Install - Energy Conservation Assistance Program (ECAP)</t>
  </si>
  <si>
    <t xml:space="preserve">Low Income Prescriptive - Residential – Communicating Thermostat </t>
  </si>
  <si>
    <t xml:space="preserve">Low Income Prescriptive - Residential – Condensing Tankless Water Heater </t>
  </si>
  <si>
    <t xml:space="preserve">Low Income Prescriptive - Residential – Condensing Storage Tank Water Heater </t>
  </si>
  <si>
    <t xml:space="preserve">Low Income Prescriptive - Residential – Bonus Offers </t>
  </si>
  <si>
    <t xml:space="preserve">Low Income Prescriptive - Residential – Attic Insulation </t>
  </si>
  <si>
    <t xml:space="preserve">Low Income Prescriptive - Residential – Wall Insulation </t>
  </si>
  <si>
    <t xml:space="preserve">Low Income Prescriptive - Residential – Ventilation </t>
  </si>
  <si>
    <t xml:space="preserve">Low Income Prescriptive - Residential – Crawlspace and Basement Insulation </t>
  </si>
  <si>
    <t xml:space="preserve">Low Income Prescriptive - Residential – Other Insulation </t>
  </si>
  <si>
    <t xml:space="preserve">Low Income Prescriptive - Residential – Appliance Maintenance </t>
  </si>
  <si>
    <t xml:space="preserve">Low Income Prescriptive - Commercial – NonProfit Bundled Measures </t>
  </si>
  <si>
    <t xml:space="preserve">Low Income Prescriptive - Commercial – Gas Heat Pumps </t>
  </si>
  <si>
    <t xml:space="preserve">Low Income Prescriptive - Residential – High Performance Windows and Doors </t>
  </si>
  <si>
    <t xml:space="preserve">Low Income Prescriptive - Residential – HVAC Optimization (Contractor Rebate) </t>
  </si>
  <si>
    <t xml:space="preserve">Low Income Prescriptive - Residential – Dual Fuel Hybrid Systems </t>
  </si>
  <si>
    <t xml:space="preserve">Low Income Prescriptive - Commercial – Condensing Boiler Heating Plant Optimization </t>
  </si>
  <si>
    <t xml:space="preserve">Low Income Prescriptive - Commercial – Domestic Water Heater System Optimization </t>
  </si>
  <si>
    <t xml:space="preserve">Low Income Prescriptive - Commercial – Dual Fuel Hybrid Systems </t>
  </si>
  <si>
    <t xml:space="preserve">Low Income Prescriptive - Commercial – Connected Thermostats  </t>
  </si>
  <si>
    <t xml:space="preserve">Indigenous Direct Install - Energy Conservation Assistance Program (ECAP) </t>
  </si>
  <si>
    <t xml:space="preserve">Indigenous Prescriptive - Residential – Communicating Thermostat </t>
  </si>
  <si>
    <t xml:space="preserve">Indigenous Prescriptive - Residential – Condensing Tankless Water Heater </t>
  </si>
  <si>
    <t xml:space="preserve">Indigenous Prescriptive - Residential – Two Upgrade Bonus </t>
  </si>
  <si>
    <t xml:space="preserve">Indigenous Prescriptive - Residential – Attic Insulation </t>
  </si>
  <si>
    <t xml:space="preserve">Indigenous Prescriptive - Residential – Wall Insulation </t>
  </si>
  <si>
    <t xml:space="preserve">Indigenous Prescriptive - Residential – Ventilation </t>
  </si>
  <si>
    <t xml:space="preserve">Indigenous Prescriptive - Residential – Crawlspace and Basement Insulation </t>
  </si>
  <si>
    <t xml:space="preserve">Indigenous Prescriptive - Residential – Other Insulation </t>
  </si>
  <si>
    <t xml:space="preserve">Indigenous Prescriptive - Residential – Appliance Maintenance </t>
  </si>
  <si>
    <t xml:space="preserve">Indigenous Prescriptive - Commercial – Gas Heat Pumps </t>
  </si>
  <si>
    <t xml:space="preserve">Indigenous Prescriptive - Energy Evaluations </t>
  </si>
  <si>
    <t xml:space="preserve">Indigenous Prescriptive - Health &amp; Safety </t>
  </si>
  <si>
    <t xml:space="preserve">Indigenous Prescriptive - Residential – High Performance Windows and Doors </t>
  </si>
  <si>
    <t xml:space="preserve">Indigenous Prescriptive - Residential – Quality Installation (Contractor Rebate) </t>
  </si>
  <si>
    <t>Indigenous Prescriptive - Deep Retrofit Lite / Whole Home</t>
  </si>
  <si>
    <t xml:space="preserve">Indigenous Prescriptive - Residential – Gas Heat Pumps </t>
  </si>
  <si>
    <t xml:space="preserve">Indigenous Prescriptive - Residential – Dual Fuel Hybrid Systems </t>
  </si>
  <si>
    <t xml:space="preserve">Indigenous Prescriptive - Commercial – Condensing Boiler Heating Plant Optimization </t>
  </si>
  <si>
    <t xml:space="preserve">Indigenous Prescriptive - Commercial – Domestic Water Heater System Optimization </t>
  </si>
  <si>
    <t xml:space="preserve">Indigenous Prescriptive - Commercial – Dual Fuel Hybrid Systems </t>
  </si>
  <si>
    <t xml:space="preserve">Indigenous Prescriptive - Commercial – Connected Thermostats </t>
  </si>
  <si>
    <t xml:space="preserve">Indigenous Performance - Bundled Residential New Home Measures </t>
  </si>
  <si>
    <t xml:space="preserve">Indigenous Performance - Commercial – Non-Profit New Construction Bonus (Part 3/9) </t>
  </si>
  <si>
    <t xml:space="preserve">Indigenous Performance - Residential – Non-Profit New Construction Bonus (Part 9) </t>
  </si>
  <si>
    <t xml:space="preserve">Indigenous Performance - Commercial SEM </t>
  </si>
  <si>
    <t xml:space="preserve">Indigenous Performance - STEP 4 (Detached Home) – Dual Fuel Hybrid Systems </t>
  </si>
  <si>
    <t xml:space="preserve">Indigenous Performance - STEP 4 (Row Home) – Dual Fuel Hybrid Systems  </t>
  </si>
  <si>
    <t xml:space="preserve">Indigenous Performance - STEP 5 (Detached Home) – Dual Fuel Hybrid Systems </t>
  </si>
  <si>
    <t xml:space="preserve">Indigenous Performance - STEP 5 (Row Home) – Dual Fuel Hybrid Systems </t>
  </si>
  <si>
    <t xml:space="preserve">Legacy Residential - Furnace (Home Renovation) </t>
  </si>
  <si>
    <t xml:space="preserve">Legacy Residential - Boiler (Home Renovation) </t>
  </si>
  <si>
    <t xml:space="preserve">Legacy Residential - EnerChoice Fireplace (Home Renovation) </t>
  </si>
  <si>
    <t xml:space="preserve">Legacy Residential - Condensing Storage Tank Water Heater (Home Renovation) </t>
  </si>
  <si>
    <t xml:space="preserve">Legacy Residential - Condensing Tankless Water Heater (Home Renovation) </t>
  </si>
  <si>
    <t xml:space="preserve">Legacy Residential - Combination System (Home Renovation) </t>
  </si>
  <si>
    <t xml:space="preserve">Legacy Residential - STEP 2 – Single Family Dwelling (New Home) </t>
  </si>
  <si>
    <t xml:space="preserve">Legacy Residential - STEP 2 – Townhome/Row Home (New Home) </t>
  </si>
  <si>
    <t xml:space="preserve">Legacy Residential - STEP 3 – Single Family Dwelling (New Home) </t>
  </si>
  <si>
    <t xml:space="preserve">Legacy Residential - STEP 3 – Townhome/Row Home (New Home) </t>
  </si>
  <si>
    <t xml:space="preserve">Legacy Residential - STEP 4 – Single Family Dwelling (New Home) </t>
  </si>
  <si>
    <t xml:space="preserve">Legacy Residential - STEP 4 – Townhome/Row Home (New Home) </t>
  </si>
  <si>
    <t xml:space="preserve">Legacy Residential - STEP 5 – Single Family Dwelling (New Home) </t>
  </si>
  <si>
    <t xml:space="preserve">Legacy Residential - STEP 5 – Townhome/Row Home (New Home) </t>
  </si>
  <si>
    <t xml:space="preserve">Legacy Residential - Condensing Storage Tank Water Heater (New Home) </t>
  </si>
  <si>
    <t xml:space="preserve">Legacy Residential - Condensing Tankless Water Heater (New Home) </t>
  </si>
  <si>
    <t xml:space="preserve">Legacy Residential - EnerChoice Fireplace (New Home) </t>
  </si>
  <si>
    <t xml:space="preserve">Legacy Residential - Combination System (New Home) </t>
  </si>
  <si>
    <t xml:space="preserve">Legacy Commercial - Condensing Volume Boiler (Prescriptive) </t>
  </si>
  <si>
    <t xml:space="preserve">Legacy Commercial - Condensing Tankless Water Heater (Prescriptive) </t>
  </si>
  <si>
    <t xml:space="preserve">Legacy Commercial - Furnace Replacement – Std. and Mid. (Prescriptive) </t>
  </si>
  <si>
    <t xml:space="preserve">Legacy Commercial - Condensing Unit Heaters (Prescriptive) </t>
  </si>
  <si>
    <t xml:space="preserve">Legacy Commercial - Condensing Make Up Air Unit (Prescriptive) </t>
  </si>
  <si>
    <t xml:space="preserve">Legacy Commercial - Studies (Retrofit) </t>
  </si>
  <si>
    <t xml:space="preserve">Legacy Commercial - Capital Upgrades (Retrofit) </t>
  </si>
  <si>
    <t xml:space="preserve">Legacy Commercial - Step Code – Whole Building (New Construction) </t>
  </si>
  <si>
    <t xml:space="preserve">Legacy Commercial - Non Step Code – Whole Building (New Construction) </t>
  </si>
  <si>
    <t xml:space="preserve">Legacy Low Income - Residential – Furnace (Prescriptive) </t>
  </si>
  <si>
    <t xml:space="preserve">Legacy Low Income - Residential – Boiler (Prescriptive) </t>
  </si>
  <si>
    <t xml:space="preserve">Legacy Low Income - Commercial – Condensing Volume Boiler (Prescriptive) </t>
  </si>
  <si>
    <t xml:space="preserve">Legacy Low Income - Commercial – Condensing Tankless Water Heater (Prescriptive) </t>
  </si>
  <si>
    <t xml:space="preserve">Legacy Low Income - Commercial – Furnace (Prescriptive) </t>
  </si>
  <si>
    <t xml:space="preserve">Legacy Low Income - Commercial – Non-Profit Bundled Measures (Prescriptive) </t>
  </si>
  <si>
    <t xml:space="preserve">Legacy Low Income - Energy Conservation Assistance Program (ECAP) (Direct Install) </t>
  </si>
  <si>
    <t xml:space="preserve">Legacy Indigenous - Furnace (Prescriptive) </t>
  </si>
  <si>
    <t xml:space="preserve">Legacy Indigenous - Boiler (Prescriptive) </t>
  </si>
  <si>
    <t xml:space="preserve">Legacy Indigenous - EnerChoice Fireplace (Prescriptive) </t>
  </si>
  <si>
    <t xml:space="preserve">Legacy Indigenous - Commercial – Non-Profit Bundled Measures (Prescriptive) </t>
  </si>
  <si>
    <t xml:space="preserve">Legacy Indigenous - Commercial – Condensing Tankless Water Heater (Prescriptive) </t>
  </si>
  <si>
    <t xml:space="preserve">Legacy Indigenous - STEP 2 – Single Family Dwelling (Performance) </t>
  </si>
  <si>
    <t xml:space="preserve">Legacy Indigenous - STEP 2 – Townhome/Row Home (Performance) </t>
  </si>
  <si>
    <t xml:space="preserve">Legacy Indigenous - STEP 3 – Single Family Dwelling (Performance) </t>
  </si>
  <si>
    <t xml:space="preserve">Legacy Indigenous - STEP 3 – Townhome/Row Home (Performance) </t>
  </si>
  <si>
    <t xml:space="preserve">Legacy Indigenous - STEP 4 – Single Family Dwelling (Performance) </t>
  </si>
  <si>
    <t xml:space="preserve">Legacy Indigenous - STEP 4 – Townhome/Row Home (Performance) </t>
  </si>
  <si>
    <t>Old Filter</t>
  </si>
  <si>
    <t>(blank)</t>
  </si>
  <si>
    <t>Sum of EE Spending as % of Revenue</t>
  </si>
  <si>
    <t>Sum of EE Spending per EE Savings ($/thm)</t>
  </si>
  <si>
    <t>Sum of EE Spending per Sales Volume ($/thm)</t>
  </si>
  <si>
    <t>Sum of Total_Costs</t>
  </si>
  <si>
    <t>Grand Total</t>
  </si>
  <si>
    <t>Ngrid-MA</t>
  </si>
  <si>
    <t>Avista-WA</t>
  </si>
  <si>
    <t>Enbridge-CAN</t>
  </si>
  <si>
    <t>Eversource-MA</t>
  </si>
  <si>
    <t>PSE-WA</t>
  </si>
  <si>
    <t>Xcel-CO</t>
  </si>
  <si>
    <t>NW Natural-OR</t>
  </si>
  <si>
    <t>CNG-CT</t>
  </si>
  <si>
    <t>Eversource-CT</t>
  </si>
  <si>
    <t>Xcel-MN</t>
  </si>
  <si>
    <t>SoCTGas-CT</t>
  </si>
  <si>
    <t>CMS-MI</t>
  </si>
  <si>
    <t>Nicor-IL</t>
  </si>
  <si>
    <t>Peoples-IL</t>
  </si>
  <si>
    <t>FOE-WI</t>
  </si>
  <si>
    <t>CtPt-MN</t>
  </si>
  <si>
    <t>DTE-MI</t>
  </si>
  <si>
    <t>North Shore-IL</t>
  </si>
  <si>
    <t>ConEd-NY</t>
  </si>
  <si>
    <t>Ngrid-NY</t>
  </si>
  <si>
    <t>QUESTAR-UT</t>
  </si>
  <si>
    <t>Sum of Field1</t>
  </si>
  <si>
    <t>Sum of NetSavings</t>
  </si>
  <si>
    <t>Sum of Net Savings as % of Sales Volume</t>
  </si>
  <si>
    <t>Sum of Gross Savings as % of Sales Volume</t>
  </si>
  <si>
    <t>Sum of EE Spending per EE Savings ($/thm) V2</t>
  </si>
  <si>
    <t>PSEG-NJ</t>
  </si>
  <si>
    <t>Sum of GrossSavings</t>
  </si>
  <si>
    <t>Included</t>
  </si>
  <si>
    <t>State Abbrev</t>
  </si>
  <si>
    <t>Area</t>
  </si>
  <si>
    <t>Company</t>
  </si>
  <si>
    <t>Full_Comp</t>
  </si>
  <si>
    <t>Item</t>
  </si>
  <si>
    <t>Transport</t>
  </si>
  <si>
    <t>Metric</t>
  </si>
  <si>
    <t>2021</t>
  </si>
  <si>
    <t>Commercial Transport Revenue</t>
  </si>
  <si>
    <t>Commercial Transport Volume</t>
  </si>
  <si>
    <t>Commercial Transport Consumers</t>
  </si>
  <si>
    <t>Industrial Transport Consumers</t>
  </si>
  <si>
    <t>Industrial Transport Revenue</t>
  </si>
  <si>
    <t>Industrial Transport Volume</t>
  </si>
  <si>
    <t>Atmos</t>
  </si>
  <si>
    <t>MD</t>
  </si>
  <si>
    <t>Maryland</t>
  </si>
  <si>
    <t>BGE</t>
  </si>
  <si>
    <t>Residential Transport Revenue</t>
  </si>
  <si>
    <t>Residential Transport Volume</t>
  </si>
  <si>
    <t>Residential Transport Consumers</t>
  </si>
  <si>
    <t>Black Hills</t>
  </si>
  <si>
    <t>Keyspan-MA</t>
  </si>
  <si>
    <t>Madison Gas</t>
  </si>
  <si>
    <t>RI</t>
  </si>
  <si>
    <t>Rhode Island</t>
  </si>
  <si>
    <t>RI Energy</t>
  </si>
  <si>
    <t>NM</t>
  </si>
  <si>
    <t>New Mexico</t>
  </si>
  <si>
    <t>NMGCo</t>
  </si>
  <si>
    <t>Northern NG</t>
  </si>
  <si>
    <t>Xcel-WI</t>
  </si>
  <si>
    <t>California</t>
  </si>
  <si>
    <t>PG&amp;E</t>
  </si>
  <si>
    <t>New Jersey</t>
  </si>
  <si>
    <t>Washington</t>
  </si>
  <si>
    <t>SDG&amp;E</t>
  </si>
  <si>
    <t>SCG</t>
  </si>
  <si>
    <t>Brooklyn Gas</t>
  </si>
  <si>
    <t>Washington Gas</t>
  </si>
  <si>
    <t>WEPCO</t>
  </si>
  <si>
    <t>WE Energy</t>
  </si>
  <si>
    <t>WPL</t>
  </si>
  <si>
    <t>WPS</t>
  </si>
  <si>
    <t>Residential Sales Revenue</t>
  </si>
  <si>
    <t>Residential Sales Consumers</t>
  </si>
  <si>
    <t>Residential Sales Volume</t>
  </si>
  <si>
    <t>Commercial Sales Volume</t>
  </si>
  <si>
    <t>Commercial Sales Revenue</t>
  </si>
  <si>
    <t>Commercial Sales Consumers</t>
  </si>
  <si>
    <t>Industrial Sales Volume</t>
  </si>
  <si>
    <t>Industrial Sales Consumers</t>
  </si>
  <si>
    <t>Industrial Sales Revenue</t>
  </si>
  <si>
    <t>Keyspan</t>
  </si>
  <si>
    <t>AVISTA</t>
  </si>
  <si>
    <t>Canada</t>
  </si>
  <si>
    <t>(All)</t>
  </si>
  <si>
    <t>(Multiple Items)</t>
  </si>
  <si>
    <t>Row Labels</t>
  </si>
  <si>
    <t>Sum of Field2</t>
  </si>
  <si>
    <t>AVISTA-WA</t>
  </si>
  <si>
    <t>Column Labels</t>
  </si>
  <si>
    <t>SCG-CA</t>
  </si>
  <si>
    <t>PG&amp;E-CA</t>
  </si>
  <si>
    <t>Brooklyn Gas-NY</t>
  </si>
  <si>
    <t>BGE-MD</t>
  </si>
  <si>
    <t>Washington Gas-MD</t>
  </si>
  <si>
    <t>NMGCo-NM</t>
  </si>
  <si>
    <t>SDG&amp;E-CA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</si>
</sst>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0.0"/>
    <numFmt numFmtId="168" formatCode="&quot;$&quot;#,##0.00"/>
    <numFmt numFmtId="169" formatCode="&quot;$&quot;#,##0.0"/>
    <numFmt numFmtId="170" formatCode="_(&quot;$&quot;* #,##0.000_);_(&quot;$&quot;* \(#,##0.000\);_(&quot;$&quot;* &quot;-&quot;??_);_(@_)"/>
    <numFmt numFmtId="171" formatCode="_(* #,##0.0000_);_(* \(#,##0.0000\);_(* &quot;-&quot;??_);_(@_)"/>
    <numFmt numFmtId="172" formatCode="_-&quot;$&quot;* #,##0.00_-;\-&quot;$&quot;* #,##0.00_-;_-&quot;$&quot;* &quot;-&quot;??_-;_-@_-"/>
    <numFmt numFmtId="173" formatCode="_-* #,##0.00_-;\-* #,##0.00_-;_-* &quot;-&quot;??_-;_-@_-"/>
    <numFmt numFmtId="174" formatCode="0.000%"/>
    <numFmt numFmtId="175" formatCode="&quot;$&quot;#,##0.0000"/>
  </numFmts>
  <fonts count="5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2"/>
      <color rgb="FFFFFFFF"/>
      <name val="MS Reference Sans Serif"/>
      <family val="2"/>
    </font>
    <font>
      <sz val="12"/>
      <color rgb="FF000000"/>
      <name val="MS Reference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0E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FF3F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DA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87E39"/>
        <bgColor indexed="64"/>
      </patternFill>
    </fill>
    <fill>
      <patternFill patternType="solid">
        <fgColor rgb="FFEAECE8"/>
        <bgColor indexed="64"/>
      </patternFill>
    </fill>
    <fill>
      <patternFill patternType="solid">
        <fgColor rgb="FFD1D8C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000000"/>
      </top>
      <bottom/>
      <diagonal/>
    </border>
  </borders>
  <cellStyleXfs count="209">
    <xf numFmtId="0" fontId="0" fillId="0" borderId="0"/>
    <xf numFmtId="43" fontId="6" fillId="0" borderId="0" applyFon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7" fillId="10" borderId="0" applyNumberFormat="0" applyBorder="0" applyAlignment="0" applyProtection="0"/>
    <xf numFmtId="0" fontId="18" fillId="27" borderId="4" applyNumberFormat="0" applyAlignment="0" applyProtection="0"/>
    <xf numFmtId="0" fontId="19" fillId="28" borderId="5" applyNumberFormat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14" borderId="4" applyNumberFormat="0" applyAlignment="0" applyProtection="0"/>
    <xf numFmtId="0" fontId="27" fillId="0" borderId="9" applyNumberFormat="0" applyFill="0" applyAlignment="0" applyProtection="0"/>
    <xf numFmtId="0" fontId="28" fillId="29" borderId="0" applyNumberFormat="0" applyBorder="0" applyAlignment="0" applyProtection="0"/>
    <xf numFmtId="0" fontId="20" fillId="0" borderId="0"/>
    <xf numFmtId="0" fontId="29" fillId="0" borderId="0"/>
    <xf numFmtId="0" fontId="6" fillId="0" borderId="0"/>
    <xf numFmtId="0" fontId="15" fillId="30" borderId="10" applyNumberFormat="0" applyFont="0" applyAlignment="0" applyProtection="0"/>
    <xf numFmtId="0" fontId="30" fillId="27" borderId="11" applyNumberFormat="0" applyAlignment="0" applyProtection="0"/>
    <xf numFmtId="9" fontId="2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18" fillId="27" borderId="4" applyNumberFormat="0" applyAlignment="0" applyProtection="0"/>
    <xf numFmtId="0" fontId="26" fillId="14" borderId="4" applyNumberFormat="0" applyAlignment="0" applyProtection="0"/>
    <xf numFmtId="43" fontId="6" fillId="0" borderId="0" applyFont="0" applyFill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34" borderId="0" applyNumberFormat="0" applyBorder="0" applyAlignment="0" applyProtection="0"/>
    <xf numFmtId="0" fontId="39" fillId="35" borderId="0" applyNumberFormat="0" applyBorder="0" applyAlignment="0" applyProtection="0"/>
    <xf numFmtId="0" fontId="40" fillId="37" borderId="21" applyNumberFormat="0" applyAlignment="0" applyProtection="0"/>
    <xf numFmtId="0" fontId="41" fillId="38" borderId="22" applyNumberFormat="0" applyAlignment="0" applyProtection="0"/>
    <xf numFmtId="0" fontId="42" fillId="38" borderId="21" applyNumberFormat="0" applyAlignment="0" applyProtection="0"/>
    <xf numFmtId="0" fontId="43" fillId="0" borderId="23" applyNumberFormat="0" applyFill="0" applyAlignment="0" applyProtection="0"/>
    <xf numFmtId="0" fontId="44" fillId="39" borderId="24" applyNumberFormat="0" applyAlignment="0" applyProtection="0"/>
    <xf numFmtId="0" fontId="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" fillId="0" borderId="26" applyNumberFormat="0" applyFill="0" applyAlignment="0" applyProtection="0"/>
    <xf numFmtId="0" fontId="4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4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4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4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4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46" fillId="61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47" fillId="0" borderId="0"/>
    <xf numFmtId="17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46" fillId="44" borderId="0" applyNumberFormat="0" applyBorder="0" applyAlignment="0" applyProtection="0"/>
    <xf numFmtId="0" fontId="46" fillId="48" borderId="0" applyNumberFormat="0" applyBorder="0" applyAlignment="0" applyProtection="0"/>
    <xf numFmtId="0" fontId="46" fillId="52" borderId="0" applyNumberFormat="0" applyBorder="0" applyAlignment="0" applyProtection="0"/>
    <xf numFmtId="0" fontId="46" fillId="56" borderId="0" applyNumberFormat="0" applyBorder="0" applyAlignment="0" applyProtection="0"/>
    <xf numFmtId="0" fontId="46" fillId="60" borderId="0" applyNumberFormat="0" applyBorder="0" applyAlignment="0" applyProtection="0"/>
    <xf numFmtId="0" fontId="46" fillId="64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0" fontId="6" fillId="40" borderId="25" applyNumberFormat="0" applyFont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20" fillId="0" borderId="0"/>
    <xf numFmtId="173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0" borderId="0"/>
  </cellStyleXfs>
  <cellXfs count="120">
    <xf numFmtId="0" fontId="0" fillId="0" borderId="0" xfId="0"/>
    <xf numFmtId="0" fontId="1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0" fontId="4" fillId="2" borderId="1" xfId="0" applyFont="1" applyFill="1" applyBorder="1"/>
    <xf numFmtId="0" fontId="0" fillId="3" borderId="0" xfId="0" applyFill="1"/>
    <xf numFmtId="165" fontId="3" fillId="0" borderId="1" xfId="0" applyNumberFormat="1" applyFont="1" applyBorder="1"/>
    <xf numFmtId="166" fontId="0" fillId="0" borderId="0" xfId="0" applyNumberFormat="1"/>
    <xf numFmtId="6" fontId="0" fillId="0" borderId="0" xfId="0" applyNumberFormat="1"/>
    <xf numFmtId="0" fontId="0" fillId="0" borderId="1" xfId="0" applyBorder="1"/>
    <xf numFmtId="3" fontId="0" fillId="0" borderId="0" xfId="0" applyNumberFormat="1"/>
    <xf numFmtId="165" fontId="0" fillId="0" borderId="0" xfId="0" applyNumberFormat="1"/>
    <xf numFmtId="0" fontId="10" fillId="5" borderId="2" xfId="2" applyFont="1" applyFill="1" applyBorder="1" applyAlignment="1">
      <alignment wrapText="1"/>
    </xf>
    <xf numFmtId="0" fontId="9" fillId="0" borderId="0" xfId="2"/>
    <xf numFmtId="167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68" fontId="0" fillId="0" borderId="0" xfId="0" applyNumberFormat="1"/>
    <xf numFmtId="169" fontId="0" fillId="0" borderId="0" xfId="0" applyNumberFormat="1"/>
    <xf numFmtId="3" fontId="3" fillId="4" borderId="1" xfId="0" applyNumberFormat="1" applyFont="1" applyFill="1" applyBorder="1"/>
    <xf numFmtId="9" fontId="0" fillId="0" borderId="1" xfId="0" applyNumberFormat="1" applyBorder="1"/>
    <xf numFmtId="9" fontId="3" fillId="0" borderId="1" xfId="0" applyNumberFormat="1" applyFont="1" applyBorder="1"/>
    <xf numFmtId="8" fontId="3" fillId="0" borderId="1" xfId="0" applyNumberFormat="1" applyFont="1" applyBorder="1"/>
    <xf numFmtId="0" fontId="4" fillId="2" borderId="0" xfId="0" applyFont="1" applyFill="1"/>
    <xf numFmtId="165" fontId="3" fillId="0" borderId="0" xfId="0" applyNumberFormat="1" applyFont="1"/>
    <xf numFmtId="3" fontId="3" fillId="6" borderId="1" xfId="0" applyNumberFormat="1" applyFont="1" applyFill="1" applyBorder="1"/>
    <xf numFmtId="0" fontId="0" fillId="7" borderId="0" xfId="0" applyFill="1"/>
    <xf numFmtId="165" fontId="3" fillId="7" borderId="0" xfId="0" applyNumberFormat="1" applyFont="1" applyFill="1"/>
    <xf numFmtId="165" fontId="11" fillId="7" borderId="0" xfId="3" applyNumberFormat="1" applyFill="1"/>
    <xf numFmtId="0" fontId="11" fillId="7" borderId="1" xfId="3" applyFill="1" applyBorder="1"/>
    <xf numFmtId="0" fontId="0" fillId="7" borderId="1" xfId="0" applyFill="1" applyBorder="1"/>
    <xf numFmtId="165" fontId="3" fillId="0" borderId="3" xfId="0" applyNumberFormat="1" applyFont="1" applyBorder="1"/>
    <xf numFmtId="0" fontId="7" fillId="7" borderId="1" xfId="0" applyFont="1" applyFill="1" applyBorder="1"/>
    <xf numFmtId="0" fontId="13" fillId="8" borderId="1" xfId="0" applyFont="1" applyFill="1" applyBorder="1" applyAlignment="1">
      <alignment horizontal="left" vertical="center" wrapText="1" readingOrder="1"/>
    </xf>
    <xf numFmtId="0" fontId="3" fillId="7" borderId="1" xfId="0" applyFont="1" applyFill="1" applyBorder="1"/>
    <xf numFmtId="3" fontId="3" fillId="7" borderId="1" xfId="0" applyNumberFormat="1" applyFont="1" applyFill="1" applyBorder="1"/>
    <xf numFmtId="165" fontId="3" fillId="7" borderId="1" xfId="0" applyNumberFormat="1" applyFont="1" applyFill="1" applyBorder="1"/>
    <xf numFmtId="164" fontId="3" fillId="0" borderId="0" xfId="1" applyNumberFormat="1" applyFont="1"/>
    <xf numFmtId="0" fontId="11" fillId="0" borderId="0" xfId="3"/>
    <xf numFmtId="0" fontId="13" fillId="8" borderId="0" xfId="0" applyFont="1" applyFill="1" applyAlignment="1">
      <alignment horizontal="left" vertical="center" wrapText="1" readingOrder="1"/>
    </xf>
    <xf numFmtId="0" fontId="3" fillId="0" borderId="3" xfId="0" applyFont="1" applyBorder="1"/>
    <xf numFmtId="3" fontId="3" fillId="0" borderId="3" xfId="0" applyNumberFormat="1" applyFont="1" applyBorder="1"/>
    <xf numFmtId="164" fontId="3" fillId="0" borderId="0" xfId="1" applyNumberFormat="1" applyFont="1" applyFill="1"/>
    <xf numFmtId="165" fontId="3" fillId="0" borderId="13" xfId="0" applyNumberFormat="1" applyFont="1" applyBorder="1"/>
    <xf numFmtId="0" fontId="0" fillId="32" borderId="0" xfId="0" applyFill="1"/>
    <xf numFmtId="170" fontId="0" fillId="0" borderId="0" xfId="0" applyNumberFormat="1"/>
    <xf numFmtId="3" fontId="3" fillId="31" borderId="1" xfId="0" applyNumberFormat="1" applyFont="1" applyFill="1" applyBorder="1"/>
    <xf numFmtId="165" fontId="3" fillId="4" borderId="1" xfId="0" applyNumberFormat="1" applyFont="1" applyFill="1" applyBorder="1"/>
    <xf numFmtId="0" fontId="8" fillId="0" borderId="0" xfId="0" applyFont="1"/>
    <xf numFmtId="0" fontId="0" fillId="3" borderId="1" xfId="0" applyFill="1" applyBorder="1"/>
    <xf numFmtId="0" fontId="8" fillId="33" borderId="1" xfId="0" applyFont="1" applyFill="1" applyBorder="1"/>
    <xf numFmtId="0" fontId="8" fillId="4" borderId="1" xfId="0" applyFont="1" applyFill="1" applyBorder="1"/>
    <xf numFmtId="166" fontId="3" fillId="0" borderId="1" xfId="0" applyNumberFormat="1" applyFont="1" applyBorder="1"/>
    <xf numFmtId="171" fontId="3" fillId="0" borderId="0" xfId="1" applyNumberFormat="1" applyFont="1"/>
    <xf numFmtId="3" fontId="3" fillId="65" borderId="1" xfId="0" applyNumberFormat="1" applyFont="1" applyFill="1" applyBorder="1"/>
    <xf numFmtId="0" fontId="3" fillId="65" borderId="1" xfId="0" applyFont="1" applyFill="1" applyBorder="1"/>
    <xf numFmtId="165" fontId="3" fillId="65" borderId="1" xfId="0" applyNumberFormat="1" applyFont="1" applyFill="1" applyBorder="1"/>
    <xf numFmtId="3" fontId="3" fillId="65" borderId="15" xfId="0" applyNumberFormat="1" applyFont="1" applyFill="1" applyBorder="1" applyAlignment="1">
      <alignment vertical="center"/>
    </xf>
    <xf numFmtId="0" fontId="20" fillId="0" borderId="16" xfId="0" applyFont="1" applyBorder="1"/>
    <xf numFmtId="0" fontId="0" fillId="66" borderId="0" xfId="0" applyFill="1"/>
    <xf numFmtId="0" fontId="3" fillId="66" borderId="1" xfId="0" applyFont="1" applyFill="1" applyBorder="1"/>
    <xf numFmtId="0" fontId="20" fillId="66" borderId="16" xfId="0" applyFont="1" applyFill="1" applyBorder="1"/>
    <xf numFmtId="3" fontId="3" fillId="66" borderId="1" xfId="0" applyNumberFormat="1" applyFont="1" applyFill="1" applyBorder="1"/>
    <xf numFmtId="165" fontId="3" fillId="66" borderId="1" xfId="0" applyNumberFormat="1" applyFont="1" applyFill="1" applyBorder="1"/>
    <xf numFmtId="9" fontId="3" fillId="66" borderId="1" xfId="0" applyNumberFormat="1" applyFont="1" applyFill="1" applyBorder="1"/>
    <xf numFmtId="8" fontId="3" fillId="66" borderId="1" xfId="0" applyNumberFormat="1" applyFont="1" applyFill="1" applyBorder="1"/>
    <xf numFmtId="164" fontId="3" fillId="0" borderId="1" xfId="1" applyNumberFormat="1" applyFont="1" applyBorder="1"/>
    <xf numFmtId="0" fontId="3" fillId="67" borderId="1" xfId="0" applyFont="1" applyFill="1" applyBorder="1"/>
    <xf numFmtId="0" fontId="1" fillId="67" borderId="1" xfId="0" applyFont="1" applyFill="1" applyBorder="1"/>
    <xf numFmtId="0" fontId="0" fillId="67" borderId="1" xfId="0" applyFill="1" applyBorder="1"/>
    <xf numFmtId="3" fontId="3" fillId="67" borderId="1" xfId="0" applyNumberFormat="1" applyFont="1" applyFill="1" applyBorder="1"/>
    <xf numFmtId="165" fontId="3" fillId="67" borderId="1" xfId="0" applyNumberFormat="1" applyFont="1" applyFill="1" applyBorder="1"/>
    <xf numFmtId="9" fontId="3" fillId="67" borderId="1" xfId="0" applyNumberFormat="1" applyFont="1" applyFill="1" applyBorder="1"/>
    <xf numFmtId="8" fontId="3" fillId="67" borderId="1" xfId="0" applyNumberFormat="1" applyFont="1" applyFill="1" applyBorder="1"/>
    <xf numFmtId="165" fontId="3" fillId="67" borderId="0" xfId="0" applyNumberFormat="1" applyFont="1" applyFill="1"/>
    <xf numFmtId="164" fontId="3" fillId="67" borderId="0" xfId="1" applyNumberFormat="1" applyFont="1" applyFill="1"/>
    <xf numFmtId="171" fontId="3" fillId="67" borderId="0" xfId="1" applyNumberFormat="1" applyFont="1" applyFill="1"/>
    <xf numFmtId="0" fontId="0" fillId="67" borderId="0" xfId="0" applyFill="1"/>
    <xf numFmtId="168" fontId="0" fillId="67" borderId="0" xfId="0" applyNumberFormat="1" applyFill="1"/>
    <xf numFmtId="0" fontId="3" fillId="68" borderId="1" xfId="0" applyFont="1" applyFill="1" applyBorder="1"/>
    <xf numFmtId="3" fontId="3" fillId="68" borderId="1" xfId="0" applyNumberFormat="1" applyFont="1" applyFill="1" applyBorder="1"/>
    <xf numFmtId="165" fontId="3" fillId="68" borderId="1" xfId="0" applyNumberFormat="1" applyFont="1" applyFill="1" applyBorder="1"/>
    <xf numFmtId="9" fontId="3" fillId="68" borderId="1" xfId="0" applyNumberFormat="1" applyFont="1" applyFill="1" applyBorder="1"/>
    <xf numFmtId="8" fontId="3" fillId="68" borderId="1" xfId="0" applyNumberFormat="1" applyFont="1" applyFill="1" applyBorder="1"/>
    <xf numFmtId="0" fontId="0" fillId="68" borderId="0" xfId="0" applyFill="1"/>
    <xf numFmtId="168" fontId="0" fillId="68" borderId="0" xfId="0" applyNumberFormat="1" applyFill="1"/>
    <xf numFmtId="164" fontId="3" fillId="0" borderId="1" xfId="1" applyNumberFormat="1" applyFont="1" applyFill="1" applyBorder="1"/>
    <xf numFmtId="171" fontId="3" fillId="0" borderId="0" xfId="1" applyNumberFormat="1" applyFont="1" applyFill="1"/>
    <xf numFmtId="0" fontId="3" fillId="0" borderId="14" xfId="0" applyFont="1" applyBorder="1"/>
    <xf numFmtId="164" fontId="0" fillId="0" borderId="1" xfId="1" applyNumberFormat="1" applyFont="1" applyBorder="1"/>
    <xf numFmtId="168" fontId="0" fillId="0" borderId="1" xfId="0" applyNumberFormat="1" applyBorder="1"/>
    <xf numFmtId="0" fontId="4" fillId="0" borderId="1" xfId="0" applyFont="1" applyBorder="1"/>
    <xf numFmtId="3" fontId="5" fillId="0" borderId="1" xfId="0" applyNumberFormat="1" applyFont="1" applyBorder="1"/>
    <xf numFmtId="165" fontId="5" fillId="0" borderId="1" xfId="0" applyNumberFormat="1" applyFont="1" applyBorder="1"/>
    <xf numFmtId="10" fontId="3" fillId="0" borderId="1" xfId="0" applyNumberFormat="1" applyFont="1" applyBorder="1"/>
    <xf numFmtId="3" fontId="3" fillId="69" borderId="1" xfId="0" applyNumberFormat="1" applyFont="1" applyFill="1" applyBorder="1"/>
    <xf numFmtId="165" fontId="3" fillId="69" borderId="1" xfId="0" applyNumberFormat="1" applyFont="1" applyFill="1" applyBorder="1"/>
    <xf numFmtId="3" fontId="0" fillId="69" borderId="0" xfId="0" applyNumberFormat="1" applyFill="1"/>
    <xf numFmtId="164" fontId="0" fillId="0" borderId="1" xfId="1" applyNumberFormat="1" applyFont="1" applyFill="1" applyBorder="1"/>
    <xf numFmtId="43" fontId="0" fillId="0" borderId="1" xfId="1" applyFont="1" applyFill="1" applyBorder="1"/>
    <xf numFmtId="171" fontId="3" fillId="0" borderId="0" xfId="1" applyNumberFormat="1" applyFont="1" applyBorder="1"/>
    <xf numFmtId="174" fontId="3" fillId="0" borderId="1" xfId="0" applyNumberFormat="1" applyFont="1" applyBorder="1"/>
    <xf numFmtId="175" fontId="3" fillId="0" borderId="1" xfId="0" applyNumberFormat="1" applyFont="1" applyBorder="1"/>
    <xf numFmtId="167" fontId="0" fillId="0" borderId="1" xfId="0" applyNumberFormat="1" applyBorder="1"/>
    <xf numFmtId="0" fontId="34" fillId="0" borderId="17" xfId="0" applyFont="1" applyBorder="1" applyAlignment="1">
      <alignment horizontal="center" vertical="center" wrapText="1" readingOrder="1"/>
    </xf>
    <xf numFmtId="0" fontId="52" fillId="70" borderId="27" xfId="0" applyFont="1" applyFill="1" applyBorder="1" applyAlignment="1">
      <alignment horizontal="center" vertical="center" wrapText="1" readingOrder="1"/>
    </xf>
    <xf numFmtId="0" fontId="12" fillId="70" borderId="27" xfId="0" applyFont="1" applyFill="1" applyBorder="1" applyAlignment="1">
      <alignment horizontal="center" vertical="center" wrapText="1" readingOrder="1"/>
    </xf>
    <xf numFmtId="0" fontId="53" fillId="71" borderId="27" xfId="0" applyFont="1" applyFill="1" applyBorder="1" applyAlignment="1">
      <alignment horizontal="left" vertical="center" wrapText="1" readingOrder="1"/>
    </xf>
    <xf numFmtId="0" fontId="14" fillId="71" borderId="27" xfId="0" applyFont="1" applyFill="1" applyBorder="1" applyAlignment="1">
      <alignment horizontal="left" vertical="center" wrapText="1" readingOrder="1"/>
    </xf>
    <xf numFmtId="0" fontId="53" fillId="72" borderId="27" xfId="0" applyFont="1" applyFill="1" applyBorder="1" applyAlignment="1">
      <alignment horizontal="left" vertical="center" wrapText="1" readingOrder="1"/>
    </xf>
    <xf numFmtId="0" fontId="14" fillId="72" borderId="27" xfId="0" applyFont="1" applyFill="1" applyBorder="1" applyAlignment="1">
      <alignment horizontal="left" vertical="center" wrapText="1" readingOrder="1"/>
    </xf>
    <xf numFmtId="0" fontId="9" fillId="0" borderId="28" xfId="2" applyBorder="1"/>
    <xf numFmtId="0" fontId="3" fillId="0" borderId="28" xfId="0" applyFont="1" applyBorder="1"/>
    <xf numFmtId="0" fontId="3" fillId="0" borderId="0" xfId="0" applyFont="1"/>
    <xf numFmtId="3" fontId="9" fillId="0" borderId="0" xfId="2" applyNumberFormat="1"/>
    <xf numFmtId="0" fontId="13" fillId="8" borderId="1" xfId="0" applyFont="1" applyFill="1" applyBorder="1" applyAlignment="1">
      <alignment horizontal="left" vertical="center" wrapText="1" readingOrder="1"/>
    </xf>
    <xf numFmtId="0" fontId="8" fillId="4" borderId="0" xfId="0" applyFont="1" applyFill="1" applyAlignment="1">
      <alignment horizontal="center"/>
    </xf>
  </cellXfs>
  <cellStyles count="209">
    <cellStyle name="20% - Accent1" xfId="69" builtinId="30" customBuiltin="1"/>
    <cellStyle name="20% - Accent1 2" xfId="4" xr:uid="{E334D923-0A83-4FFF-9190-744376E74E33}"/>
    <cellStyle name="20% - Accent1 2 2" xfId="102" xr:uid="{4F1FFABC-1E36-4F42-B046-325705D79D88}"/>
    <cellStyle name="20% - Accent1 3" xfId="116" xr:uid="{CA8BE565-A931-4B33-AD90-AE81B9CAAC82}"/>
    <cellStyle name="20% - Accent1 4" xfId="130" xr:uid="{77EBCDA3-2518-4C07-AD93-21089B3DD6E3}"/>
    <cellStyle name="20% - Accent1 5" xfId="144" xr:uid="{63C3918F-5028-48B1-BC4A-23F31D30E029}"/>
    <cellStyle name="20% - Accent1 6" xfId="158" xr:uid="{1817D4A9-5315-4AC1-A276-1597A13BCD76}"/>
    <cellStyle name="20% - Accent1 7" xfId="172" xr:uid="{52B50C70-DA5E-4BFB-BE10-53E4B3274F66}"/>
    <cellStyle name="20% - Accent1 8" xfId="186" xr:uid="{396B5388-0705-4821-9B3C-12B1ADDCA877}"/>
    <cellStyle name="20% - Accent2" xfId="72" builtinId="34" customBuiltin="1"/>
    <cellStyle name="20% - Accent2 2" xfId="5" xr:uid="{72D157E2-0E71-45F9-AC02-3CD8ADA4FA30}"/>
    <cellStyle name="20% - Accent2 2 2" xfId="104" xr:uid="{1B57C2E8-2635-470D-8283-CB8D9C63371C}"/>
    <cellStyle name="20% - Accent2 3" xfId="118" xr:uid="{EB09AB6A-AFA0-4FE4-85FB-70DD548E535F}"/>
    <cellStyle name="20% - Accent2 4" xfId="132" xr:uid="{63A11E9D-B335-4667-9108-ED2C10E5995C}"/>
    <cellStyle name="20% - Accent2 5" xfId="146" xr:uid="{E207F704-EDF4-4708-9084-3690FE70A36D}"/>
    <cellStyle name="20% - Accent2 6" xfId="160" xr:uid="{059D3120-5F81-49F4-B982-7AA240CB273F}"/>
    <cellStyle name="20% - Accent2 7" xfId="174" xr:uid="{6570FC07-1E67-4386-817C-DB7E1FC2E315}"/>
    <cellStyle name="20% - Accent2 8" xfId="188" xr:uid="{596A4CBD-995A-4C18-89F9-7D0AB6A4FBA2}"/>
    <cellStyle name="20% - Accent3" xfId="75" builtinId="38" customBuiltin="1"/>
    <cellStyle name="20% - Accent3 2" xfId="6" xr:uid="{E761190D-A41B-4463-8E07-93460AF54FFF}"/>
    <cellStyle name="20% - Accent3 2 2" xfId="106" xr:uid="{66F7379A-C22D-4967-B021-98A031A2C830}"/>
    <cellStyle name="20% - Accent3 3" xfId="120" xr:uid="{99A13C7D-D187-4D17-975C-FFE35E2B8401}"/>
    <cellStyle name="20% - Accent3 4" xfId="134" xr:uid="{2140705D-17A1-4D79-9FEF-4BBB3B7E333B}"/>
    <cellStyle name="20% - Accent3 5" xfId="148" xr:uid="{44454EC7-9CBF-450E-8904-A347E9F149AA}"/>
    <cellStyle name="20% - Accent3 6" xfId="162" xr:uid="{3FC5BCB3-BEF8-4FC1-8353-EE916AB5DDAA}"/>
    <cellStyle name="20% - Accent3 7" xfId="176" xr:uid="{9436F624-898A-4F3D-BA55-9A6516A223DB}"/>
    <cellStyle name="20% - Accent3 8" xfId="190" xr:uid="{E58B07EC-1544-4644-8FAA-31DC0EB1D2ED}"/>
    <cellStyle name="20% - Accent4" xfId="78" builtinId="42" customBuiltin="1"/>
    <cellStyle name="20% - Accent4 2" xfId="7" xr:uid="{BCE5DE2F-7547-46B8-AE9B-804F163E4F91}"/>
    <cellStyle name="20% - Accent4 2 2" xfId="108" xr:uid="{3A187291-FE24-4B1F-8F8C-63B620178211}"/>
    <cellStyle name="20% - Accent4 3" xfId="122" xr:uid="{016D5497-7052-4D17-AD82-42AF659A3EC1}"/>
    <cellStyle name="20% - Accent4 4" xfId="136" xr:uid="{8BD1FA65-736A-4C8F-AF02-16C9A28F1922}"/>
    <cellStyle name="20% - Accent4 5" xfId="150" xr:uid="{ABB94343-F73D-4056-A890-C39A2DE8AF73}"/>
    <cellStyle name="20% - Accent4 6" xfId="164" xr:uid="{58049FC1-6C1E-4677-9233-7A7EE82FCCB8}"/>
    <cellStyle name="20% - Accent4 7" xfId="178" xr:uid="{79CA5D87-6356-46D8-871E-A1639EAACAA2}"/>
    <cellStyle name="20% - Accent4 8" xfId="192" xr:uid="{BCE30B24-B4DF-454B-AB10-506642E353BB}"/>
    <cellStyle name="20% - Accent5" xfId="81" builtinId="46" customBuiltin="1"/>
    <cellStyle name="20% - Accent5 2" xfId="8" xr:uid="{DD4559B6-87C8-4D43-A8DE-FCA652F890F3}"/>
    <cellStyle name="20% - Accent5 2 2" xfId="110" xr:uid="{5885F60B-7085-4A98-BB7A-C01FB298978D}"/>
    <cellStyle name="20% - Accent5 3" xfId="124" xr:uid="{1A85EACD-B262-44AF-BE58-1709E59A6063}"/>
    <cellStyle name="20% - Accent5 4" xfId="138" xr:uid="{2C821D75-0F67-4D95-B777-3045FE1992AA}"/>
    <cellStyle name="20% - Accent5 5" xfId="152" xr:uid="{AB496EF1-78C4-4EE7-BE41-9D7DB5314E5E}"/>
    <cellStyle name="20% - Accent5 6" xfId="166" xr:uid="{770DF7AC-2A9B-4267-A75F-F35D62B4F466}"/>
    <cellStyle name="20% - Accent5 7" xfId="180" xr:uid="{7CBD8401-A74B-4D72-9407-C68AA433A150}"/>
    <cellStyle name="20% - Accent5 8" xfId="194" xr:uid="{37F85D62-8F82-4A37-AEC6-1694C3A412C0}"/>
    <cellStyle name="20% - Accent6" xfId="84" builtinId="50" customBuiltin="1"/>
    <cellStyle name="20% - Accent6 2" xfId="9" xr:uid="{008717AA-19F8-4D6C-86B7-A3CB3E70D6E5}"/>
    <cellStyle name="20% - Accent6 2 2" xfId="112" xr:uid="{176C6328-9E55-4F06-A07C-41BDBAA101FF}"/>
    <cellStyle name="20% - Accent6 3" xfId="126" xr:uid="{2AD6E2AA-C2DB-4D8E-8F0E-351B3CE325F9}"/>
    <cellStyle name="20% - Accent6 4" xfId="140" xr:uid="{DAFA2013-5F3E-429D-B2EA-129AE6AF3CC5}"/>
    <cellStyle name="20% - Accent6 5" xfId="154" xr:uid="{E0348F80-2684-4DC1-A6F9-0667C483D807}"/>
    <cellStyle name="20% - Accent6 6" xfId="168" xr:uid="{BFC91D35-D1AB-4804-9308-8A72ED27EA43}"/>
    <cellStyle name="20% - Accent6 7" xfId="182" xr:uid="{3F12D7C7-C72A-4CFD-A3A0-2FA9EF8EE288}"/>
    <cellStyle name="20% - Accent6 8" xfId="196" xr:uid="{99F19C6A-41E6-4243-9A2F-5A429B4B042D}"/>
    <cellStyle name="40% - Accent1" xfId="70" builtinId="31" customBuiltin="1"/>
    <cellStyle name="40% - Accent1 2" xfId="10" xr:uid="{05371956-91FC-45C7-85A0-3E4E8A54A7C1}"/>
    <cellStyle name="40% - Accent1 2 2" xfId="103" xr:uid="{5D584740-591C-4B6C-B161-6B5ADAAF8456}"/>
    <cellStyle name="40% - Accent1 3" xfId="117" xr:uid="{1A6FC005-E616-4A6C-9967-F28E70F06C55}"/>
    <cellStyle name="40% - Accent1 4" xfId="131" xr:uid="{F111240B-34DC-44E0-8962-A3C645E2EBDF}"/>
    <cellStyle name="40% - Accent1 5" xfId="145" xr:uid="{43D632F3-E49D-4212-A91C-0E1BA702CAE2}"/>
    <cellStyle name="40% - Accent1 6" xfId="159" xr:uid="{2F70FEEB-4F74-421B-B551-1DF459DCC805}"/>
    <cellStyle name="40% - Accent1 7" xfId="173" xr:uid="{C548A2F2-0117-484C-B8B0-40B8720FF61B}"/>
    <cellStyle name="40% - Accent1 8" xfId="187" xr:uid="{CA65F90D-B1A0-4D00-AE40-2D144CCC1081}"/>
    <cellStyle name="40% - Accent2" xfId="73" builtinId="35" customBuiltin="1"/>
    <cellStyle name="40% - Accent2 2" xfId="11" xr:uid="{993188A8-0565-4D86-928D-B651952442E6}"/>
    <cellStyle name="40% - Accent2 2 2" xfId="105" xr:uid="{642B5740-6E69-4ADB-BCD1-1D202B3231B6}"/>
    <cellStyle name="40% - Accent2 3" xfId="119" xr:uid="{AFE14962-2445-4647-ABA5-4770D3ACF051}"/>
    <cellStyle name="40% - Accent2 4" xfId="133" xr:uid="{D6260772-CEB4-41BA-8734-4C70E37A7BC6}"/>
    <cellStyle name="40% - Accent2 5" xfId="147" xr:uid="{E2E8B4D1-81AE-45E3-8963-C2802C8DBCB8}"/>
    <cellStyle name="40% - Accent2 6" xfId="161" xr:uid="{F6CAC600-CEB2-46FF-88D9-4DE8300FB2B7}"/>
    <cellStyle name="40% - Accent2 7" xfId="175" xr:uid="{A976C7E9-270D-4FE7-A2DC-655A9C061E39}"/>
    <cellStyle name="40% - Accent2 8" xfId="189" xr:uid="{066043DF-D315-49B3-92A6-F1DCBAE91B47}"/>
    <cellStyle name="40% - Accent3" xfId="76" builtinId="39" customBuiltin="1"/>
    <cellStyle name="40% - Accent3 2" xfId="12" xr:uid="{1D0AA54D-DFD1-4B76-B0F3-C781AB01C54E}"/>
    <cellStyle name="40% - Accent3 2 2" xfId="107" xr:uid="{4ED40E45-A514-4227-81CC-77F58E1CA912}"/>
    <cellStyle name="40% - Accent3 3" xfId="121" xr:uid="{21C374E4-96BA-4667-A7CD-3EF525A5679C}"/>
    <cellStyle name="40% - Accent3 4" xfId="135" xr:uid="{74E04D24-8A0A-44E9-88D6-0F30881AA86E}"/>
    <cellStyle name="40% - Accent3 5" xfId="149" xr:uid="{214CD9BC-4498-440A-8094-B9F17D16DF5C}"/>
    <cellStyle name="40% - Accent3 6" xfId="163" xr:uid="{2CB03847-F356-4611-9CE0-7521460AB6A9}"/>
    <cellStyle name="40% - Accent3 7" xfId="177" xr:uid="{8C0B7BC5-4222-42E3-AA60-71974D5DC418}"/>
    <cellStyle name="40% - Accent3 8" xfId="191" xr:uid="{D97BE2CC-1E43-4915-943A-4F7D42F0B562}"/>
    <cellStyle name="40% - Accent4" xfId="79" builtinId="43" customBuiltin="1"/>
    <cellStyle name="40% - Accent4 2" xfId="13" xr:uid="{7C6796F5-224E-4932-A3B9-295FA6506303}"/>
    <cellStyle name="40% - Accent4 2 2" xfId="109" xr:uid="{711F3BF3-B453-40B9-844C-FD1EE13267AF}"/>
    <cellStyle name="40% - Accent4 3" xfId="123" xr:uid="{0A493C4F-7B90-4B3D-A858-35D90DC79B05}"/>
    <cellStyle name="40% - Accent4 4" xfId="137" xr:uid="{764E4305-1425-4BE4-BD29-19A517D43180}"/>
    <cellStyle name="40% - Accent4 5" xfId="151" xr:uid="{2E176FED-A601-4117-8333-24F89C0A2E44}"/>
    <cellStyle name="40% - Accent4 6" xfId="165" xr:uid="{BBC61442-A8A0-4DC2-A529-C48EF0D86EF5}"/>
    <cellStyle name="40% - Accent4 7" xfId="179" xr:uid="{00CC7DCE-7DE2-482E-8891-0E5FCE8161BB}"/>
    <cellStyle name="40% - Accent4 8" xfId="193" xr:uid="{ECF1189E-6E7F-452D-8B73-BC20631F2F72}"/>
    <cellStyle name="40% - Accent5" xfId="82" builtinId="47" customBuiltin="1"/>
    <cellStyle name="40% - Accent5 2" xfId="14" xr:uid="{FB8FBDDD-E858-4DCE-821E-3B6B905EDE2B}"/>
    <cellStyle name="40% - Accent5 2 2" xfId="111" xr:uid="{55613EE0-48F5-4BBC-A22F-336848407DFE}"/>
    <cellStyle name="40% - Accent5 3" xfId="125" xr:uid="{F263D89A-B55E-43C3-BF25-0AC66B507AA7}"/>
    <cellStyle name="40% - Accent5 4" xfId="139" xr:uid="{2CA68689-EDF3-4F37-9938-9D9C5C98954D}"/>
    <cellStyle name="40% - Accent5 5" xfId="153" xr:uid="{E9F502AC-0881-41BB-8078-56132F0E7EC8}"/>
    <cellStyle name="40% - Accent5 6" xfId="167" xr:uid="{BDC2683B-77C7-453E-BCEF-012F8242521A}"/>
    <cellStyle name="40% - Accent5 7" xfId="181" xr:uid="{31DDE910-A842-4107-8041-F395386CA6B6}"/>
    <cellStyle name="40% - Accent5 8" xfId="195" xr:uid="{3BCB59D6-2912-4785-8C13-2E408700DE6F}"/>
    <cellStyle name="40% - Accent6" xfId="85" builtinId="51" customBuiltin="1"/>
    <cellStyle name="40% - Accent6 2" xfId="15" xr:uid="{8189A45E-82EE-4DAE-8419-45D5AF59A291}"/>
    <cellStyle name="40% - Accent6 2 2" xfId="113" xr:uid="{084A4AE0-30DE-448F-B787-8A7C83A4CF5F}"/>
    <cellStyle name="40% - Accent6 3" xfId="127" xr:uid="{0B0529BC-ADF4-4BC3-95F6-ECA9276E2770}"/>
    <cellStyle name="40% - Accent6 4" xfId="141" xr:uid="{F5EB2D52-50AF-423C-AABA-A21D80C6081E}"/>
    <cellStyle name="40% - Accent6 5" xfId="155" xr:uid="{C15DBFF8-6E94-47F4-B2B4-980DC39644B8}"/>
    <cellStyle name="40% - Accent6 6" xfId="169" xr:uid="{2303E778-0CAE-4BA5-8292-03186B1CAE63}"/>
    <cellStyle name="40% - Accent6 7" xfId="183" xr:uid="{9EFC91B7-E819-41F7-B4DF-C5FC0D15ECED}"/>
    <cellStyle name="40% - Accent6 8" xfId="197" xr:uid="{DE26A597-0BC4-45B9-AFB4-6E30510AC44F}"/>
    <cellStyle name="60% - Accent1 2" xfId="16" xr:uid="{6C212DBA-1375-4C83-9A53-05441A683386}"/>
    <cellStyle name="60% - Accent1 3" xfId="91" xr:uid="{B41AE510-F370-4A32-8068-1FA8025AB1C8}"/>
    <cellStyle name="60% - Accent2 2" xfId="17" xr:uid="{A3C18924-A234-42AF-860D-B419F5B0BE6A}"/>
    <cellStyle name="60% - Accent2 3" xfId="92" xr:uid="{56550B8D-726C-4117-B6FA-9FBEBDB749E6}"/>
    <cellStyle name="60% - Accent3 2" xfId="18" xr:uid="{2BD76978-EB70-459C-AE2F-1B0EBB1D5B24}"/>
    <cellStyle name="60% - Accent3 3" xfId="93" xr:uid="{A4FD942B-6B88-4E0F-9903-C40B3976DCD8}"/>
    <cellStyle name="60% - Accent4 2" xfId="19" xr:uid="{7552195C-3826-4F7C-8A6C-0A86A42C1ECF}"/>
    <cellStyle name="60% - Accent4 3" xfId="94" xr:uid="{144F3076-3C56-4B81-9404-F0229A5EBF2B}"/>
    <cellStyle name="60% - Accent5 2" xfId="20" xr:uid="{213871EF-5784-4C4D-A7D1-BD2DD44A2F13}"/>
    <cellStyle name="60% - Accent5 3" xfId="95" xr:uid="{305C3C92-B708-4AA1-AB20-E3A8E1EB132C}"/>
    <cellStyle name="60% - Accent6 2" xfId="21" xr:uid="{28765150-6F27-4BD8-9A69-034BD97D39FC}"/>
    <cellStyle name="60% - Accent6 3" xfId="96" xr:uid="{EC180FF0-A2A4-49E6-821C-F346C2421151}"/>
    <cellStyle name="Accent1" xfId="68" builtinId="29" customBuiltin="1"/>
    <cellStyle name="Accent1 2" xfId="22" xr:uid="{5323F179-19B8-4968-9BEB-A765ECC93B8A}"/>
    <cellStyle name="Accent2" xfId="71" builtinId="33" customBuiltin="1"/>
    <cellStyle name="Accent2 2" xfId="23" xr:uid="{68DC0EC3-CBB1-4983-B8AE-60A6F6C2EA14}"/>
    <cellStyle name="Accent3" xfId="74" builtinId="37" customBuiltin="1"/>
    <cellStyle name="Accent3 2" xfId="24" xr:uid="{017F7FF6-07CD-4DF8-AE37-CC8AD6E912F5}"/>
    <cellStyle name="Accent4" xfId="77" builtinId="41" customBuiltin="1"/>
    <cellStyle name="Accent4 2" xfId="25" xr:uid="{5EA91A8C-1C83-4985-BB41-CD80F1B85FC1}"/>
    <cellStyle name="Accent5" xfId="80" builtinId="45" customBuiltin="1"/>
    <cellStyle name="Accent5 2" xfId="26" xr:uid="{05462ACB-D56A-4C33-801A-A633C6A4F1A0}"/>
    <cellStyle name="Accent6" xfId="83" builtinId="49" customBuiltin="1"/>
    <cellStyle name="Accent6 2" xfId="27" xr:uid="{EDC65196-EF4C-4BB4-8839-8064CA8F68D6}"/>
    <cellStyle name="Bad" xfId="59" builtinId="27" customBuiltin="1"/>
    <cellStyle name="Bad 2" xfId="28" xr:uid="{972BB9B3-38F9-4D06-9C60-9D61515B4433}"/>
    <cellStyle name="Calculation" xfId="62" builtinId="22" customBuiltin="1"/>
    <cellStyle name="Calculation 2" xfId="29" xr:uid="{CAAD3ACB-AF59-40A5-B7BC-45E5320EC32B}"/>
    <cellStyle name="Calculation 3" xfId="51" xr:uid="{34DC7603-60D4-4EF3-A97A-676F03B1CB4C}"/>
    <cellStyle name="Check Cell" xfId="64" builtinId="23" customBuiltin="1"/>
    <cellStyle name="Check Cell 2" xfId="30" xr:uid="{CE73FBC3-B2CB-472D-989A-B131950DA0B4}"/>
    <cellStyle name="Comma" xfId="1" builtinId="3"/>
    <cellStyle name="Comma 2" xfId="31" xr:uid="{DD7229FB-BF11-4927-BFFC-F9D8FCFE0CE2}"/>
    <cellStyle name="Comma 2 2" xfId="203" xr:uid="{4B1F1E84-B730-4512-A81D-2D41061B5B51}"/>
    <cellStyle name="Comma 2 3" xfId="207" xr:uid="{3DBFB9FE-A001-4E54-B52E-A2081E1C52D7}"/>
    <cellStyle name="Comma 2 4" xfId="199" xr:uid="{B08DE0F8-BAF8-4187-B78F-95652DBDB20F}"/>
    <cellStyle name="Comma 3" xfId="205" xr:uid="{4B097A40-4F8D-4C47-B969-BD0E3549D731}"/>
    <cellStyle name="Comma 4" xfId="87" xr:uid="{6C42AE41-F64B-4A8C-9423-C2B845F895A0}"/>
    <cellStyle name="Comma 5" xfId="53" xr:uid="{85DA10C4-5C64-40D8-8700-420AD65742E8}"/>
    <cellStyle name="Currency 2" xfId="32" xr:uid="{B7253A76-E1A6-4C66-B0B8-CE4A4FE10CD3}"/>
    <cellStyle name="Currency 3" xfId="88" xr:uid="{B5841C9B-7C6D-4666-85BB-65D0D01F66B3}"/>
    <cellStyle name="Explanatory Text" xfId="66" builtinId="53" customBuiltin="1"/>
    <cellStyle name="Explanatory Text 2" xfId="33" xr:uid="{B82B9CE1-9579-4D28-B154-B39DAAF97C27}"/>
    <cellStyle name="Followed Hyperlink 2" xfId="100" xr:uid="{8D4BE64E-DC8B-4B01-8AFA-3C982F713699}"/>
    <cellStyle name="Good" xfId="58" builtinId="26" customBuiltin="1"/>
    <cellStyle name="Good 2" xfId="34" xr:uid="{EFCDC06E-4DDC-47BF-9AF2-E53F2668C2CD}"/>
    <cellStyle name="Heading 1" xfId="54" builtinId="16" customBuiltin="1"/>
    <cellStyle name="Heading 1 2" xfId="35" xr:uid="{6638BFF3-F320-42D1-ACB9-5B7A2CAEF604}"/>
    <cellStyle name="Heading 2" xfId="55" builtinId="17" customBuiltin="1"/>
    <cellStyle name="Heading 2 2" xfId="36" xr:uid="{0301CC35-0CA4-43AC-9A01-6E6BFAC10D5A}"/>
    <cellStyle name="Heading 3" xfId="56" builtinId="18" customBuiltin="1"/>
    <cellStyle name="Heading 3 2" xfId="37" xr:uid="{BEFC6AA5-25CA-4EDE-9760-406033798330}"/>
    <cellStyle name="Heading 4" xfId="57" builtinId="19" customBuiltin="1"/>
    <cellStyle name="Heading 4 2" xfId="38" xr:uid="{B8A83E93-2062-4BBB-B4D4-5643C17E73B7}"/>
    <cellStyle name="Hyperlink" xfId="3" builtinId="8"/>
    <cellStyle name="Hyperlink 2" xfId="99" xr:uid="{2A9E8B87-0719-4247-B3E8-CE671C5A59F1}"/>
    <cellStyle name="Input" xfId="60" builtinId="20" customBuiltin="1"/>
    <cellStyle name="Input 2" xfId="39" xr:uid="{6E78EE96-D1D1-454C-84ED-7F8AB8AA7224}"/>
    <cellStyle name="Input 3" xfId="52" xr:uid="{A0985FEB-9B09-4EEA-85ED-52B8C11335FC}"/>
    <cellStyle name="Linked Cell" xfId="63" builtinId="24" customBuiltin="1"/>
    <cellStyle name="Linked Cell 2" xfId="40" xr:uid="{FE054E78-6C61-40A4-A4C9-B3C83D802AF6}"/>
    <cellStyle name="Neutral 2" xfId="41" xr:uid="{F839D321-9F71-4356-A478-1574DD893435}"/>
    <cellStyle name="Neutral 3" xfId="90" xr:uid="{C9938FBE-0191-4329-BCDA-98A03353C7B8}"/>
    <cellStyle name="Normal" xfId="0" builtinId="0"/>
    <cellStyle name="Normal 10" xfId="184" xr:uid="{6A555646-2DB3-410C-932A-575677AE7316}"/>
    <cellStyle name="Normal 11" xfId="198" xr:uid="{CF406812-C637-4B78-A813-C643041EF9D3}"/>
    <cellStyle name="Normal 11 2" xfId="200" xr:uid="{74DFC8F5-41DF-48B9-A9A7-C6E39E46B8C2}"/>
    <cellStyle name="Normal 11 3" xfId="201" xr:uid="{9D757EDB-5FD7-430F-9C57-D5F8E3C5F9D8}"/>
    <cellStyle name="Normal 11 4" xfId="206" xr:uid="{FA5921CB-981B-459F-98AE-CDC62793D6B6}"/>
    <cellStyle name="Normal 12" xfId="202" xr:uid="{93457371-DBAB-4579-9127-2105F1320027}"/>
    <cellStyle name="Normal 13" xfId="204" xr:uid="{D8C09284-89B7-44FE-B122-677B190624A1}"/>
    <cellStyle name="Normal 14" xfId="208" xr:uid="{6F89C651-4193-4C6C-8833-F91D3C969A49}"/>
    <cellStyle name="Normal 15" xfId="86" xr:uid="{14C497DE-EBFB-4922-ACDA-BF565A71C899}"/>
    <cellStyle name="Normal 2" xfId="2" xr:uid="{015DD274-56AB-41AB-83B8-30F4FCFA2D88}"/>
    <cellStyle name="Normal 2 2" xfId="42" xr:uid="{AF304345-AD4A-42FD-9DE1-2FFDD89A018B}"/>
    <cellStyle name="Normal 3" xfId="43" xr:uid="{B4AD5A04-6ECA-4247-BBF8-81971944CCDC}"/>
    <cellStyle name="Normal 3 2" xfId="97" xr:uid="{BD0E6434-D938-4E62-9CF0-18A29E12CFC3}"/>
    <cellStyle name="Normal 4" xfId="44" xr:uid="{BA7B5B9E-ECC0-4E73-92B4-1C9A4A7A281D}"/>
    <cellStyle name="Normal 5" xfId="114" xr:uid="{6570B7B1-EF4E-4725-89E1-DF426E6AADD5}"/>
    <cellStyle name="Normal 6" xfId="128" xr:uid="{03D1B262-B6EE-48CB-B0EF-BF1BE8E622E9}"/>
    <cellStyle name="Normal 7" xfId="142" xr:uid="{125BEE58-F239-4624-A224-EEEBAFE777FD}"/>
    <cellStyle name="Normal 8" xfId="156" xr:uid="{F5DCF7B9-E1BE-4996-A189-3CE81E4C52F1}"/>
    <cellStyle name="Normal 9" xfId="170" xr:uid="{A3849B13-B081-407F-93F8-994486CED2EC}"/>
    <cellStyle name="Note 2" xfId="45" xr:uid="{33300E6D-6E12-48A4-AB86-BA8F67FC4B42}"/>
    <cellStyle name="Note 2 2" xfId="98" xr:uid="{264116A7-5D22-4B64-83B7-87018D49C380}"/>
    <cellStyle name="Note 3" xfId="101" xr:uid="{900ED36B-C443-48AF-9DA7-BE07B9524ECA}"/>
    <cellStyle name="Note 4" xfId="115" xr:uid="{21004108-3E96-4474-9FA8-1B4F5D1F2C01}"/>
    <cellStyle name="Note 5" xfId="129" xr:uid="{B3F7336B-5DBF-48BC-BF0E-DF608DF4671B}"/>
    <cellStyle name="Note 6" xfId="143" xr:uid="{50DEBB41-E350-41F6-B004-45E0656F4A24}"/>
    <cellStyle name="Note 7" xfId="157" xr:uid="{2CAAA8DE-FEB2-461F-A38D-7461C9479DE4}"/>
    <cellStyle name="Note 8" xfId="171" xr:uid="{718E5617-FBBA-493F-979E-EC3D419940FC}"/>
    <cellStyle name="Note 9" xfId="185" xr:uid="{8A077674-FA6A-4448-ADE4-17AB278DA394}"/>
    <cellStyle name="Output" xfId="61" builtinId="21" customBuiltin="1"/>
    <cellStyle name="Output 2" xfId="46" xr:uid="{B5927C99-931D-4A40-B26B-FE3BB489434C}"/>
    <cellStyle name="Percent 2" xfId="47" xr:uid="{7B087B12-FEB1-42AC-B504-BE93F5204B40}"/>
    <cellStyle name="Title 2" xfId="48" xr:uid="{DBCF696D-E3D4-47EA-BD00-59AA2860DD05}"/>
    <cellStyle name="Title 3" xfId="89" xr:uid="{72DA2481-C989-4CDC-B9FB-683B9A27E0E6}"/>
    <cellStyle name="Total" xfId="67" builtinId="25" customBuiltin="1"/>
    <cellStyle name="Total 2" xfId="49" xr:uid="{B1FD96DC-CA7D-4188-8257-4F239C5CE844}"/>
    <cellStyle name="Warning Text" xfId="65" builtinId="11" customBuiltin="1"/>
    <cellStyle name="Warning Text 2" xfId="50" xr:uid="{6E3C1C64-FB27-470A-BFF9-8BC26B9FF413}"/>
  </cellStyles>
  <dxfs count="35">
    <dxf>
      <numFmt numFmtId="13" formatCode="0%"/>
    </dxf>
    <dxf>
      <numFmt numFmtId="14" formatCode="0.0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0.0"/>
    </dxf>
    <dxf>
      <numFmt numFmtId="165" formatCode="&quot;$&quot;#,##0"/>
    </dxf>
    <dxf>
      <numFmt numFmtId="169" formatCode="&quot;$&quot;#,##0.0"/>
    </dxf>
    <dxf>
      <numFmt numFmtId="169" formatCode="&quot;$&quot;#,##0.0"/>
    </dxf>
    <dxf>
      <numFmt numFmtId="3" formatCode="#,##0"/>
    </dxf>
    <dxf>
      <numFmt numFmtId="3" formatCode="#,##0"/>
    </dxf>
    <dxf>
      <numFmt numFmtId="165" formatCode="&quot;$&quot;#,##0"/>
    </dxf>
    <dxf>
      <numFmt numFmtId="13" formatCode="0%"/>
    </dxf>
    <dxf>
      <numFmt numFmtId="165" formatCode="&quot;$&quot;#,##0"/>
    </dxf>
    <dxf>
      <numFmt numFmtId="165" formatCode="&quot;$&quot;#,##0"/>
    </dxf>
    <dxf>
      <numFmt numFmtId="3" formatCode="#,##0"/>
    </dxf>
    <dxf>
      <numFmt numFmtId="168" formatCode="&quot;$&quot;#,##0.00"/>
    </dxf>
    <dxf>
      <numFmt numFmtId="166" formatCode="0.0%"/>
    </dxf>
    <dxf>
      <numFmt numFmtId="3" formatCode="#,##0"/>
    </dxf>
    <dxf>
      <numFmt numFmtId="3" formatCode="#,##0"/>
    </dxf>
    <dxf>
      <numFmt numFmtId="170" formatCode="_(&quot;$&quot;* #,##0.000_);_(&quot;$&quot;* \(#,##0.000\);_(&quot;$&quot;* &quot;-&quot;??_);_(@_)"/>
    </dxf>
    <dxf>
      <numFmt numFmtId="165" formatCode="&quot;$&quot;#,##0"/>
    </dxf>
    <dxf>
      <numFmt numFmtId="166" formatCode="0.0%"/>
    </dxf>
    <dxf>
      <numFmt numFmtId="166" formatCode="0.0%"/>
    </dxf>
    <dxf>
      <numFmt numFmtId="168" formatCode="&quot;$&quot;#,##0.00"/>
    </dxf>
    <dxf>
      <numFmt numFmtId="3" formatCode="#,##0"/>
    </dxf>
    <dxf>
      <numFmt numFmtId="166" formatCode="0.0%"/>
    </dxf>
    <dxf>
      <numFmt numFmtId="3" formatCode="#,##0"/>
    </dxf>
    <dxf>
      <numFmt numFmtId="168" formatCode="&quot;$&quot;#,##0.00"/>
    </dxf>
    <dxf>
      <numFmt numFmtId="13" formatCode="0%"/>
    </dxf>
  </dxfs>
  <tableStyles count="1" defaultTableStyle="TableStyleMedium2" defaultPivotStyle="PivotStyleLight16">
    <tableStyle name="Invisible" pivot="0" table="0" count="0" xr9:uid="{963CED37-591F-4012-A220-0710101384B8}"/>
  </tableStyles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Excel.xlsx]Pivot_Charts!PivotTable4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Pivot_Charts!$B$5:$B$6</c:f>
              <c:strCache>
                <c:ptCount val="1"/>
                <c:pt idx="0">
                  <c:v>A - 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Pivot_Charts!$A$7:$A$29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NW Natural-OR</c:v>
                </c:pt>
                <c:pt idx="4">
                  <c:v>Xcel-MN</c:v>
                </c:pt>
                <c:pt idx="5">
                  <c:v>Avista-WA</c:v>
                </c:pt>
                <c:pt idx="6">
                  <c:v>CMS-MI</c:v>
                </c:pt>
                <c:pt idx="7">
                  <c:v>CNG-CT</c:v>
                </c:pt>
                <c:pt idx="8">
                  <c:v>FOE-WI</c:v>
                </c:pt>
                <c:pt idx="9">
                  <c:v>CtPt-MN</c:v>
                </c:pt>
                <c:pt idx="10">
                  <c:v>Eversource-CT</c:v>
                </c:pt>
                <c:pt idx="11">
                  <c:v>DTE-MI</c:v>
                </c:pt>
                <c:pt idx="12">
                  <c:v>SoCTGas-CT</c:v>
                </c:pt>
                <c:pt idx="13">
                  <c:v>Enbridge-CAN</c:v>
                </c:pt>
                <c:pt idx="14">
                  <c:v>QUESTAR-UT</c:v>
                </c:pt>
                <c:pt idx="15">
                  <c:v>PSE-WA</c:v>
                </c:pt>
                <c:pt idx="16">
                  <c:v>Ngrid-NY</c:v>
                </c:pt>
                <c:pt idx="17">
                  <c:v>Nicor-IL</c:v>
                </c:pt>
                <c:pt idx="18">
                  <c:v>ConEd-NY</c:v>
                </c:pt>
                <c:pt idx="19">
                  <c:v>North Shore-IL</c:v>
                </c:pt>
                <c:pt idx="20">
                  <c:v>Xcel-CO</c:v>
                </c:pt>
                <c:pt idx="21">
                  <c:v>Peoples-IL</c:v>
                </c:pt>
                <c:pt idx="22">
                  <c:v>Ameren-IL</c:v>
                </c:pt>
              </c:strCache>
            </c:strRef>
          </c:cat>
          <c:val>
            <c:numRef>
              <c:f>Pivot_Charts!$B$7:$B$29</c:f>
              <c:numCache>
                <c:formatCode>0%</c:formatCode>
                <c:ptCount val="23"/>
                <c:pt idx="0">
                  <c:v>0.11231937200506813</c:v>
                </c:pt>
                <c:pt idx="1">
                  <c:v>9.6008685004693464E-2</c:v>
                </c:pt>
                <c:pt idx="2">
                  <c:v>1.7167641780857532E-2</c:v>
                </c:pt>
                <c:pt idx="3">
                  <c:v>3.8924200428686592E-2</c:v>
                </c:pt>
                <c:pt idx="4">
                  <c:v>2.5348849782068073E-2</c:v>
                </c:pt>
                <c:pt idx="5">
                  <c:v>2.9511702163517839E-2</c:v>
                </c:pt>
                <c:pt idx="6">
                  <c:v>1.2789611956587774E-2</c:v>
                </c:pt>
                <c:pt idx="7">
                  <c:v>1.387383394578679E-2</c:v>
                </c:pt>
                <c:pt idx="8">
                  <c:v>1.7710529001234918E-2</c:v>
                </c:pt>
                <c:pt idx="9">
                  <c:v>2.365775953849375E-2</c:v>
                </c:pt>
                <c:pt idx="10">
                  <c:v>1.1683584411084687E-2</c:v>
                </c:pt>
                <c:pt idx="11">
                  <c:v>1.4024469434133314E-2</c:v>
                </c:pt>
                <c:pt idx="12">
                  <c:v>1.4538880294216251E-2</c:v>
                </c:pt>
                <c:pt idx="13">
                  <c:v>1.6625522426811104E-2</c:v>
                </c:pt>
                <c:pt idx="14">
                  <c:v>2.4951261382359338E-2</c:v>
                </c:pt>
                <c:pt idx="15">
                  <c:v>1.8629591693345795E-2</c:v>
                </c:pt>
                <c:pt idx="16">
                  <c:v>1.28283498595909E-2</c:v>
                </c:pt>
                <c:pt idx="17">
                  <c:v>5.4521973210495097E-3</c:v>
                </c:pt>
                <c:pt idx="18">
                  <c:v>1.0779035962732853E-2</c:v>
                </c:pt>
                <c:pt idx="19">
                  <c:v>4.2170482832864422E-3</c:v>
                </c:pt>
                <c:pt idx="20">
                  <c:v>8.567147347222628E-3</c:v>
                </c:pt>
                <c:pt idx="21">
                  <c:v>2.8149924715789648E-3</c:v>
                </c:pt>
                <c:pt idx="22">
                  <c:v>2.2424419948565751E-3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0-4FCC-8964-139B93C4C818}"/>
            </c:ext>
          </c:extLst>
        </c:ser>
        <c:ser>
          <c:idx val="1"/>
          <c:order val="1"/>
          <c:tx>
            <c:strRef>
              <c:f>Pivot_Charts!$C$5:$C$6</c:f>
              <c:strCache>
                <c:ptCount val="1"/>
                <c:pt idx="0">
                  <c:v>B - IQ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Pivot_Charts!$A$7:$A$29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NW Natural-OR</c:v>
                </c:pt>
                <c:pt idx="4">
                  <c:v>Xcel-MN</c:v>
                </c:pt>
                <c:pt idx="5">
                  <c:v>Avista-WA</c:v>
                </c:pt>
                <c:pt idx="6">
                  <c:v>CMS-MI</c:v>
                </c:pt>
                <c:pt idx="7">
                  <c:v>CNG-CT</c:v>
                </c:pt>
                <c:pt idx="8">
                  <c:v>FOE-WI</c:v>
                </c:pt>
                <c:pt idx="9">
                  <c:v>CtPt-MN</c:v>
                </c:pt>
                <c:pt idx="10">
                  <c:v>Eversource-CT</c:v>
                </c:pt>
                <c:pt idx="11">
                  <c:v>DTE-MI</c:v>
                </c:pt>
                <c:pt idx="12">
                  <c:v>SoCTGas-CT</c:v>
                </c:pt>
                <c:pt idx="13">
                  <c:v>Enbridge-CAN</c:v>
                </c:pt>
                <c:pt idx="14">
                  <c:v>QUESTAR-UT</c:v>
                </c:pt>
                <c:pt idx="15">
                  <c:v>PSE-WA</c:v>
                </c:pt>
                <c:pt idx="16">
                  <c:v>Ngrid-NY</c:v>
                </c:pt>
                <c:pt idx="17">
                  <c:v>Nicor-IL</c:v>
                </c:pt>
                <c:pt idx="18">
                  <c:v>ConEd-NY</c:v>
                </c:pt>
                <c:pt idx="19">
                  <c:v>North Shore-IL</c:v>
                </c:pt>
                <c:pt idx="20">
                  <c:v>Xcel-CO</c:v>
                </c:pt>
                <c:pt idx="21">
                  <c:v>Peoples-IL</c:v>
                </c:pt>
                <c:pt idx="22">
                  <c:v>Ameren-IL</c:v>
                </c:pt>
              </c:strCache>
            </c:strRef>
          </c:cat>
          <c:val>
            <c:numRef>
              <c:f>Pivot_Charts!$C$7:$C$29</c:f>
              <c:numCache>
                <c:formatCode>0%</c:formatCode>
                <c:ptCount val="23"/>
                <c:pt idx="0">
                  <c:v>5.8157256882570195E-2</c:v>
                </c:pt>
                <c:pt idx="1">
                  <c:v>4.0472980115883024E-2</c:v>
                </c:pt>
                <c:pt idx="2">
                  <c:v>4.9494892830790485E-3</c:v>
                </c:pt>
                <c:pt idx="3">
                  <c:v>2.5819556192405993E-4</c:v>
                </c:pt>
                <c:pt idx="4">
                  <c:v>7.9704609310465684E-3</c:v>
                </c:pt>
                <c:pt idx="5">
                  <c:v>5.6240874448609786E-3</c:v>
                </c:pt>
                <c:pt idx="6">
                  <c:v>1.5940258394020305E-2</c:v>
                </c:pt>
                <c:pt idx="7">
                  <c:v>1.1062966124611636E-2</c:v>
                </c:pt>
                <c:pt idx="9">
                  <c:v>7.4007394511676431E-3</c:v>
                </c:pt>
                <c:pt idx="10">
                  <c:v>8.6212171511405537E-3</c:v>
                </c:pt>
                <c:pt idx="11">
                  <c:v>1.5081939824008732E-2</c:v>
                </c:pt>
                <c:pt idx="12">
                  <c:v>8.9269799738682602E-3</c:v>
                </c:pt>
                <c:pt idx="13">
                  <c:v>4.9642822693164793E-3</c:v>
                </c:pt>
                <c:pt idx="14">
                  <c:v>8.5340400889490141E-4</c:v>
                </c:pt>
                <c:pt idx="15">
                  <c:v>1.5720628576352492E-3</c:v>
                </c:pt>
                <c:pt idx="16">
                  <c:v>3.5761555739429796E-3</c:v>
                </c:pt>
                <c:pt idx="17">
                  <c:v>5.9173956565072329E-3</c:v>
                </c:pt>
                <c:pt idx="18">
                  <c:v>2.0594457571404215E-4</c:v>
                </c:pt>
                <c:pt idx="19">
                  <c:v>3.5605900933869759E-3</c:v>
                </c:pt>
                <c:pt idx="20">
                  <c:v>6.5689926474556569E-3</c:v>
                </c:pt>
                <c:pt idx="21">
                  <c:v>8.2638790091647783E-3</c:v>
                </c:pt>
                <c:pt idx="22">
                  <c:v>8.0628040355912103E-3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0-4FCC-8964-139B93C4C818}"/>
            </c:ext>
          </c:extLst>
        </c:ser>
        <c:ser>
          <c:idx val="2"/>
          <c:order val="2"/>
          <c:tx>
            <c:strRef>
              <c:f>Pivot_Charts!$D$5:$D$6</c:f>
              <c:strCache>
                <c:ptCount val="1"/>
                <c:pt idx="0">
                  <c:v>C - C&amp;I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Pivot_Charts!$A$7:$A$29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NW Natural-OR</c:v>
                </c:pt>
                <c:pt idx="4">
                  <c:v>Xcel-MN</c:v>
                </c:pt>
                <c:pt idx="5">
                  <c:v>Avista-WA</c:v>
                </c:pt>
                <c:pt idx="6">
                  <c:v>CMS-MI</c:v>
                </c:pt>
                <c:pt idx="7">
                  <c:v>CNG-CT</c:v>
                </c:pt>
                <c:pt idx="8">
                  <c:v>FOE-WI</c:v>
                </c:pt>
                <c:pt idx="9">
                  <c:v>CtPt-MN</c:v>
                </c:pt>
                <c:pt idx="10">
                  <c:v>Eversource-CT</c:v>
                </c:pt>
                <c:pt idx="11">
                  <c:v>DTE-MI</c:v>
                </c:pt>
                <c:pt idx="12">
                  <c:v>SoCTGas-CT</c:v>
                </c:pt>
                <c:pt idx="13">
                  <c:v>Enbridge-CAN</c:v>
                </c:pt>
                <c:pt idx="14">
                  <c:v>QUESTAR-UT</c:v>
                </c:pt>
                <c:pt idx="15">
                  <c:v>PSE-WA</c:v>
                </c:pt>
                <c:pt idx="16">
                  <c:v>Ngrid-NY</c:v>
                </c:pt>
                <c:pt idx="17">
                  <c:v>Nicor-IL</c:v>
                </c:pt>
                <c:pt idx="18">
                  <c:v>ConEd-NY</c:v>
                </c:pt>
                <c:pt idx="19">
                  <c:v>North Shore-IL</c:v>
                </c:pt>
                <c:pt idx="20">
                  <c:v>Xcel-CO</c:v>
                </c:pt>
                <c:pt idx="21">
                  <c:v>Peoples-IL</c:v>
                </c:pt>
                <c:pt idx="22">
                  <c:v>Ameren-IL</c:v>
                </c:pt>
              </c:strCache>
            </c:strRef>
          </c:cat>
          <c:val>
            <c:numRef>
              <c:f>Pivot_Charts!$D$7:$D$29</c:f>
              <c:numCache>
                <c:formatCode>0%</c:formatCode>
                <c:ptCount val="23"/>
                <c:pt idx="0">
                  <c:v>5.615816285944962E-2</c:v>
                </c:pt>
                <c:pt idx="1">
                  <c:v>5.4010592266985687E-2</c:v>
                </c:pt>
                <c:pt idx="2">
                  <c:v>2.6275726078920581E-2</c:v>
                </c:pt>
                <c:pt idx="3">
                  <c:v>2.1141911709987728E-2</c:v>
                </c:pt>
                <c:pt idx="4">
                  <c:v>1.3131320294626207E-2</c:v>
                </c:pt>
                <c:pt idx="5">
                  <c:v>1.6921924005675541E-2</c:v>
                </c:pt>
                <c:pt idx="6">
                  <c:v>1.1699981819438784E-2</c:v>
                </c:pt>
                <c:pt idx="7">
                  <c:v>1.1602236049260913E-2</c:v>
                </c:pt>
                <c:pt idx="8">
                  <c:v>2.3108924146775057E-2</c:v>
                </c:pt>
                <c:pt idx="9">
                  <c:v>9.7450568938188143E-3</c:v>
                </c:pt>
                <c:pt idx="10">
                  <c:v>1.591173198777629E-2</c:v>
                </c:pt>
                <c:pt idx="11">
                  <c:v>9.8221047724969309E-3</c:v>
                </c:pt>
                <c:pt idx="12">
                  <c:v>9.4845434402562965E-3</c:v>
                </c:pt>
                <c:pt idx="13">
                  <c:v>8.9891081209471958E-3</c:v>
                </c:pt>
                <c:pt idx="14">
                  <c:v>3.0220409273438143E-3</c:v>
                </c:pt>
                <c:pt idx="15">
                  <c:v>7.409177146569022E-3</c:v>
                </c:pt>
                <c:pt idx="16">
                  <c:v>6.6093455570152742E-3</c:v>
                </c:pt>
                <c:pt idx="17">
                  <c:v>5.0165859638743237E-3</c:v>
                </c:pt>
                <c:pt idx="18">
                  <c:v>8.6852803748068644E-3</c:v>
                </c:pt>
                <c:pt idx="19">
                  <c:v>6.9357103072843736E-3</c:v>
                </c:pt>
                <c:pt idx="20">
                  <c:v>1.5390255800686809E-3</c:v>
                </c:pt>
                <c:pt idx="21">
                  <c:v>4.673488156181245E-3</c:v>
                </c:pt>
                <c:pt idx="22">
                  <c:v>5.1957600235726939E-3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50-4FCC-8964-139B93C4C818}"/>
            </c:ext>
          </c:extLst>
        </c:ser>
        <c:ser>
          <c:idx val="3"/>
          <c:order val="3"/>
          <c:tx>
            <c:strRef>
              <c:f>Pivot_Charts!$E$5:$E$6</c:f>
              <c:strCache>
                <c:ptCount val="1"/>
                <c:pt idx="0">
                  <c:v>D - Overhead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Pivot_Charts!$A$7:$A$29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NW Natural-OR</c:v>
                </c:pt>
                <c:pt idx="4">
                  <c:v>Xcel-MN</c:v>
                </c:pt>
                <c:pt idx="5">
                  <c:v>Avista-WA</c:v>
                </c:pt>
                <c:pt idx="6">
                  <c:v>CMS-MI</c:v>
                </c:pt>
                <c:pt idx="7">
                  <c:v>CNG-CT</c:v>
                </c:pt>
                <c:pt idx="8">
                  <c:v>FOE-WI</c:v>
                </c:pt>
                <c:pt idx="9">
                  <c:v>CtPt-MN</c:v>
                </c:pt>
                <c:pt idx="10">
                  <c:v>Eversource-CT</c:v>
                </c:pt>
                <c:pt idx="11">
                  <c:v>DTE-MI</c:v>
                </c:pt>
                <c:pt idx="12">
                  <c:v>SoCTGas-CT</c:v>
                </c:pt>
                <c:pt idx="13">
                  <c:v>Enbridge-CAN</c:v>
                </c:pt>
                <c:pt idx="14">
                  <c:v>QUESTAR-UT</c:v>
                </c:pt>
                <c:pt idx="15">
                  <c:v>PSE-WA</c:v>
                </c:pt>
                <c:pt idx="16">
                  <c:v>Ngrid-NY</c:v>
                </c:pt>
                <c:pt idx="17">
                  <c:v>Nicor-IL</c:v>
                </c:pt>
                <c:pt idx="18">
                  <c:v>ConEd-NY</c:v>
                </c:pt>
                <c:pt idx="19">
                  <c:v>North Shore-IL</c:v>
                </c:pt>
                <c:pt idx="20">
                  <c:v>Xcel-CO</c:v>
                </c:pt>
                <c:pt idx="21">
                  <c:v>Peoples-IL</c:v>
                </c:pt>
                <c:pt idx="22">
                  <c:v>Ameren-IL</c:v>
                </c:pt>
              </c:strCache>
            </c:strRef>
          </c:cat>
          <c:val>
            <c:numRef>
              <c:f>Pivot_Charts!$E$7:$E$29</c:f>
              <c:numCache>
                <c:formatCode>0%</c:formatCode>
                <c:ptCount val="23"/>
                <c:pt idx="2">
                  <c:v>3.0881469979296066E-2</c:v>
                </c:pt>
                <c:pt idx="4">
                  <c:v>8.383213430562959E-3</c:v>
                </c:pt>
                <c:pt idx="6">
                  <c:v>3.0579282680809963E-3</c:v>
                </c:pt>
                <c:pt idx="7">
                  <c:v>5.7257942785863538E-3</c:v>
                </c:pt>
                <c:pt idx="9">
                  <c:v>0</c:v>
                </c:pt>
                <c:pt idx="10">
                  <c:v>4.2287584426548711E-3</c:v>
                </c:pt>
                <c:pt idx="12">
                  <c:v>5.5953178069245678E-3</c:v>
                </c:pt>
                <c:pt idx="13">
                  <c:v>4.2364990116381942E-3</c:v>
                </c:pt>
                <c:pt idx="17">
                  <c:v>4.4175634497232831E-3</c:v>
                </c:pt>
                <c:pt idx="19">
                  <c:v>3.4448192323426122E-3</c:v>
                </c:pt>
                <c:pt idx="20">
                  <c:v>1.0545925542290047E-3</c:v>
                </c:pt>
                <c:pt idx="21">
                  <c:v>4.6583942931864222E-4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50-4FCC-8964-139B93C4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5119727"/>
        <c:axId val="513382048"/>
      </c:barChart>
      <c:catAx>
        <c:axId val="1055119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382048"/>
        <c:crosses val="autoZero"/>
        <c:auto val="1"/>
        <c:lblAlgn val="ctr"/>
        <c:lblOffset val="100"/>
        <c:noMultiLvlLbl val="0"/>
      </c:catAx>
      <c:valAx>
        <c:axId val="5133820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EE Spending as % of Revenue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5119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Excel.xlsx]Pivot_Charts!PivotTable23</c:name>
    <c:fmtId val="1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Pivot_Charts!$L$106:$L$107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Pivot_Charts!$K$108:$K$130</c:f>
              <c:strCache>
                <c:ptCount val="23"/>
                <c:pt idx="0">
                  <c:v>Ngrid-MA</c:v>
                </c:pt>
                <c:pt idx="1">
                  <c:v>Xcel-MN</c:v>
                </c:pt>
                <c:pt idx="2">
                  <c:v>Eversource-MA</c:v>
                </c:pt>
                <c:pt idx="3">
                  <c:v>Eversource-CT</c:v>
                </c:pt>
                <c:pt idx="4">
                  <c:v>CtPt-MN</c:v>
                </c:pt>
                <c:pt idx="5">
                  <c:v>Enbridge-CAN</c:v>
                </c:pt>
                <c:pt idx="6">
                  <c:v>CMS-MI</c:v>
                </c:pt>
                <c:pt idx="7">
                  <c:v>DTE-MI</c:v>
                </c:pt>
                <c:pt idx="8">
                  <c:v>Xcel-CO</c:v>
                </c:pt>
                <c:pt idx="9">
                  <c:v>QUESTAR-UT</c:v>
                </c:pt>
                <c:pt idx="10">
                  <c:v>ConEd-NY</c:v>
                </c:pt>
                <c:pt idx="11">
                  <c:v>FortisBC-CAN</c:v>
                </c:pt>
                <c:pt idx="12">
                  <c:v>Peoples-IL</c:v>
                </c:pt>
                <c:pt idx="13">
                  <c:v>NW Natural-OR</c:v>
                </c:pt>
                <c:pt idx="14">
                  <c:v>Ngrid-NY</c:v>
                </c:pt>
                <c:pt idx="15">
                  <c:v>North Shore-IL</c:v>
                </c:pt>
                <c:pt idx="16">
                  <c:v>CNG-CT</c:v>
                </c:pt>
                <c:pt idx="17">
                  <c:v>SoCTGas-CT</c:v>
                </c:pt>
                <c:pt idx="18">
                  <c:v>Avista-WA</c:v>
                </c:pt>
                <c:pt idx="19">
                  <c:v>Nicor-IL</c:v>
                </c:pt>
                <c:pt idx="20">
                  <c:v>FOE-WI</c:v>
                </c:pt>
                <c:pt idx="21">
                  <c:v>PSE-WA</c:v>
                </c:pt>
                <c:pt idx="22">
                  <c:v>Ameren-IL</c:v>
                </c:pt>
              </c:strCache>
            </c:strRef>
          </c:cat>
          <c:val>
            <c:numRef>
              <c:f>Pivot_Charts!$L$108:$L$130</c:f>
              <c:numCache>
                <c:formatCode>0.0%</c:formatCode>
                <c:ptCount val="23"/>
                <c:pt idx="0">
                  <c:v>1.4872800948609266E-2</c:v>
                </c:pt>
                <c:pt idx="1">
                  <c:v>1.4591436500029104E-2</c:v>
                </c:pt>
                <c:pt idx="2">
                  <c:v>1.3499761567991733E-2</c:v>
                </c:pt>
                <c:pt idx="3">
                  <c:v>1.2621935179913325E-2</c:v>
                </c:pt>
                <c:pt idx="4">
                  <c:v>1.1344940968000152E-2</c:v>
                </c:pt>
                <c:pt idx="5">
                  <c:v>1.0188249054774206E-2</c:v>
                </c:pt>
                <c:pt idx="6">
                  <c:v>9.530626509665149E-3</c:v>
                </c:pt>
                <c:pt idx="7">
                  <c:v>8.5281411819983447E-3</c:v>
                </c:pt>
                <c:pt idx="8">
                  <c:v>6.5979439424978473E-3</c:v>
                </c:pt>
                <c:pt idx="9">
                  <c:v>6.5025616073969708E-3</c:v>
                </c:pt>
                <c:pt idx="10">
                  <c:v>5.796124190722762E-3</c:v>
                </c:pt>
                <c:pt idx="11">
                  <c:v>5.5238173600805785E-3</c:v>
                </c:pt>
                <c:pt idx="12">
                  <c:v>5.508375575354372E-3</c:v>
                </c:pt>
                <c:pt idx="13">
                  <c:v>5.3394487432221142E-3</c:v>
                </c:pt>
                <c:pt idx="14">
                  <c:v>5.2908662572328565E-3</c:v>
                </c:pt>
                <c:pt idx="15">
                  <c:v>4.8470009517265229E-3</c:v>
                </c:pt>
                <c:pt idx="16">
                  <c:v>4.3669633310342102E-3</c:v>
                </c:pt>
                <c:pt idx="17">
                  <c:v>4.2625729741383629E-3</c:v>
                </c:pt>
                <c:pt idx="18">
                  <c:v>3.6242994145140304E-3</c:v>
                </c:pt>
                <c:pt idx="19">
                  <c:v>3.4611499872827032E-3</c:v>
                </c:pt>
                <c:pt idx="20">
                  <c:v>3.331250496639385E-3</c:v>
                </c:pt>
                <c:pt idx="21">
                  <c:v>2.9532609929707764E-3</c:v>
                </c:pt>
                <c:pt idx="22">
                  <c:v>2.4957866720888753E-3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A-4872-9861-01417815F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93347519"/>
        <c:axId val="671240928"/>
      </c:barChart>
      <c:catAx>
        <c:axId val="209334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240928"/>
        <c:crosses val="autoZero"/>
        <c:auto val="1"/>
        <c:lblAlgn val="ctr"/>
        <c:lblOffset val="100"/>
        <c:noMultiLvlLbl val="0"/>
      </c:catAx>
      <c:valAx>
        <c:axId val="671240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 dirty="0">
                    <a:solidFill>
                      <a:prstClr val="black">
                        <a:lumMod val="65000"/>
                        <a:lumOff val="35000"/>
                      </a:prstClr>
                    </a:solidFill>
                  </a:rPr>
                  <a:t>Gross Gas Savings % of Gas 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347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Excel.xlsx]Pivot_Charts!PivotTable11</c:name>
    <c:fmtId val="1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Pivot_Charts!$B$106:$B$107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Pivot_Charts!$A$108:$A$130</c:f>
              <c:strCache>
                <c:ptCount val="23"/>
                <c:pt idx="0">
                  <c:v>Xcel-MN</c:v>
                </c:pt>
                <c:pt idx="1">
                  <c:v>Ngrid-MA</c:v>
                </c:pt>
                <c:pt idx="2">
                  <c:v>Eversource-MA</c:v>
                </c:pt>
                <c:pt idx="3">
                  <c:v>Eversource-CT</c:v>
                </c:pt>
                <c:pt idx="4">
                  <c:v>CtPt-MN</c:v>
                </c:pt>
                <c:pt idx="5">
                  <c:v>CMS-MI</c:v>
                </c:pt>
                <c:pt idx="6">
                  <c:v>DTE-MI</c:v>
                </c:pt>
                <c:pt idx="7">
                  <c:v>ConEd-NY</c:v>
                </c:pt>
                <c:pt idx="8">
                  <c:v>QUESTAR-UT</c:v>
                </c:pt>
                <c:pt idx="9">
                  <c:v>NW Natural-OR</c:v>
                </c:pt>
                <c:pt idx="10">
                  <c:v>Ngrid-NY</c:v>
                </c:pt>
                <c:pt idx="11">
                  <c:v>FortisBC-CAN</c:v>
                </c:pt>
                <c:pt idx="12">
                  <c:v>Peoples-IL</c:v>
                </c:pt>
                <c:pt idx="13">
                  <c:v>Enbridge-CAN</c:v>
                </c:pt>
                <c:pt idx="14">
                  <c:v>North Shore-IL</c:v>
                </c:pt>
                <c:pt idx="15">
                  <c:v>Xcel-CO</c:v>
                </c:pt>
                <c:pt idx="16">
                  <c:v>CNG-CT</c:v>
                </c:pt>
                <c:pt idx="17">
                  <c:v>SoCTGas-CT</c:v>
                </c:pt>
                <c:pt idx="18">
                  <c:v>Avista-WA</c:v>
                </c:pt>
                <c:pt idx="19">
                  <c:v>FOE-WI</c:v>
                </c:pt>
                <c:pt idx="20">
                  <c:v>Nicor-IL</c:v>
                </c:pt>
                <c:pt idx="21">
                  <c:v>PSE-WA</c:v>
                </c:pt>
                <c:pt idx="22">
                  <c:v>Ameren-IL</c:v>
                </c:pt>
              </c:strCache>
            </c:strRef>
          </c:cat>
          <c:val>
            <c:numRef>
              <c:f>Pivot_Charts!$B$108:$B$130</c:f>
              <c:numCache>
                <c:formatCode>0.0%</c:formatCode>
                <c:ptCount val="23"/>
                <c:pt idx="0">
                  <c:v>1.4591436500029104E-2</c:v>
                </c:pt>
                <c:pt idx="1">
                  <c:v>1.328987236073912E-2</c:v>
                </c:pt>
                <c:pt idx="2">
                  <c:v>1.2000731920243656E-2</c:v>
                </c:pt>
                <c:pt idx="3">
                  <c:v>1.1359741661921996E-2</c:v>
                </c:pt>
                <c:pt idx="4">
                  <c:v>1.1344940968000152E-2</c:v>
                </c:pt>
                <c:pt idx="5">
                  <c:v>8.8435422869094192E-3</c:v>
                </c:pt>
                <c:pt idx="6">
                  <c:v>7.845890052842459E-3</c:v>
                </c:pt>
                <c:pt idx="7">
                  <c:v>6.3228098945982162E-3</c:v>
                </c:pt>
                <c:pt idx="8">
                  <c:v>5.852305446657274E-3</c:v>
                </c:pt>
                <c:pt idx="9">
                  <c:v>5.3394487432221142E-3</c:v>
                </c:pt>
                <c:pt idx="10">
                  <c:v>4.9967897473517254E-3</c:v>
                </c:pt>
                <c:pt idx="11">
                  <c:v>4.9714356240725243E-3</c:v>
                </c:pt>
                <c:pt idx="12">
                  <c:v>4.9575380178189356E-3</c:v>
                </c:pt>
                <c:pt idx="13">
                  <c:v>4.4492795246320353E-3</c:v>
                </c:pt>
                <c:pt idx="14">
                  <c:v>4.3623008565538716E-3</c:v>
                </c:pt>
                <c:pt idx="15">
                  <c:v>4.2556738429111122E-3</c:v>
                </c:pt>
                <c:pt idx="16">
                  <c:v>3.9302669979307901E-3</c:v>
                </c:pt>
                <c:pt idx="17">
                  <c:v>3.8363156767245265E-3</c:v>
                </c:pt>
                <c:pt idx="18">
                  <c:v>3.6242994145140304E-3</c:v>
                </c:pt>
                <c:pt idx="19">
                  <c:v>3.331250496639385E-3</c:v>
                </c:pt>
                <c:pt idx="20">
                  <c:v>3.0762860371195905E-3</c:v>
                </c:pt>
                <c:pt idx="21">
                  <c:v>2.9532609929707764E-3</c:v>
                </c:pt>
                <c:pt idx="22">
                  <c:v>2.2462080048799874E-3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0-4B8F-BDE0-DB315073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43987599"/>
        <c:axId val="1698148688"/>
      </c:barChart>
      <c:catAx>
        <c:axId val="443987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148688"/>
        <c:crosses val="autoZero"/>
        <c:auto val="1"/>
        <c:lblAlgn val="ctr"/>
        <c:lblOffset val="100"/>
        <c:noMultiLvlLbl val="0"/>
      </c:catAx>
      <c:valAx>
        <c:axId val="1698148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 dirty="0">
                    <a:solidFill>
                      <a:prstClr val="black">
                        <a:lumMod val="65000"/>
                        <a:lumOff val="35000"/>
                      </a:prstClr>
                    </a:solidFill>
                  </a:rPr>
                  <a:t>Net Gas Savings % of Gas 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987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Excel.xlsx]Pivot_Charts!PivotTable24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Pivot_Charts!$C$263:$C$264</c:f>
              <c:strCache>
                <c:ptCount val="1"/>
                <c:pt idx="0">
                  <c:v>Behave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Pivot_Charts!$C$265:$C$276</c:f>
              <c:numCache>
                <c:formatCode>#,##0</c:formatCode>
                <c:ptCount val="12"/>
                <c:pt idx="3">
                  <c:v>639821.55377374135</c:v>
                </c:pt>
                <c:pt idx="4">
                  <c:v>416644.44444444444</c:v>
                </c:pt>
                <c:pt idx="6">
                  <c:v>520952</c:v>
                </c:pt>
                <c:pt idx="7">
                  <c:v>4086995</c:v>
                </c:pt>
                <c:pt idx="8">
                  <c:v>2508321.0641018404</c:v>
                </c:pt>
                <c:pt idx="9">
                  <c:v>2288197.4347826084</c:v>
                </c:pt>
                <c:pt idx="10">
                  <c:v>1014810</c:v>
                </c:pt>
                <c:pt idx="11">
                  <c:v>635980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2-493D-9FCF-796841871F34}"/>
            </c:ext>
          </c:extLst>
        </c:ser>
        <c:ser>
          <c:idx val="1"/>
          <c:order val="1"/>
          <c:tx>
            <c:strRef>
              <c:f>Pivot_Charts!$D$263:$D$264</c:f>
              <c:strCache>
                <c:ptCount val="1"/>
                <c:pt idx="0">
                  <c:v>Kits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Pivot_Charts!$D$265:$D$276</c:f>
              <c:numCache>
                <c:formatCode>#,##0</c:formatCode>
                <c:ptCount val="12"/>
                <c:pt idx="2">
                  <c:v>57735.555555555555</c:v>
                </c:pt>
                <c:pt idx="3">
                  <c:v>685102.67852556193</c:v>
                </c:pt>
                <c:pt idx="4">
                  <c:v>24871.111111111109</c:v>
                </c:pt>
                <c:pt idx="5">
                  <c:v>14726.666666666666</c:v>
                </c:pt>
                <c:pt idx="8">
                  <c:v>2884213.618183163</c:v>
                </c:pt>
                <c:pt idx="9">
                  <c:v>1712451.6956521736</c:v>
                </c:pt>
                <c:pt idx="10">
                  <c:v>217330</c:v>
                </c:pt>
                <c:pt idx="11">
                  <c:v>646020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87-4D20-A772-7E9AB3F74F4D}"/>
            </c:ext>
          </c:extLst>
        </c:ser>
        <c:ser>
          <c:idx val="2"/>
          <c:order val="2"/>
          <c:tx>
            <c:strRef>
              <c:f>Pivot_Charts!$E$263:$E$264</c:f>
              <c:strCache>
                <c:ptCount val="1"/>
                <c:pt idx="0">
                  <c:v>NC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Pivot_Charts!$E$265:$E$276</c:f>
              <c:numCache>
                <c:formatCode>#,##0</c:formatCode>
                <c:ptCount val="12"/>
                <c:pt idx="1">
                  <c:v>143677.98764626629</c:v>
                </c:pt>
                <c:pt idx="3">
                  <c:v>267000</c:v>
                </c:pt>
                <c:pt idx="6">
                  <c:v>211550</c:v>
                </c:pt>
                <c:pt idx="7">
                  <c:v>521547</c:v>
                </c:pt>
                <c:pt idx="8">
                  <c:v>758839.27991814003</c:v>
                </c:pt>
                <c:pt idx="10">
                  <c:v>1202130</c:v>
                </c:pt>
                <c:pt idx="11">
                  <c:v>399050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87-4D20-A772-7E9AB3F74F4D}"/>
            </c:ext>
          </c:extLst>
        </c:ser>
        <c:ser>
          <c:idx val="3"/>
          <c:order val="3"/>
          <c:tx>
            <c:strRef>
              <c:f>Pivot_Charts!$F$263:$F$264</c:f>
              <c:strCache>
                <c:ptCount val="1"/>
                <c:pt idx="0">
                  <c:v>Wx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Pivot_Charts!$F$265:$F$276</c:f>
              <c:numCache>
                <c:formatCode>#,##0</c:formatCode>
                <c:ptCount val="12"/>
                <c:pt idx="0">
                  <c:v>507375.68725298636</c:v>
                </c:pt>
                <c:pt idx="1">
                  <c:v>322745.07879348146</c:v>
                </c:pt>
                <c:pt idx="2">
                  <c:v>42845</c:v>
                </c:pt>
                <c:pt idx="3">
                  <c:v>378013.13413760433</c:v>
                </c:pt>
                <c:pt idx="6">
                  <c:v>2769383</c:v>
                </c:pt>
                <c:pt idx="7">
                  <c:v>2684688</c:v>
                </c:pt>
                <c:pt idx="8">
                  <c:v>794085.64652287983</c:v>
                </c:pt>
                <c:pt idx="9">
                  <c:v>2960733</c:v>
                </c:pt>
                <c:pt idx="10">
                  <c:v>317520</c:v>
                </c:pt>
                <c:pt idx="11">
                  <c:v>341635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87-4D20-A772-7E9AB3F74F4D}"/>
            </c:ext>
          </c:extLst>
        </c:ser>
        <c:ser>
          <c:idx val="4"/>
          <c:order val="4"/>
          <c:tx>
            <c:strRef>
              <c:f>Pivot_Charts!$G$263:$G$264</c:f>
              <c:strCache>
                <c:ptCount val="1"/>
                <c:pt idx="0">
                  <c:v>Equip-furnace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Pivot_Charts!$G$265:$G$276</c:f>
              <c:numCache>
                <c:formatCode>#,##0</c:formatCode>
                <c:ptCount val="12"/>
                <c:pt idx="1">
                  <c:v>1246.039090704875</c:v>
                </c:pt>
                <c:pt idx="3">
                  <c:v>1713170.4992750641</c:v>
                </c:pt>
                <c:pt idx="7">
                  <c:v>576333</c:v>
                </c:pt>
                <c:pt idx="8">
                  <c:v>1629076.2961920467</c:v>
                </c:pt>
                <c:pt idx="9">
                  <c:v>568794.5</c:v>
                </c:pt>
                <c:pt idx="10">
                  <c:v>2904280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87-4D20-A772-7E9AB3F74F4D}"/>
            </c:ext>
          </c:extLst>
        </c:ser>
        <c:ser>
          <c:idx val="5"/>
          <c:order val="5"/>
          <c:tx>
            <c:strRef>
              <c:f>Pivot_Charts!$H$263:$H$264</c:f>
              <c:strCache>
                <c:ptCount val="1"/>
                <c:pt idx="0">
                  <c:v>Equip-boiler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Pivot_Charts!$H$265:$H$276</c:f>
              <c:numCache>
                <c:formatCode>#,##0</c:formatCode>
                <c:ptCount val="12"/>
                <c:pt idx="8">
                  <c:v>142745.07992129616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687-4D20-A772-7E9AB3F74F4D}"/>
            </c:ext>
          </c:extLst>
        </c:ser>
        <c:ser>
          <c:idx val="6"/>
          <c:order val="6"/>
          <c:tx>
            <c:strRef>
              <c:f>Pivot_Charts!$I$263:$I$264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Pivot_Charts!$A$265:$B$276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Pivot_Charts!$I$265:$I$276</c:f>
              <c:numCache>
                <c:formatCode>#,##0</c:formatCode>
                <c:ptCount val="12"/>
                <c:pt idx="0">
                  <c:v>9887273.2613875493</c:v>
                </c:pt>
                <c:pt idx="1">
                  <c:v>1344987.6396785511</c:v>
                </c:pt>
                <c:pt idx="2">
                  <c:v>945003.88888888876</c:v>
                </c:pt>
                <c:pt idx="3">
                  <c:v>2327892.1342880288</c:v>
                </c:pt>
                <c:pt idx="4">
                  <c:v>149005.55555555556</c:v>
                </c:pt>
                <c:pt idx="5">
                  <c:v>2824594.4444444445</c:v>
                </c:pt>
                <c:pt idx="6">
                  <c:v>1258341</c:v>
                </c:pt>
                <c:pt idx="7">
                  <c:v>2372863</c:v>
                </c:pt>
                <c:pt idx="8">
                  <c:v>1731541.4860679745</c:v>
                </c:pt>
                <c:pt idx="9">
                  <c:v>697949.1086956521</c:v>
                </c:pt>
                <c:pt idx="10">
                  <c:v>868580</c:v>
                </c:pt>
                <c:pt idx="11">
                  <c:v>2518855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87-4D20-A772-7E9AB3F74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9366800"/>
        <c:axId val="2120780527"/>
      </c:barChart>
      <c:catAx>
        <c:axId val="73936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780527"/>
        <c:crosses val="autoZero"/>
        <c:auto val="1"/>
        <c:lblAlgn val="ctr"/>
        <c:lblOffset val="100"/>
        <c:noMultiLvlLbl val="0"/>
      </c:catAx>
      <c:valAx>
        <c:axId val="212078052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 Percent of EE Gas Savings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36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Excel.xlsx]Pivot_Charts!PivotTable25</c:name>
    <c:fmtId val="16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Pivot_Charts!$C$295:$C$296</c:f>
              <c:strCache>
                <c:ptCount val="1"/>
                <c:pt idx="0">
                  <c:v>Behave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Pivot_Charts!$C$297:$C$308</c:f>
              <c:numCache>
                <c:formatCode>#,##0</c:formatCode>
                <c:ptCount val="12"/>
                <c:pt idx="11">
                  <c:v>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D-471D-BA50-9EEFD829029B}"/>
            </c:ext>
          </c:extLst>
        </c:ser>
        <c:ser>
          <c:idx val="1"/>
          <c:order val="1"/>
          <c:tx>
            <c:strRef>
              <c:f>Pivot_Charts!$D$295:$D$296</c:f>
              <c:strCache>
                <c:ptCount val="1"/>
                <c:pt idx="0">
                  <c:v>Custom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Pivot_Charts!$D$297:$D$308</c:f>
              <c:numCache>
                <c:formatCode>#,##0</c:formatCode>
                <c:ptCount val="12"/>
                <c:pt idx="0">
                  <c:v>77192176.477933764</c:v>
                </c:pt>
                <c:pt idx="2">
                  <c:v>1080350</c:v>
                </c:pt>
                <c:pt idx="3">
                  <c:v>6341375.5854834793</c:v>
                </c:pt>
                <c:pt idx="8">
                  <c:v>3366669.9600000004</c:v>
                </c:pt>
                <c:pt idx="10">
                  <c:v>1350050</c:v>
                </c:pt>
                <c:pt idx="11">
                  <c:v>205180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21-4574-8A7D-B3E07F74408B}"/>
            </c:ext>
          </c:extLst>
        </c:ser>
        <c:ser>
          <c:idx val="2"/>
          <c:order val="2"/>
          <c:tx>
            <c:strRef>
              <c:f>Pivot_Charts!$E$295:$E$296</c:f>
              <c:strCache>
                <c:ptCount val="1"/>
                <c:pt idx="0">
                  <c:v>Kits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Pivot_Charts!$E$297:$E$308</c:f>
              <c:numCache>
                <c:formatCode>#,##0</c:formatCode>
                <c:ptCount val="12"/>
                <c:pt idx="3">
                  <c:v>59866.623288445349</c:v>
                </c:pt>
                <c:pt idx="8">
                  <c:v>1127519.077336201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21-4574-8A7D-B3E07F74408B}"/>
            </c:ext>
          </c:extLst>
        </c:ser>
        <c:ser>
          <c:idx val="3"/>
          <c:order val="3"/>
          <c:tx>
            <c:strRef>
              <c:f>Pivot_Charts!$F$295:$F$296</c:f>
              <c:strCache>
                <c:ptCount val="1"/>
                <c:pt idx="0">
                  <c:v>NC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Pivot_Charts!$F$297:$F$308</c:f>
              <c:numCache>
                <c:formatCode>#,##0</c:formatCode>
                <c:ptCount val="12"/>
                <c:pt idx="1">
                  <c:v>479955.79790113703</c:v>
                </c:pt>
                <c:pt idx="3">
                  <c:v>215500</c:v>
                </c:pt>
                <c:pt idx="6">
                  <c:v>2037726</c:v>
                </c:pt>
                <c:pt idx="7">
                  <c:v>2229861</c:v>
                </c:pt>
                <c:pt idx="11">
                  <c:v>500090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21-4574-8A7D-B3E07F74408B}"/>
            </c:ext>
          </c:extLst>
        </c:ser>
        <c:ser>
          <c:idx val="4"/>
          <c:order val="4"/>
          <c:tx>
            <c:strRef>
              <c:f>Pivot_Charts!$G$295:$G$296</c:f>
              <c:strCache>
                <c:ptCount val="1"/>
                <c:pt idx="0">
                  <c:v>Rcx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Pivot_Charts!$G$297:$G$308</c:f>
              <c:numCache>
                <c:formatCode>#,##0</c:formatCode>
                <c:ptCount val="12"/>
                <c:pt idx="0">
                  <c:v>51370.883810328669</c:v>
                </c:pt>
                <c:pt idx="1">
                  <c:v>103314.3700243309</c:v>
                </c:pt>
                <c:pt idx="2">
                  <c:v>57777.777777777774</c:v>
                </c:pt>
                <c:pt idx="9">
                  <c:v>190218.60869565216</c:v>
                </c:pt>
                <c:pt idx="10">
                  <c:v>157300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21-4574-8A7D-B3E07F74408B}"/>
            </c:ext>
          </c:extLst>
        </c:ser>
        <c:ser>
          <c:idx val="5"/>
          <c:order val="5"/>
          <c:tx>
            <c:strRef>
              <c:f>Pivot_Charts!$H$295:$H$296</c:f>
              <c:strCache>
                <c:ptCount val="1"/>
                <c:pt idx="0">
                  <c:v>SEM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Pivot_Charts!$H$297:$H$308</c:f>
              <c:numCache>
                <c:formatCode>#,##0</c:formatCode>
                <c:ptCount val="12"/>
                <c:pt idx="1">
                  <c:v>2141243.0517728608</c:v>
                </c:pt>
                <c:pt idx="3">
                  <c:v>789500</c:v>
                </c:pt>
                <c:pt idx="9">
                  <c:v>855308.08695652173</c:v>
                </c:pt>
                <c:pt idx="11">
                  <c:v>1983630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21-4574-8A7D-B3E07F74408B}"/>
            </c:ext>
          </c:extLst>
        </c:ser>
        <c:ser>
          <c:idx val="6"/>
          <c:order val="6"/>
          <c:tx>
            <c:strRef>
              <c:f>Pivot_Charts!$I$295:$I$296</c:f>
              <c:strCache>
                <c:ptCount val="1"/>
                <c:pt idx="0">
                  <c:v>Small Biz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Pivot_Charts!$I$297:$I$308</c:f>
              <c:numCache>
                <c:formatCode>#,##0</c:formatCode>
                <c:ptCount val="12"/>
                <c:pt idx="2">
                  <c:v>98141.111111111109</c:v>
                </c:pt>
                <c:pt idx="3">
                  <c:v>0</c:v>
                </c:pt>
                <c:pt idx="5">
                  <c:v>1362488.8888888888</c:v>
                </c:pt>
                <c:pt idx="9">
                  <c:v>423318.60869565216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21-4574-8A7D-B3E07F74408B}"/>
            </c:ext>
          </c:extLst>
        </c:ser>
        <c:ser>
          <c:idx val="7"/>
          <c:order val="7"/>
          <c:tx>
            <c:strRef>
              <c:f>Pivot_Charts!$J$295:$J$296</c:f>
              <c:strCache>
                <c:ptCount val="1"/>
                <c:pt idx="0">
                  <c:v>Wx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Pivot_Charts!$J$297:$J$308</c:f>
              <c:numCache>
                <c:formatCode>#,##0</c:formatCode>
                <c:ptCount val="12"/>
                <c:pt idx="3">
                  <c:v>343403.42088702915</c:v>
                </c:pt>
                <c:pt idx="8">
                  <c:v>184709.92660030792</c:v>
                </c:pt>
                <c:pt idx="9">
                  <c:v>29976.5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21-4574-8A7D-B3E07F74408B}"/>
            </c:ext>
          </c:extLst>
        </c:ser>
        <c:ser>
          <c:idx val="8"/>
          <c:order val="8"/>
          <c:tx>
            <c:strRef>
              <c:f>Pivot_Charts!$K$295:$K$296</c:f>
              <c:strCache>
                <c:ptCount val="1"/>
                <c:pt idx="0">
                  <c:v>Equip-furnace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Pivot_Charts!$K$297:$K$308</c:f>
              <c:numCache>
                <c:formatCode>#,##0</c:formatCode>
                <c:ptCount val="12"/>
                <c:pt idx="3">
                  <c:v>91529.636318254197</c:v>
                </c:pt>
                <c:pt idx="7">
                  <c:v>1370</c:v>
                </c:pt>
                <c:pt idx="8">
                  <c:v>282712.80146888155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21-4574-8A7D-B3E07F74408B}"/>
            </c:ext>
          </c:extLst>
        </c:ser>
        <c:ser>
          <c:idx val="9"/>
          <c:order val="9"/>
          <c:tx>
            <c:strRef>
              <c:f>Pivot_Charts!$L$295:$L$296</c:f>
              <c:strCache>
                <c:ptCount val="1"/>
                <c:pt idx="0">
                  <c:v>Equip-boiler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Pivot_Charts!$L$297:$L$308</c:f>
              <c:numCache>
                <c:formatCode>#,##0</c:formatCode>
                <c:ptCount val="12"/>
                <c:pt idx="1">
                  <c:v>153555.48585692982</c:v>
                </c:pt>
                <c:pt idx="3">
                  <c:v>222688.71249772221</c:v>
                </c:pt>
                <c:pt idx="8">
                  <c:v>2740039.0513679627</c:v>
                </c:pt>
                <c:pt idx="10">
                  <c:v>3590405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21-4574-8A7D-B3E07F74408B}"/>
            </c:ext>
          </c:extLst>
        </c:ser>
        <c:ser>
          <c:idx val="10"/>
          <c:order val="10"/>
          <c:tx>
            <c:strRef>
              <c:f>Pivot_Charts!$M$295:$M$296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Pivot_Charts!$A$297:$B$308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Pivot_Charts!$M$297:$M$308</c:f>
              <c:numCache>
                <c:formatCode>#,##0</c:formatCode>
                <c:ptCount val="12"/>
                <c:pt idx="0">
                  <c:v>3216319.282230427</c:v>
                </c:pt>
                <c:pt idx="1">
                  <c:v>3691036.2962279329</c:v>
                </c:pt>
                <c:pt idx="2">
                  <c:v>506205.5555555555</c:v>
                </c:pt>
                <c:pt idx="3">
                  <c:v>327636.02152506931</c:v>
                </c:pt>
                <c:pt idx="4">
                  <c:v>947494.4444444445</c:v>
                </c:pt>
                <c:pt idx="5">
                  <c:v>2407602.222222222</c:v>
                </c:pt>
                <c:pt idx="6">
                  <c:v>3772734</c:v>
                </c:pt>
                <c:pt idx="7">
                  <c:v>4414891</c:v>
                </c:pt>
                <c:pt idx="8">
                  <c:v>6740382.4186045928</c:v>
                </c:pt>
                <c:pt idx="9">
                  <c:v>9600713.347826086</c:v>
                </c:pt>
                <c:pt idx="10">
                  <c:v>6523485</c:v>
                </c:pt>
                <c:pt idx="11">
                  <c:v>4620930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21-4574-8A7D-B3E07F744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11437839"/>
        <c:axId val="412827743"/>
      </c:barChart>
      <c:catAx>
        <c:axId val="41143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827743"/>
        <c:crosses val="autoZero"/>
        <c:auto val="1"/>
        <c:lblAlgn val="ctr"/>
        <c:lblOffset val="100"/>
        <c:noMultiLvlLbl val="0"/>
      </c:catAx>
      <c:valAx>
        <c:axId val="4128277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C&amp;I Percent EE Gas Savings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43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Excel.xlsx]Pivot_Charts!PivotTable2</c:name>
    <c:fmtId val="3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Pivot_Charts!$W$263:$W$264</c:f>
              <c:strCache>
                <c:ptCount val="1"/>
                <c:pt idx="0">
                  <c:v>Behave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Pivot_Charts!$W$265:$W$276</c:f>
              <c:numCache>
                <c:formatCode>#,##0</c:formatCode>
                <c:ptCount val="12"/>
                <c:pt idx="3">
                  <c:v>743703.63497231109</c:v>
                </c:pt>
                <c:pt idx="4">
                  <c:v>689409</c:v>
                </c:pt>
                <c:pt idx="6">
                  <c:v>0</c:v>
                </c:pt>
                <c:pt idx="7">
                  <c:v>2536128</c:v>
                </c:pt>
                <c:pt idx="8">
                  <c:v>739230.59210108407</c:v>
                </c:pt>
                <c:pt idx="9">
                  <c:v>800320</c:v>
                </c:pt>
                <c:pt idx="10">
                  <c:v>1652238</c:v>
                </c:pt>
                <c:pt idx="11">
                  <c:v>328553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4-41EA-8029-873A34833AE5}"/>
            </c:ext>
          </c:extLst>
        </c:ser>
        <c:ser>
          <c:idx val="1"/>
          <c:order val="1"/>
          <c:tx>
            <c:strRef>
              <c:f>Pivot_Charts!$X$263:$X$264</c:f>
              <c:strCache>
                <c:ptCount val="1"/>
                <c:pt idx="0">
                  <c:v>Kits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Pivot_Charts!$X$265:$X$276</c:f>
              <c:numCache>
                <c:formatCode>#,##0</c:formatCode>
                <c:ptCount val="12"/>
                <c:pt idx="2">
                  <c:v>117206</c:v>
                </c:pt>
                <c:pt idx="3">
                  <c:v>1426415.9610258928</c:v>
                </c:pt>
                <c:pt idx="4">
                  <c:v>27153</c:v>
                </c:pt>
                <c:pt idx="5">
                  <c:v>17518</c:v>
                </c:pt>
                <c:pt idx="8">
                  <c:v>1760196.4872181106</c:v>
                </c:pt>
                <c:pt idx="9">
                  <c:v>1090952</c:v>
                </c:pt>
                <c:pt idx="10">
                  <c:v>426313</c:v>
                </c:pt>
                <c:pt idx="11">
                  <c:v>643162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6C-4AF7-9C83-1B44A313527B}"/>
            </c:ext>
          </c:extLst>
        </c:ser>
        <c:ser>
          <c:idx val="2"/>
          <c:order val="2"/>
          <c:tx>
            <c:strRef>
              <c:f>Pivot_Charts!$Y$263:$Y$264</c:f>
              <c:strCache>
                <c:ptCount val="1"/>
                <c:pt idx="0">
                  <c:v>NC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Pivot_Charts!$Y$265:$Y$276</c:f>
              <c:numCache>
                <c:formatCode>#,##0</c:formatCode>
                <c:ptCount val="12"/>
                <c:pt idx="1">
                  <c:v>3569283.0404713224</c:v>
                </c:pt>
                <c:pt idx="3">
                  <c:v>856000</c:v>
                </c:pt>
                <c:pt idx="6">
                  <c:v>2785000</c:v>
                </c:pt>
                <c:pt idx="7">
                  <c:v>5232163</c:v>
                </c:pt>
                <c:pt idx="8">
                  <c:v>1142088.625</c:v>
                </c:pt>
                <c:pt idx="10">
                  <c:v>7682370</c:v>
                </c:pt>
                <c:pt idx="11">
                  <c:v>2299104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6C-4AF7-9C83-1B44A313527B}"/>
            </c:ext>
          </c:extLst>
        </c:ser>
        <c:ser>
          <c:idx val="3"/>
          <c:order val="3"/>
          <c:tx>
            <c:strRef>
              <c:f>Pivot_Charts!$Z$263:$Z$264</c:f>
              <c:strCache>
                <c:ptCount val="1"/>
                <c:pt idx="0">
                  <c:v>Wx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Pivot_Charts!$Z$265:$Z$276</c:f>
              <c:numCache>
                <c:formatCode>#,##0</c:formatCode>
                <c:ptCount val="12"/>
                <c:pt idx="0">
                  <c:v>3649242.1737904004</c:v>
                </c:pt>
                <c:pt idx="1">
                  <c:v>9833897.2122627236</c:v>
                </c:pt>
                <c:pt idx="2">
                  <c:v>187396.5</c:v>
                </c:pt>
                <c:pt idx="3">
                  <c:v>2916779.3900933014</c:v>
                </c:pt>
                <c:pt idx="6">
                  <c:v>58770000</c:v>
                </c:pt>
                <c:pt idx="7">
                  <c:v>82340584</c:v>
                </c:pt>
                <c:pt idx="8">
                  <c:v>2097034.0507930559</c:v>
                </c:pt>
                <c:pt idx="9">
                  <c:v>8034283.7412476046</c:v>
                </c:pt>
                <c:pt idx="10">
                  <c:v>1840375</c:v>
                </c:pt>
                <c:pt idx="11">
                  <c:v>1304828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6C-4AF7-9C83-1B44A313527B}"/>
            </c:ext>
          </c:extLst>
        </c:ser>
        <c:ser>
          <c:idx val="4"/>
          <c:order val="4"/>
          <c:tx>
            <c:strRef>
              <c:f>Pivot_Charts!$AA$263:$AA$264</c:f>
              <c:strCache>
                <c:ptCount val="1"/>
                <c:pt idx="0">
                  <c:v>Equip-furnace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Pivot_Charts!$AA$265:$AA$276</c:f>
              <c:numCache>
                <c:formatCode>#,##0</c:formatCode>
                <c:ptCount val="12"/>
                <c:pt idx="1">
                  <c:v>15549.4906887653</c:v>
                </c:pt>
                <c:pt idx="3">
                  <c:v>2786357.8754599821</c:v>
                </c:pt>
                <c:pt idx="8">
                  <c:v>5441242.3496434474</c:v>
                </c:pt>
                <c:pt idx="9">
                  <c:v>861298.50875239575</c:v>
                </c:pt>
                <c:pt idx="10">
                  <c:v>10612750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6C-4AF7-9C83-1B44A313527B}"/>
            </c:ext>
          </c:extLst>
        </c:ser>
        <c:ser>
          <c:idx val="5"/>
          <c:order val="5"/>
          <c:tx>
            <c:strRef>
              <c:f>Pivot_Charts!$AB$263:$AB$264</c:f>
              <c:strCache>
                <c:ptCount val="1"/>
                <c:pt idx="0">
                  <c:v>Equip-boiler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Pivot_Charts!$AB$265:$AB$276</c:f>
              <c:numCache>
                <c:formatCode>#,##0</c:formatCode>
                <c:ptCount val="12"/>
                <c:pt idx="8">
                  <c:v>385994.56003564596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6C-4AF7-9C83-1B44A313527B}"/>
            </c:ext>
          </c:extLst>
        </c:ser>
        <c:ser>
          <c:idx val="6"/>
          <c:order val="6"/>
          <c:tx>
            <c:strRef>
              <c:f>Pivot_Charts!$AC$263:$AC$264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Pivot_Charts!$U$265:$V$276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Pivot_Charts!$AC$265:$AC$276</c:f>
              <c:numCache>
                <c:formatCode>#,##0</c:formatCode>
                <c:ptCount val="12"/>
                <c:pt idx="0">
                  <c:v>53294216.347199999</c:v>
                </c:pt>
                <c:pt idx="1">
                  <c:v>11125504.357833579</c:v>
                </c:pt>
                <c:pt idx="2">
                  <c:v>1791815.5</c:v>
                </c:pt>
                <c:pt idx="3">
                  <c:v>3248743.1384485136</c:v>
                </c:pt>
                <c:pt idx="4">
                  <c:v>199948</c:v>
                </c:pt>
                <c:pt idx="5">
                  <c:v>4212469</c:v>
                </c:pt>
                <c:pt idx="6">
                  <c:v>16230000</c:v>
                </c:pt>
                <c:pt idx="7">
                  <c:v>36115882</c:v>
                </c:pt>
                <c:pt idx="8">
                  <c:v>13708551.610541444</c:v>
                </c:pt>
                <c:pt idx="9">
                  <c:v>444964.75</c:v>
                </c:pt>
                <c:pt idx="10">
                  <c:v>4184436</c:v>
                </c:pt>
                <c:pt idx="11">
                  <c:v>6599909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6C-4AF7-9C83-1B44A3135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0082431"/>
        <c:axId val="1172608047"/>
      </c:barChart>
      <c:catAx>
        <c:axId val="1320082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08047"/>
        <c:crosses val="autoZero"/>
        <c:auto val="1"/>
        <c:lblAlgn val="ctr"/>
        <c:lblOffset val="100"/>
        <c:noMultiLvlLbl val="0"/>
      </c:catAx>
      <c:valAx>
        <c:axId val="117260804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Res Percent of EE Gas Spending </a:t>
                </a:r>
              </a:p>
            </c:rich>
          </c:tx>
          <c:layout>
            <c:manualLayout>
              <c:xMode val="edge"/>
              <c:yMode val="edge"/>
              <c:x val="1.2469691721510218E-2"/>
              <c:y val="0.214898233923664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082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Excel.xlsx]Pivot_Charts!PivotTable3</c:name>
    <c:fmtId val="2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Pivot_Charts!$T$295:$T$296</c:f>
              <c:strCache>
                <c:ptCount val="1"/>
                <c:pt idx="0">
                  <c:v>Behave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Pivot_Charts!$T$297:$T$308</c:f>
              <c:numCache>
                <c:formatCode>#,##0</c:formatCode>
                <c:ptCount val="12"/>
                <c:pt idx="11">
                  <c:v>53947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F-40B9-ADB2-C8673B0C8EBF}"/>
            </c:ext>
          </c:extLst>
        </c:ser>
        <c:ser>
          <c:idx val="1"/>
          <c:order val="1"/>
          <c:tx>
            <c:strRef>
              <c:f>Pivot_Charts!$U$295:$U$296</c:f>
              <c:strCache>
                <c:ptCount val="1"/>
                <c:pt idx="0">
                  <c:v>Custom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Pivot_Charts!$U$297:$U$308</c:f>
              <c:numCache>
                <c:formatCode>#,##0</c:formatCode>
                <c:ptCount val="12"/>
                <c:pt idx="0">
                  <c:v>22316100.4056</c:v>
                </c:pt>
                <c:pt idx="2">
                  <c:v>2311497</c:v>
                </c:pt>
                <c:pt idx="3">
                  <c:v>6143492.3737615487</c:v>
                </c:pt>
                <c:pt idx="8">
                  <c:v>3690440.0929362322</c:v>
                </c:pt>
                <c:pt idx="10">
                  <c:v>1915416</c:v>
                </c:pt>
                <c:pt idx="11">
                  <c:v>202236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A-4060-B705-6D7B92F30C97}"/>
            </c:ext>
          </c:extLst>
        </c:ser>
        <c:ser>
          <c:idx val="2"/>
          <c:order val="2"/>
          <c:tx>
            <c:strRef>
              <c:f>Pivot_Charts!$V$295:$V$296</c:f>
              <c:strCache>
                <c:ptCount val="1"/>
                <c:pt idx="0">
                  <c:v>Kits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Pivot_Charts!$V$297:$V$308</c:f>
              <c:numCache>
                <c:formatCode>#,##0</c:formatCode>
                <c:ptCount val="12"/>
                <c:pt idx="3">
                  <c:v>111297.76629193229</c:v>
                </c:pt>
                <c:pt idx="8">
                  <c:v>544008.83168399346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A-4060-B705-6D7B92F30C97}"/>
            </c:ext>
          </c:extLst>
        </c:ser>
        <c:ser>
          <c:idx val="3"/>
          <c:order val="3"/>
          <c:tx>
            <c:strRef>
              <c:f>Pivot_Charts!$W$295:$W$296</c:f>
              <c:strCache>
                <c:ptCount val="1"/>
                <c:pt idx="0">
                  <c:v>NC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Pivot_Charts!$W$297:$W$308</c:f>
              <c:numCache>
                <c:formatCode>#,##0</c:formatCode>
                <c:ptCount val="12"/>
                <c:pt idx="1">
                  <c:v>14877404.783415884</c:v>
                </c:pt>
                <c:pt idx="3">
                  <c:v>507641.40842441667</c:v>
                </c:pt>
                <c:pt idx="6">
                  <c:v>14955000</c:v>
                </c:pt>
                <c:pt idx="7">
                  <c:v>12467036</c:v>
                </c:pt>
                <c:pt idx="11">
                  <c:v>557897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5A-4060-B705-6D7B92F30C97}"/>
            </c:ext>
          </c:extLst>
        </c:ser>
        <c:ser>
          <c:idx val="4"/>
          <c:order val="4"/>
          <c:tx>
            <c:strRef>
              <c:f>Pivot_Charts!$X$295:$X$296</c:f>
              <c:strCache>
                <c:ptCount val="1"/>
                <c:pt idx="0">
                  <c:v>Rcx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Pivot_Charts!$X$297:$X$308</c:f>
              <c:numCache>
                <c:formatCode>#,##0</c:formatCode>
                <c:ptCount val="12"/>
                <c:pt idx="0">
                  <c:v>63734.671231273242</c:v>
                </c:pt>
                <c:pt idx="1">
                  <c:v>287097.74436090223</c:v>
                </c:pt>
                <c:pt idx="2">
                  <c:v>553695</c:v>
                </c:pt>
                <c:pt idx="9">
                  <c:v>331427</c:v>
                </c:pt>
                <c:pt idx="10">
                  <c:v>237057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5A-4060-B705-6D7B92F30C97}"/>
            </c:ext>
          </c:extLst>
        </c:ser>
        <c:ser>
          <c:idx val="5"/>
          <c:order val="5"/>
          <c:tx>
            <c:strRef>
              <c:f>Pivot_Charts!$Y$295:$Y$296</c:f>
              <c:strCache>
                <c:ptCount val="1"/>
                <c:pt idx="0">
                  <c:v>SEM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Pivot_Charts!$Y$297:$Y$308</c:f>
              <c:numCache>
                <c:formatCode>#,##0</c:formatCode>
                <c:ptCount val="12"/>
                <c:pt idx="1">
                  <c:v>1544936.3549941098</c:v>
                </c:pt>
                <c:pt idx="3">
                  <c:v>935000</c:v>
                </c:pt>
                <c:pt idx="9">
                  <c:v>538338</c:v>
                </c:pt>
                <c:pt idx="11">
                  <c:v>1865267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5A-4060-B705-6D7B92F30C97}"/>
            </c:ext>
          </c:extLst>
        </c:ser>
        <c:ser>
          <c:idx val="6"/>
          <c:order val="6"/>
          <c:tx>
            <c:strRef>
              <c:f>Pivot_Charts!$Z$295:$Z$296</c:f>
              <c:strCache>
                <c:ptCount val="1"/>
                <c:pt idx="0">
                  <c:v>Small Biz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Pivot_Charts!$Z$297:$Z$308</c:f>
              <c:numCache>
                <c:formatCode>#,##0</c:formatCode>
                <c:ptCount val="12"/>
                <c:pt idx="2">
                  <c:v>307931</c:v>
                </c:pt>
                <c:pt idx="3">
                  <c:v>47839.991604994866</c:v>
                </c:pt>
                <c:pt idx="5">
                  <c:v>2013450</c:v>
                </c:pt>
                <c:pt idx="9">
                  <c:v>910560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5A-4060-B705-6D7B92F30C97}"/>
            </c:ext>
          </c:extLst>
        </c:ser>
        <c:ser>
          <c:idx val="7"/>
          <c:order val="7"/>
          <c:tx>
            <c:strRef>
              <c:f>Pivot_Charts!$AA$295:$AA$296</c:f>
              <c:strCache>
                <c:ptCount val="1"/>
                <c:pt idx="0">
                  <c:v>Wx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Pivot_Charts!$AA$297:$AA$308</c:f>
              <c:numCache>
                <c:formatCode>#,##0</c:formatCode>
                <c:ptCount val="12"/>
                <c:pt idx="3">
                  <c:v>748708.81380297919</c:v>
                </c:pt>
                <c:pt idx="8">
                  <c:v>224847.28476129082</c:v>
                </c:pt>
                <c:pt idx="9">
                  <c:v>51544.5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5A-4060-B705-6D7B92F30C97}"/>
            </c:ext>
          </c:extLst>
        </c:ser>
        <c:ser>
          <c:idx val="8"/>
          <c:order val="8"/>
          <c:tx>
            <c:strRef>
              <c:f>Pivot_Charts!$AB$295:$AB$296</c:f>
              <c:strCache>
                <c:ptCount val="1"/>
                <c:pt idx="0">
                  <c:v>Equip-furnace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Pivot_Charts!$AB$297:$AB$308</c:f>
              <c:numCache>
                <c:formatCode>#,##0</c:formatCode>
                <c:ptCount val="12"/>
                <c:pt idx="3">
                  <c:v>183183.51263906341</c:v>
                </c:pt>
                <c:pt idx="8">
                  <c:v>369786.53685957694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5A-4060-B705-6D7B92F30C97}"/>
            </c:ext>
          </c:extLst>
        </c:ser>
        <c:ser>
          <c:idx val="9"/>
          <c:order val="9"/>
          <c:tx>
            <c:strRef>
              <c:f>Pivot_Charts!$AC$295:$AC$296</c:f>
              <c:strCache>
                <c:ptCount val="1"/>
                <c:pt idx="0">
                  <c:v>Equip-boiler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Pivot_Charts!$AC$297:$AC$308</c:f>
              <c:numCache>
                <c:formatCode>#,##0</c:formatCode>
                <c:ptCount val="12"/>
                <c:pt idx="1">
                  <c:v>692485.16101994028</c:v>
                </c:pt>
                <c:pt idx="3">
                  <c:v>643329.16942319879</c:v>
                </c:pt>
                <c:pt idx="8">
                  <c:v>2936076.1023504045</c:v>
                </c:pt>
                <c:pt idx="10">
                  <c:v>1680106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5A-4060-B705-6D7B92F30C97}"/>
            </c:ext>
          </c:extLst>
        </c:ser>
        <c:ser>
          <c:idx val="10"/>
          <c:order val="10"/>
          <c:tx>
            <c:strRef>
              <c:f>Pivot_Charts!$AD$295:$AD$296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Pivot_Charts!$R$297:$S$308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Pivot_Charts!$AD$297:$AD$308</c:f>
              <c:numCache>
                <c:formatCode>#,##0</c:formatCode>
                <c:ptCount val="12"/>
                <c:pt idx="0">
                  <c:v>7541781.2217200883</c:v>
                </c:pt>
                <c:pt idx="1">
                  <c:v>20163956.016720325</c:v>
                </c:pt>
                <c:pt idx="2">
                  <c:v>1673798</c:v>
                </c:pt>
                <c:pt idx="3">
                  <c:v>1700506.9640518669</c:v>
                </c:pt>
                <c:pt idx="4">
                  <c:v>1507369</c:v>
                </c:pt>
                <c:pt idx="5">
                  <c:v>5009231</c:v>
                </c:pt>
                <c:pt idx="6">
                  <c:v>35400000</c:v>
                </c:pt>
                <c:pt idx="7">
                  <c:v>44445447</c:v>
                </c:pt>
                <c:pt idx="8">
                  <c:v>15355894.340784051</c:v>
                </c:pt>
                <c:pt idx="9">
                  <c:v>8666121</c:v>
                </c:pt>
                <c:pt idx="10">
                  <c:v>6889391</c:v>
                </c:pt>
                <c:pt idx="11">
                  <c:v>3572902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5A-4060-B705-6D7B92F3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6735184"/>
        <c:axId val="1859109967"/>
      </c:barChart>
      <c:catAx>
        <c:axId val="19673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9109967"/>
        <c:crosses val="autoZero"/>
        <c:auto val="1"/>
        <c:lblAlgn val="ctr"/>
        <c:lblOffset val="100"/>
        <c:noMultiLvlLbl val="0"/>
      </c:catAx>
      <c:valAx>
        <c:axId val="185910996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C&amp;I Percent EE Gas Spending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73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Excel.xlsx]Pivot_Charts!PivotTable8</c:name>
    <c:fmtId val="6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Pivot_Charts!$AJ$5:$AJ$6</c:f>
              <c:strCache>
                <c:ptCount val="1"/>
                <c:pt idx="0">
                  <c:v>A - 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Pivot_Charts!$AH$7:$AI$29</c:f>
              <c:multiLvlStrCache>
                <c:ptCount val="23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Xcel-CO</c:v>
                  </c:pt>
                  <c:pt idx="3">
                    <c:v>Eversource-CT</c:v>
                  </c:pt>
                  <c:pt idx="4">
                    <c:v>CNG-CT</c:v>
                  </c:pt>
                  <c:pt idx="5">
                    <c:v>SoCTGas-CT</c:v>
                  </c:pt>
                  <c:pt idx="6">
                    <c:v>Nicor-IL</c:v>
                  </c:pt>
                  <c:pt idx="7">
                    <c:v>Peoples-IL</c:v>
                  </c:pt>
                  <c:pt idx="8">
                    <c:v>Ameren-IL</c:v>
                  </c:pt>
                  <c:pt idx="9">
                    <c:v>North Shore-IL</c:v>
                  </c:pt>
                  <c:pt idx="10">
                    <c:v>Ngrid-MA</c:v>
                  </c:pt>
                  <c:pt idx="11">
                    <c:v>Eversource-MA</c:v>
                  </c:pt>
                  <c:pt idx="12">
                    <c:v>CMS-MI</c:v>
                  </c:pt>
                  <c:pt idx="13">
                    <c:v>DTE-MI</c:v>
                  </c:pt>
                  <c:pt idx="14">
                    <c:v>CtPt-MN</c:v>
                  </c:pt>
                  <c:pt idx="15">
                    <c:v>Xcel-MN</c:v>
                  </c:pt>
                  <c:pt idx="16">
                    <c:v>ConEd-NY</c:v>
                  </c:pt>
                  <c:pt idx="17">
                    <c:v>Ngrid-NY</c:v>
                  </c:pt>
                  <c:pt idx="18">
                    <c:v>NW Natural-OR</c:v>
                  </c:pt>
                  <c:pt idx="19">
                    <c:v>QUESTAR-UT</c:v>
                  </c:pt>
                  <c:pt idx="20">
                    <c:v>PSE-WA</c:v>
                  </c:pt>
                  <c:pt idx="21">
                    <c:v>Avista-WA</c:v>
                  </c:pt>
                  <c:pt idx="22">
                    <c:v>FOE-WI</c:v>
                  </c:pt>
                </c:lvl>
                <c:lvl>
                  <c:pt idx="0">
                    <c:v>CAN</c:v>
                  </c:pt>
                  <c:pt idx="2">
                    <c:v>CO</c:v>
                  </c:pt>
                  <c:pt idx="3">
                    <c:v>CT</c:v>
                  </c:pt>
                  <c:pt idx="6">
                    <c:v>IL</c:v>
                  </c:pt>
                  <c:pt idx="10">
                    <c:v>MA</c:v>
                  </c:pt>
                  <c:pt idx="12">
                    <c:v>MI</c:v>
                  </c:pt>
                  <c:pt idx="14">
                    <c:v>MN</c:v>
                  </c:pt>
                  <c:pt idx="16">
                    <c:v>NY</c:v>
                  </c:pt>
                  <c:pt idx="18">
                    <c:v>OR</c:v>
                  </c:pt>
                  <c:pt idx="19">
                    <c:v>UT</c:v>
                  </c:pt>
                  <c:pt idx="20">
                    <c:v>WA</c:v>
                  </c:pt>
                  <c:pt idx="22">
                    <c:v>WI</c:v>
                  </c:pt>
                </c:lvl>
              </c:multiLvlStrCache>
            </c:multiLvlStrRef>
          </c:cat>
          <c:val>
            <c:numRef>
              <c:f>Pivot_Charts!$AJ$7:$AJ$29</c:f>
              <c:numCache>
                <c:formatCode>"$"#,##0.00</c:formatCode>
                <c:ptCount val="23"/>
                <c:pt idx="0">
                  <c:v>56943458.520990402</c:v>
                </c:pt>
                <c:pt idx="1">
                  <c:v>24544234.101256393</c:v>
                </c:pt>
                <c:pt idx="2">
                  <c:v>10494659</c:v>
                </c:pt>
                <c:pt idx="3">
                  <c:v>6923708</c:v>
                </c:pt>
                <c:pt idx="4">
                  <c:v>5399880</c:v>
                </c:pt>
                <c:pt idx="5">
                  <c:v>5711213</c:v>
                </c:pt>
                <c:pt idx="6">
                  <c:v>11978000</c:v>
                </c:pt>
                <c:pt idx="7">
                  <c:v>4229987</c:v>
                </c:pt>
                <c:pt idx="8">
                  <c:v>2096418</c:v>
                </c:pt>
                <c:pt idx="9">
                  <c:v>916510</c:v>
                </c:pt>
                <c:pt idx="10">
                  <c:v>138265948</c:v>
                </c:pt>
                <c:pt idx="11">
                  <c:v>94630000</c:v>
                </c:pt>
                <c:pt idx="12">
                  <c:v>25274338.275332786</c:v>
                </c:pt>
                <c:pt idx="13">
                  <c:v>17955842</c:v>
                </c:pt>
                <c:pt idx="14">
                  <c:v>26549464</c:v>
                </c:pt>
                <c:pt idx="15">
                  <c:v>13336270</c:v>
                </c:pt>
                <c:pt idx="16">
                  <c:v>23046390</c:v>
                </c:pt>
                <c:pt idx="17">
                  <c:v>22458052</c:v>
                </c:pt>
                <c:pt idx="18">
                  <c:v>26748109</c:v>
                </c:pt>
                <c:pt idx="19">
                  <c:v>22211284</c:v>
                </c:pt>
                <c:pt idx="20">
                  <c:v>19674134.27</c:v>
                </c:pt>
                <c:pt idx="21">
                  <c:v>4877646</c:v>
                </c:pt>
                <c:pt idx="22">
                  <c:v>35513942.642869711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4-418E-A500-81CA32E03C31}"/>
            </c:ext>
          </c:extLst>
        </c:ser>
        <c:ser>
          <c:idx val="1"/>
          <c:order val="1"/>
          <c:tx>
            <c:strRef>
              <c:f>Pivot_Charts!$AK$5:$AK$6</c:f>
              <c:strCache>
                <c:ptCount val="1"/>
                <c:pt idx="0">
                  <c:v>B - IQ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Pivot_Charts!$AH$7:$AI$29</c:f>
              <c:multiLvlStrCache>
                <c:ptCount val="23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Xcel-CO</c:v>
                  </c:pt>
                  <c:pt idx="3">
                    <c:v>Eversource-CT</c:v>
                  </c:pt>
                  <c:pt idx="4">
                    <c:v>CNG-CT</c:v>
                  </c:pt>
                  <c:pt idx="5">
                    <c:v>SoCTGas-CT</c:v>
                  </c:pt>
                  <c:pt idx="6">
                    <c:v>Nicor-IL</c:v>
                  </c:pt>
                  <c:pt idx="7">
                    <c:v>Peoples-IL</c:v>
                  </c:pt>
                  <c:pt idx="8">
                    <c:v>Ameren-IL</c:v>
                  </c:pt>
                  <c:pt idx="9">
                    <c:v>North Shore-IL</c:v>
                  </c:pt>
                  <c:pt idx="10">
                    <c:v>Ngrid-MA</c:v>
                  </c:pt>
                  <c:pt idx="11">
                    <c:v>Eversource-MA</c:v>
                  </c:pt>
                  <c:pt idx="12">
                    <c:v>CMS-MI</c:v>
                  </c:pt>
                  <c:pt idx="13">
                    <c:v>DTE-MI</c:v>
                  </c:pt>
                  <c:pt idx="14">
                    <c:v>CtPt-MN</c:v>
                  </c:pt>
                  <c:pt idx="15">
                    <c:v>Xcel-MN</c:v>
                  </c:pt>
                  <c:pt idx="16">
                    <c:v>ConEd-NY</c:v>
                  </c:pt>
                  <c:pt idx="17">
                    <c:v>Ngrid-NY</c:v>
                  </c:pt>
                  <c:pt idx="18">
                    <c:v>NW Natural-OR</c:v>
                  </c:pt>
                  <c:pt idx="19">
                    <c:v>QUESTAR-UT</c:v>
                  </c:pt>
                  <c:pt idx="20">
                    <c:v>PSE-WA</c:v>
                  </c:pt>
                  <c:pt idx="21">
                    <c:v>Avista-WA</c:v>
                  </c:pt>
                  <c:pt idx="22">
                    <c:v>FOE-WI</c:v>
                  </c:pt>
                </c:lvl>
                <c:lvl>
                  <c:pt idx="0">
                    <c:v>CAN</c:v>
                  </c:pt>
                  <c:pt idx="2">
                    <c:v>CO</c:v>
                  </c:pt>
                  <c:pt idx="3">
                    <c:v>CT</c:v>
                  </c:pt>
                  <c:pt idx="6">
                    <c:v>IL</c:v>
                  </c:pt>
                  <c:pt idx="10">
                    <c:v>MA</c:v>
                  </c:pt>
                  <c:pt idx="12">
                    <c:v>MI</c:v>
                  </c:pt>
                  <c:pt idx="14">
                    <c:v>MN</c:v>
                  </c:pt>
                  <c:pt idx="16">
                    <c:v>NY</c:v>
                  </c:pt>
                  <c:pt idx="18">
                    <c:v>OR</c:v>
                  </c:pt>
                  <c:pt idx="19">
                    <c:v>UT</c:v>
                  </c:pt>
                  <c:pt idx="20">
                    <c:v>WA</c:v>
                  </c:pt>
                  <c:pt idx="22">
                    <c:v>WI</c:v>
                  </c:pt>
                </c:lvl>
              </c:multiLvlStrCache>
            </c:multiLvlStrRef>
          </c:cat>
          <c:val>
            <c:numRef>
              <c:f>Pivot_Charts!$AK$7:$AK$29</c:f>
              <c:numCache>
                <c:formatCode>"$"#,##0.00</c:formatCode>
                <c:ptCount val="23"/>
                <c:pt idx="0">
                  <c:v>17002978.567063998</c:v>
                </c:pt>
                <c:pt idx="1">
                  <c:v>7076185.8382324539</c:v>
                </c:pt>
                <c:pt idx="2">
                  <c:v>8046942</c:v>
                </c:pt>
                <c:pt idx="3">
                  <c:v>5108945</c:v>
                </c:pt>
                <c:pt idx="4">
                  <c:v>4305853</c:v>
                </c:pt>
                <c:pt idx="5">
                  <c:v>3506727</c:v>
                </c:pt>
                <c:pt idx="6">
                  <c:v>12999999.999999998</c:v>
                </c:pt>
                <c:pt idx="7">
                  <c:v>12417831</c:v>
                </c:pt>
                <c:pt idx="8">
                  <c:v>7537768</c:v>
                </c:pt>
                <c:pt idx="9">
                  <c:v>773839</c:v>
                </c:pt>
                <c:pt idx="10">
                  <c:v>71591998</c:v>
                </c:pt>
                <c:pt idx="11">
                  <c:v>39891788</c:v>
                </c:pt>
                <c:pt idx="12">
                  <c:v>31500524.348525196</c:v>
                </c:pt>
                <c:pt idx="13">
                  <c:v>19309745</c:v>
                </c:pt>
                <c:pt idx="14">
                  <c:v>8305337</c:v>
                </c:pt>
                <c:pt idx="15">
                  <c:v>4193335</c:v>
                </c:pt>
                <c:pt idx="16">
                  <c:v>440325</c:v>
                </c:pt>
                <c:pt idx="17">
                  <c:v>6260625</c:v>
                </c:pt>
                <c:pt idx="18">
                  <c:v>177428</c:v>
                </c:pt>
                <c:pt idx="19">
                  <c:v>759689</c:v>
                </c:pt>
                <c:pt idx="20">
                  <c:v>1660206.85</c:v>
                </c:pt>
                <c:pt idx="21">
                  <c:v>929540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D4-418E-A500-81CA32E03C31}"/>
            </c:ext>
          </c:extLst>
        </c:ser>
        <c:ser>
          <c:idx val="2"/>
          <c:order val="2"/>
          <c:tx>
            <c:strRef>
              <c:f>Pivot_Charts!$AL$5:$AL$6</c:f>
              <c:strCache>
                <c:ptCount val="1"/>
                <c:pt idx="0">
                  <c:v>C - C&amp;I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Pivot_Charts!$AH$7:$AI$29</c:f>
              <c:multiLvlStrCache>
                <c:ptCount val="23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Xcel-CO</c:v>
                  </c:pt>
                  <c:pt idx="3">
                    <c:v>Eversource-CT</c:v>
                  </c:pt>
                  <c:pt idx="4">
                    <c:v>CNG-CT</c:v>
                  </c:pt>
                  <c:pt idx="5">
                    <c:v>SoCTGas-CT</c:v>
                  </c:pt>
                  <c:pt idx="6">
                    <c:v>Nicor-IL</c:v>
                  </c:pt>
                  <c:pt idx="7">
                    <c:v>Peoples-IL</c:v>
                  </c:pt>
                  <c:pt idx="8">
                    <c:v>Ameren-IL</c:v>
                  </c:pt>
                  <c:pt idx="9">
                    <c:v>North Shore-IL</c:v>
                  </c:pt>
                  <c:pt idx="10">
                    <c:v>Ngrid-MA</c:v>
                  </c:pt>
                  <c:pt idx="11">
                    <c:v>Eversource-MA</c:v>
                  </c:pt>
                  <c:pt idx="12">
                    <c:v>CMS-MI</c:v>
                  </c:pt>
                  <c:pt idx="13">
                    <c:v>DTE-MI</c:v>
                  </c:pt>
                  <c:pt idx="14">
                    <c:v>CtPt-MN</c:v>
                  </c:pt>
                  <c:pt idx="15">
                    <c:v>Xcel-MN</c:v>
                  </c:pt>
                  <c:pt idx="16">
                    <c:v>ConEd-NY</c:v>
                  </c:pt>
                  <c:pt idx="17">
                    <c:v>Ngrid-NY</c:v>
                  </c:pt>
                  <c:pt idx="18">
                    <c:v>NW Natural-OR</c:v>
                  </c:pt>
                  <c:pt idx="19">
                    <c:v>QUESTAR-UT</c:v>
                  </c:pt>
                  <c:pt idx="20">
                    <c:v>PSE-WA</c:v>
                  </c:pt>
                  <c:pt idx="21">
                    <c:v>Avista-WA</c:v>
                  </c:pt>
                  <c:pt idx="22">
                    <c:v>FOE-WI</c:v>
                  </c:pt>
                </c:lvl>
                <c:lvl>
                  <c:pt idx="0">
                    <c:v>CAN</c:v>
                  </c:pt>
                  <c:pt idx="2">
                    <c:v>CO</c:v>
                  </c:pt>
                  <c:pt idx="3">
                    <c:v>CT</c:v>
                  </c:pt>
                  <c:pt idx="6">
                    <c:v>IL</c:v>
                  </c:pt>
                  <c:pt idx="10">
                    <c:v>MA</c:v>
                  </c:pt>
                  <c:pt idx="12">
                    <c:v>MI</c:v>
                  </c:pt>
                  <c:pt idx="14">
                    <c:v>MN</c:v>
                  </c:pt>
                  <c:pt idx="16">
                    <c:v>NY</c:v>
                  </c:pt>
                  <c:pt idx="18">
                    <c:v>OR</c:v>
                  </c:pt>
                  <c:pt idx="19">
                    <c:v>UT</c:v>
                  </c:pt>
                  <c:pt idx="20">
                    <c:v>WA</c:v>
                  </c:pt>
                  <c:pt idx="22">
                    <c:v>WI</c:v>
                  </c:pt>
                </c:lvl>
              </c:multiLvlStrCache>
            </c:multiLvlStrRef>
          </c:cat>
          <c:val>
            <c:numRef>
              <c:f>Pivot_Charts!$AL$7:$AL$29</c:f>
              <c:numCache>
                <c:formatCode>"$"#,##0.00</c:formatCode>
                <c:ptCount val="23"/>
                <c:pt idx="0">
                  <c:v>30788259.898551352</c:v>
                </c:pt>
                <c:pt idx="1">
                  <c:v>37565880.060511157</c:v>
                </c:pt>
                <c:pt idx="2">
                  <c:v>1885289</c:v>
                </c:pt>
                <c:pt idx="3">
                  <c:v>9429314</c:v>
                </c:pt>
                <c:pt idx="4">
                  <c:v>4515744</c:v>
                </c:pt>
                <c:pt idx="5">
                  <c:v>3725751</c:v>
                </c:pt>
                <c:pt idx="6">
                  <c:v>11021000</c:v>
                </c:pt>
                <c:pt idx="7">
                  <c:v>7022681</c:v>
                </c:pt>
                <c:pt idx="8">
                  <c:v>4857421</c:v>
                </c:pt>
                <c:pt idx="9">
                  <c:v>1507369</c:v>
                </c:pt>
                <c:pt idx="10">
                  <c:v>69131099</c:v>
                </c:pt>
                <c:pt idx="11">
                  <c:v>53235000</c:v>
                </c:pt>
                <c:pt idx="12">
                  <c:v>23121053.18937555</c:v>
                </c:pt>
                <c:pt idx="13">
                  <c:v>12575460.5</c:v>
                </c:pt>
                <c:pt idx="14">
                  <c:v>10936202</c:v>
                </c:pt>
                <c:pt idx="15">
                  <c:v>6908512</c:v>
                </c:pt>
                <c:pt idx="16">
                  <c:v>18569783</c:v>
                </c:pt>
                <c:pt idx="17">
                  <c:v>11570703</c:v>
                </c:pt>
                <c:pt idx="18">
                  <c:v>14528395</c:v>
                </c:pt>
                <c:pt idx="19">
                  <c:v>2690181</c:v>
                </c:pt>
                <c:pt idx="20">
                  <c:v>7824602.2999999998</c:v>
                </c:pt>
                <c:pt idx="21">
                  <c:v>2796828</c:v>
                </c:pt>
                <c:pt idx="22">
                  <c:v>46339045.357130289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D4-418E-A500-81CA32E03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70404815"/>
        <c:axId val="1233997503"/>
      </c:barChart>
      <c:catAx>
        <c:axId val="770404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3997503"/>
        <c:crosses val="autoZero"/>
        <c:auto val="1"/>
        <c:lblAlgn val="ctr"/>
        <c:lblOffset val="100"/>
        <c:noMultiLvlLbl val="0"/>
      </c:catAx>
      <c:valAx>
        <c:axId val="12339975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EE </a:t>
                </a:r>
                <a:r>
                  <a:rPr lang="en-US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Sector  </a:t>
                </a:r>
                <a:r>
                  <a:rPr lang="en-US"/>
                  <a:t>Spending as % Total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0404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Excel.xlsx]Pivot_Charts!PivotTable10</c:name>
    <c:fmtId val="3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Pivot_Charts!$C$340:$C$341</c:f>
              <c:strCache>
                <c:ptCount val="1"/>
                <c:pt idx="0">
                  <c:v>Behave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Pivot_Charts!$C$342:$C$353</c:f>
              <c:numCache>
                <c:formatCode>#,##0</c:formatCode>
                <c:ptCount val="12"/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D-40B8-85B1-C43E3EA81213}"/>
            </c:ext>
          </c:extLst>
        </c:ser>
        <c:ser>
          <c:idx val="1"/>
          <c:order val="1"/>
          <c:tx>
            <c:strRef>
              <c:f>Pivot_Charts!$D$340:$D$341</c:f>
              <c:strCache>
                <c:ptCount val="1"/>
                <c:pt idx="0">
                  <c:v>Kits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Pivot_Charts!$D$342:$D$353</c:f>
              <c:numCache>
                <c:formatCode>#,##0</c:formatCode>
                <c:ptCount val="12"/>
                <c:pt idx="1">
                  <c:v>443907.14714296872</c:v>
                </c:pt>
                <c:pt idx="2">
                  <c:v>294612.22222222219</c:v>
                </c:pt>
                <c:pt idx="3">
                  <c:v>565509.57085688226</c:v>
                </c:pt>
                <c:pt idx="8">
                  <c:v>1156946.7765998952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F4-48BE-B0C6-B58088173929}"/>
            </c:ext>
          </c:extLst>
        </c:ser>
        <c:ser>
          <c:idx val="2"/>
          <c:order val="2"/>
          <c:tx>
            <c:strRef>
              <c:f>Pivot_Charts!$E$340:$E$341</c:f>
              <c:strCache>
                <c:ptCount val="1"/>
                <c:pt idx="0">
                  <c:v>NC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Pivot_Charts!$E$342:$E$353</c:f>
              <c:numCache>
                <c:formatCode>#,##0</c:formatCode>
                <c:ptCount val="12"/>
                <c:pt idx="1">
                  <c:v>0</c:v>
                </c:pt>
                <c:pt idx="3">
                  <c:v>50250</c:v>
                </c:pt>
                <c:pt idx="11">
                  <c:v>4600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F4-48BE-B0C6-B58088173929}"/>
            </c:ext>
          </c:extLst>
        </c:ser>
        <c:ser>
          <c:idx val="3"/>
          <c:order val="3"/>
          <c:tx>
            <c:strRef>
              <c:f>Pivot_Charts!$F$340:$F$341</c:f>
              <c:strCache>
                <c:ptCount val="1"/>
                <c:pt idx="0">
                  <c:v>Wx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Pivot_Charts!$F$342:$F$353</c:f>
              <c:numCache>
                <c:formatCode>#,##0</c:formatCode>
                <c:ptCount val="12"/>
                <c:pt idx="0">
                  <c:v>978538.951</c:v>
                </c:pt>
                <c:pt idx="1">
                  <c:v>4600.074342180018</c:v>
                </c:pt>
                <c:pt idx="2">
                  <c:v>526814.4444444445</c:v>
                </c:pt>
                <c:pt idx="3">
                  <c:v>391238.48141663149</c:v>
                </c:pt>
                <c:pt idx="6">
                  <c:v>376500.41518724244</c:v>
                </c:pt>
                <c:pt idx="7">
                  <c:v>440181.52200000006</c:v>
                </c:pt>
                <c:pt idx="8">
                  <c:v>508505.62579415052</c:v>
                </c:pt>
                <c:pt idx="9">
                  <c:v>648063</c:v>
                </c:pt>
                <c:pt idx="10">
                  <c:v>241215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F4-48BE-B0C6-B58088173929}"/>
            </c:ext>
          </c:extLst>
        </c:ser>
        <c:ser>
          <c:idx val="4"/>
          <c:order val="4"/>
          <c:tx>
            <c:strRef>
              <c:f>Pivot_Charts!$G$340:$G$341</c:f>
              <c:strCache>
                <c:ptCount val="1"/>
                <c:pt idx="0">
                  <c:v>Equip-furnace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Pivot_Charts!$G$342:$G$353</c:f>
              <c:numCache>
                <c:formatCode>#,##0</c:formatCode>
                <c:ptCount val="12"/>
                <c:pt idx="1">
                  <c:v>3576.593686282512</c:v>
                </c:pt>
                <c:pt idx="3">
                  <c:v>89491.701257421286</c:v>
                </c:pt>
                <c:pt idx="7">
                  <c:v>50503.16</c:v>
                </c:pt>
                <c:pt idx="8">
                  <c:v>359678.58900675148</c:v>
                </c:pt>
                <c:pt idx="9">
                  <c:v>57068.183999999994</c:v>
                </c:pt>
                <c:pt idx="10">
                  <c:v>62915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F4-48BE-B0C6-B58088173929}"/>
            </c:ext>
          </c:extLst>
        </c:ser>
        <c:ser>
          <c:idx val="5"/>
          <c:order val="5"/>
          <c:tx>
            <c:strRef>
              <c:f>Pivot_Charts!$H$340:$H$341</c:f>
              <c:strCache>
                <c:ptCount val="1"/>
                <c:pt idx="0">
                  <c:v>Equip-boiler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Pivot_Charts!$H$342:$H$353</c:f>
              <c:numCache>
                <c:formatCode>#,##0</c:formatCode>
                <c:ptCount val="12"/>
                <c:pt idx="1">
                  <c:v>94270.713854451344</c:v>
                </c:pt>
                <c:pt idx="8">
                  <c:v>46658.0960390377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F4-48BE-B0C6-B58088173929}"/>
            </c:ext>
          </c:extLst>
        </c:ser>
        <c:ser>
          <c:idx val="6"/>
          <c:order val="6"/>
          <c:tx>
            <c:strRef>
              <c:f>Pivot_Charts!$I$340:$I$341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Pivot_Charts!$A$342:$B$353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Pivot_Charts!$I$342:$I$353</c:f>
              <c:numCache>
                <c:formatCode>#,##0</c:formatCode>
                <c:ptCount val="12"/>
                <c:pt idx="0">
                  <c:v>1573984.858</c:v>
                </c:pt>
                <c:pt idx="1">
                  <c:v>130045.37306858883</c:v>
                </c:pt>
                <c:pt idx="2">
                  <c:v>414551.11111111112</c:v>
                </c:pt>
                <c:pt idx="3">
                  <c:v>320010.24646906496</c:v>
                </c:pt>
                <c:pt idx="4">
                  <c:v>115634.44444444444</c:v>
                </c:pt>
                <c:pt idx="5">
                  <c:v>1984837.7777777778</c:v>
                </c:pt>
                <c:pt idx="6">
                  <c:v>809648.58481275756</c:v>
                </c:pt>
                <c:pt idx="7">
                  <c:v>1140316.318</c:v>
                </c:pt>
                <c:pt idx="8">
                  <c:v>658500.98028515012</c:v>
                </c:pt>
                <c:pt idx="9">
                  <c:v>590994.81599999999</c:v>
                </c:pt>
                <c:pt idx="10">
                  <c:v>73890</c:v>
                </c:pt>
                <c:pt idx="11">
                  <c:v>287630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F4-48BE-B0C6-B58088173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7325167"/>
        <c:axId val="937032751"/>
      </c:barChart>
      <c:catAx>
        <c:axId val="327325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032751"/>
        <c:crosses val="autoZero"/>
        <c:auto val="1"/>
        <c:lblAlgn val="ctr"/>
        <c:lblOffset val="100"/>
        <c:noMultiLvlLbl val="0"/>
      </c:catAx>
      <c:valAx>
        <c:axId val="937032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IQ Percent EE Gas Savings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325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Excel.xlsx]Pivot_Charts!PivotTable12</c:name>
    <c:fmtId val="34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Pivot_Charts!$T$340:$T$341</c:f>
              <c:strCache>
                <c:ptCount val="1"/>
                <c:pt idx="0">
                  <c:v>Behave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Pivot_Charts!$T$342:$T$353</c:f>
              <c:numCache>
                <c:formatCode>#,##0</c:formatCode>
                <c:ptCount val="12"/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4-4211-9DC2-A9B6BFF56E4D}"/>
            </c:ext>
          </c:extLst>
        </c:ser>
        <c:ser>
          <c:idx val="1"/>
          <c:order val="1"/>
          <c:tx>
            <c:strRef>
              <c:f>Pivot_Charts!$U$340:$U$341</c:f>
              <c:strCache>
                <c:ptCount val="1"/>
                <c:pt idx="0">
                  <c:v>Kits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Pivot_Charts!$U$342:$U$353</c:f>
              <c:numCache>
                <c:formatCode>#,##0</c:formatCode>
                <c:ptCount val="12"/>
                <c:pt idx="1">
                  <c:v>4386439.2576681497</c:v>
                </c:pt>
                <c:pt idx="2">
                  <c:v>2026089</c:v>
                </c:pt>
                <c:pt idx="3">
                  <c:v>1187268.0022470963</c:v>
                </c:pt>
                <c:pt idx="8">
                  <c:v>1225655.892521712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61-454F-81DC-5209A0004343}"/>
            </c:ext>
          </c:extLst>
        </c:ser>
        <c:ser>
          <c:idx val="2"/>
          <c:order val="2"/>
          <c:tx>
            <c:strRef>
              <c:f>Pivot_Charts!$V$340:$V$341</c:f>
              <c:strCache>
                <c:ptCount val="1"/>
                <c:pt idx="0">
                  <c:v>NC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Pivot_Charts!$V$342:$V$353</c:f>
              <c:numCache>
                <c:formatCode>#,##0</c:formatCode>
                <c:ptCount val="12"/>
                <c:pt idx="1">
                  <c:v>5469.2825768667644</c:v>
                </c:pt>
                <c:pt idx="3">
                  <c:v>301000</c:v>
                </c:pt>
                <c:pt idx="11">
                  <c:v>198213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61-454F-81DC-5209A0004343}"/>
            </c:ext>
          </c:extLst>
        </c:ser>
        <c:ser>
          <c:idx val="3"/>
          <c:order val="3"/>
          <c:tx>
            <c:strRef>
              <c:f>Pivot_Charts!$W$340:$W$341</c:f>
              <c:strCache>
                <c:ptCount val="1"/>
                <c:pt idx="0">
                  <c:v>Wx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Pivot_Charts!$W$342:$W$353</c:f>
              <c:numCache>
                <c:formatCode>#,##0</c:formatCode>
                <c:ptCount val="12"/>
                <c:pt idx="0">
                  <c:v>11360940.664799999</c:v>
                </c:pt>
                <c:pt idx="1">
                  <c:v>69882.867110647916</c:v>
                </c:pt>
                <c:pt idx="2">
                  <c:v>4326894</c:v>
                </c:pt>
                <c:pt idx="3">
                  <c:v>5057696.5988800032</c:v>
                </c:pt>
                <c:pt idx="6">
                  <c:v>9136769.9874556847</c:v>
                </c:pt>
                <c:pt idx="7">
                  <c:v>10254217</c:v>
                </c:pt>
                <c:pt idx="8">
                  <c:v>7467354.7756346148</c:v>
                </c:pt>
                <c:pt idx="9">
                  <c:v>9570859.5</c:v>
                </c:pt>
                <c:pt idx="10">
                  <c:v>5800818.833333333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61-454F-81DC-5209A0004343}"/>
            </c:ext>
          </c:extLst>
        </c:ser>
        <c:ser>
          <c:idx val="4"/>
          <c:order val="4"/>
          <c:tx>
            <c:strRef>
              <c:f>Pivot_Charts!$X$340:$X$341</c:f>
              <c:strCache>
                <c:ptCount val="1"/>
                <c:pt idx="0">
                  <c:v>Equip-furnace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Pivot_Charts!$X$342:$X$353</c:f>
              <c:numCache>
                <c:formatCode>#,##0</c:formatCode>
                <c:ptCount val="12"/>
                <c:pt idx="1">
                  <c:v>144091.94704922513</c:v>
                </c:pt>
                <c:pt idx="3">
                  <c:v>1744290.6219884255</c:v>
                </c:pt>
                <c:pt idx="8">
                  <c:v>4231748.8418846745</c:v>
                </c:pt>
                <c:pt idx="9">
                  <c:v>1139338.3938568812</c:v>
                </c:pt>
                <c:pt idx="10">
                  <c:v>1531159.1666666665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61-454F-81DC-5209A0004343}"/>
            </c:ext>
          </c:extLst>
        </c:ser>
        <c:ser>
          <c:idx val="5"/>
          <c:order val="5"/>
          <c:tx>
            <c:strRef>
              <c:f>Pivot_Charts!$Y$340:$Y$341</c:f>
              <c:strCache>
                <c:ptCount val="1"/>
                <c:pt idx="0">
                  <c:v>Equip-boiler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Pivot_Charts!$Y$342:$Y$353</c:f>
              <c:numCache>
                <c:formatCode>#,##0</c:formatCode>
                <c:ptCount val="12"/>
                <c:pt idx="1">
                  <c:v>432506.72353886341</c:v>
                </c:pt>
                <c:pt idx="8">
                  <c:v>403658.6996019592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61-454F-81DC-5209A0004343}"/>
            </c:ext>
          </c:extLst>
        </c:ser>
        <c:ser>
          <c:idx val="6"/>
          <c:order val="6"/>
          <c:tx>
            <c:strRef>
              <c:f>Pivot_Charts!$Z$340:$Z$341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Pivot_Charts!$R$342:$S$353</c:f>
              <c:multiLvlStrCache>
                <c:ptCount val="12"/>
                <c:lvl>
                  <c:pt idx="0">
                    <c:v>Enbridge-CAN</c:v>
                  </c:pt>
                  <c:pt idx="1">
                    <c:v>FortisBC-CAN</c:v>
                  </c:pt>
                  <c:pt idx="2">
                    <c:v>Ameren-IL</c:v>
                  </c:pt>
                  <c:pt idx="3">
                    <c:v>Nicor-IL</c:v>
                  </c:pt>
                  <c:pt idx="4">
                    <c:v>North Shore-IL</c:v>
                  </c:pt>
                  <c:pt idx="5">
                    <c:v>Peoples-IL</c:v>
                  </c:pt>
                  <c:pt idx="6">
                    <c:v>Eversource-MA</c:v>
                  </c:pt>
                  <c:pt idx="7">
                    <c:v>Ngrid-MA</c:v>
                  </c:pt>
                  <c:pt idx="8">
                    <c:v>CMS-MI</c:v>
                  </c:pt>
                  <c:pt idx="9">
                    <c:v>DTE-MI</c:v>
                  </c:pt>
                  <c:pt idx="10">
                    <c:v>CtPt-MN</c:v>
                  </c:pt>
                  <c:pt idx="11">
                    <c:v>Xcel-MN</c:v>
                  </c:pt>
                </c:lvl>
                <c:lvl>
                  <c:pt idx="0">
                    <c:v>CAN</c:v>
                  </c:pt>
                  <c:pt idx="2">
                    <c:v>IL</c:v>
                  </c:pt>
                  <c:pt idx="6">
                    <c:v>MA</c:v>
                  </c:pt>
                  <c:pt idx="8">
                    <c:v>MI</c:v>
                  </c:pt>
                  <c:pt idx="10">
                    <c:v>MN</c:v>
                  </c:pt>
                </c:lvl>
              </c:multiLvlStrCache>
            </c:multiLvlStrRef>
          </c:cat>
          <c:val>
            <c:numRef>
              <c:f>Pivot_Charts!$Z$342:$Z$353</c:f>
              <c:numCache>
                <c:formatCode>#,##0</c:formatCode>
                <c:ptCount val="12"/>
                <c:pt idx="0">
                  <c:v>5642037.9022639999</c:v>
                </c:pt>
                <c:pt idx="1">
                  <c:v>2037795.7602887005</c:v>
                </c:pt>
                <c:pt idx="2">
                  <c:v>1184785</c:v>
                </c:pt>
                <c:pt idx="3">
                  <c:v>4709744.7768844757</c:v>
                </c:pt>
                <c:pt idx="4">
                  <c:v>773839</c:v>
                </c:pt>
                <c:pt idx="5">
                  <c:v>12417831</c:v>
                </c:pt>
                <c:pt idx="6">
                  <c:v>26903230.012544315</c:v>
                </c:pt>
                <c:pt idx="7">
                  <c:v>48726521</c:v>
                </c:pt>
                <c:pt idx="8">
                  <c:v>18172106.138882235</c:v>
                </c:pt>
                <c:pt idx="9">
                  <c:v>8431521.1061431188</c:v>
                </c:pt>
                <c:pt idx="10">
                  <c:v>650234</c:v>
                </c:pt>
                <c:pt idx="11">
                  <c:v>3546489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61-454F-81DC-5209A0004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3457967"/>
        <c:axId val="1881232911"/>
      </c:barChart>
      <c:catAx>
        <c:axId val="943457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1232911"/>
        <c:crosses val="autoZero"/>
        <c:auto val="1"/>
        <c:lblAlgn val="ctr"/>
        <c:lblOffset val="100"/>
        <c:noMultiLvlLbl val="0"/>
      </c:catAx>
      <c:valAx>
        <c:axId val="18812329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IQ Percent EE Gas Spending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3457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Excel.xlsx]Pivot_Charts!PivotTable13</c:name>
    <c:fmtId val="23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Pivot_Charts!$AS$5:$AS$6</c:f>
              <c:strCache>
                <c:ptCount val="1"/>
                <c:pt idx="0">
                  <c:v>A - 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Pivot_Charts!$AR$7:$AR$29</c:f>
              <c:strCache>
                <c:ptCount val="23"/>
                <c:pt idx="0">
                  <c:v>Eversource-MA</c:v>
                </c:pt>
                <c:pt idx="1">
                  <c:v>Ngrid-MA</c:v>
                </c:pt>
                <c:pt idx="2">
                  <c:v>FortisBC-CAN</c:v>
                </c:pt>
                <c:pt idx="3">
                  <c:v>Avista-WA</c:v>
                </c:pt>
                <c:pt idx="4">
                  <c:v>CNG-CT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PSE-WA</c:v>
                </c:pt>
                <c:pt idx="8">
                  <c:v>FOE-WI</c:v>
                </c:pt>
                <c:pt idx="9">
                  <c:v>ConEd-NY</c:v>
                </c:pt>
                <c:pt idx="10">
                  <c:v>Enbridge-CAN</c:v>
                </c:pt>
                <c:pt idx="11">
                  <c:v>Ngrid-NY</c:v>
                </c:pt>
                <c:pt idx="12">
                  <c:v>Eversource-CT</c:v>
                </c:pt>
                <c:pt idx="13">
                  <c:v>QUESTAR-UT</c:v>
                </c:pt>
                <c:pt idx="14">
                  <c:v>Ameren-IL</c:v>
                </c:pt>
                <c:pt idx="15">
                  <c:v>CtPt-MN</c:v>
                </c:pt>
                <c:pt idx="16">
                  <c:v>CMS-MI</c:v>
                </c:pt>
                <c:pt idx="17">
                  <c:v>Xcel-MN</c:v>
                </c:pt>
                <c:pt idx="18">
                  <c:v>Nicor-IL</c:v>
                </c:pt>
                <c:pt idx="19">
                  <c:v>Peoples-IL</c:v>
                </c:pt>
                <c:pt idx="20">
                  <c:v>DTE-MI</c:v>
                </c:pt>
                <c:pt idx="21">
                  <c:v>North Shore-IL</c:v>
                </c:pt>
                <c:pt idx="22">
                  <c:v>Xcel-CO</c:v>
                </c:pt>
              </c:strCache>
            </c:strRef>
          </c:cat>
          <c:val>
            <c:numRef>
              <c:f>Pivot_Charts!$AS$7:$AS$29</c:f>
              <c:numCache>
                <c:formatCode>"$"#,##0</c:formatCode>
                <c:ptCount val="23"/>
                <c:pt idx="0">
                  <c:v>21.620260672304887</c:v>
                </c:pt>
                <c:pt idx="1">
                  <c:v>14.649391031750179</c:v>
                </c:pt>
                <c:pt idx="2">
                  <c:v>15.04497268757507</c:v>
                </c:pt>
                <c:pt idx="3">
                  <c:v>11.28155038903126</c:v>
                </c:pt>
                <c:pt idx="4">
                  <c:v>9.4926256726931673</c:v>
                </c:pt>
                <c:pt idx="5">
                  <c:v>9.6222556862579758</c:v>
                </c:pt>
                <c:pt idx="6">
                  <c:v>9.7384057448641297</c:v>
                </c:pt>
                <c:pt idx="7">
                  <c:v>8.7875439412002159</c:v>
                </c:pt>
                <c:pt idx="8">
                  <c:v>7.9440128482843315</c:v>
                </c:pt>
                <c:pt idx="9">
                  <c:v>4.26097720158781</c:v>
                </c:pt>
                <c:pt idx="10">
                  <c:v>5.8216066425171036</c:v>
                </c:pt>
                <c:pt idx="11">
                  <c:v>4.2393359936876358</c:v>
                </c:pt>
                <c:pt idx="12">
                  <c:v>3.2662321696489505</c:v>
                </c:pt>
                <c:pt idx="13">
                  <c:v>2.7780066865405431</c:v>
                </c:pt>
                <c:pt idx="14">
                  <c:v>2.2278002945720949</c:v>
                </c:pt>
                <c:pt idx="15">
                  <c:v>4.0691016376357361</c:v>
                </c:pt>
                <c:pt idx="16">
                  <c:v>2.6292065116349268</c:v>
                </c:pt>
                <c:pt idx="17">
                  <c:v>2.9365083209660168</c:v>
                </c:pt>
                <c:pt idx="18">
                  <c:v>2.2181481481481482</c:v>
                </c:pt>
                <c:pt idx="19">
                  <c:v>1.6553201880418207</c:v>
                </c:pt>
                <c:pt idx="20">
                  <c:v>2.3720127363567816</c:v>
                </c:pt>
                <c:pt idx="21">
                  <c:v>1.7244844007834887</c:v>
                </c:pt>
                <c:pt idx="22">
                  <c:v>1.9470429773378726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1-428E-A7B1-D5662122920F}"/>
            </c:ext>
          </c:extLst>
        </c:ser>
        <c:ser>
          <c:idx val="1"/>
          <c:order val="1"/>
          <c:tx>
            <c:strRef>
              <c:f>Pivot_Charts!$AT$5:$AT$6</c:f>
              <c:strCache>
                <c:ptCount val="1"/>
                <c:pt idx="0">
                  <c:v>C - C&amp;I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Pivot_Charts!$AR$7:$AR$29</c:f>
              <c:strCache>
                <c:ptCount val="23"/>
                <c:pt idx="0">
                  <c:v>Eversource-MA</c:v>
                </c:pt>
                <c:pt idx="1">
                  <c:v>Ngrid-MA</c:v>
                </c:pt>
                <c:pt idx="2">
                  <c:v>FortisBC-CAN</c:v>
                </c:pt>
                <c:pt idx="3">
                  <c:v>Avista-WA</c:v>
                </c:pt>
                <c:pt idx="4">
                  <c:v>CNG-CT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PSE-WA</c:v>
                </c:pt>
                <c:pt idx="8">
                  <c:v>FOE-WI</c:v>
                </c:pt>
                <c:pt idx="9">
                  <c:v>ConEd-NY</c:v>
                </c:pt>
                <c:pt idx="10">
                  <c:v>Enbridge-CAN</c:v>
                </c:pt>
                <c:pt idx="11">
                  <c:v>Ngrid-NY</c:v>
                </c:pt>
                <c:pt idx="12">
                  <c:v>Eversource-CT</c:v>
                </c:pt>
                <c:pt idx="13">
                  <c:v>QUESTAR-UT</c:v>
                </c:pt>
                <c:pt idx="14">
                  <c:v>Ameren-IL</c:v>
                </c:pt>
                <c:pt idx="15">
                  <c:v>CtPt-MN</c:v>
                </c:pt>
                <c:pt idx="16">
                  <c:v>CMS-MI</c:v>
                </c:pt>
                <c:pt idx="17">
                  <c:v>Xcel-MN</c:v>
                </c:pt>
                <c:pt idx="18">
                  <c:v>Nicor-IL</c:v>
                </c:pt>
                <c:pt idx="19">
                  <c:v>Peoples-IL</c:v>
                </c:pt>
                <c:pt idx="20">
                  <c:v>DTE-MI</c:v>
                </c:pt>
                <c:pt idx="21">
                  <c:v>North Shore-IL</c:v>
                </c:pt>
                <c:pt idx="22">
                  <c:v>Xcel-CO</c:v>
                </c:pt>
              </c:strCache>
            </c:strRef>
          </c:cat>
          <c:val>
            <c:numRef>
              <c:f>Pivot_Charts!$AT$7:$AT$29</c:f>
              <c:numCache>
                <c:formatCode>"$"#,##0</c:formatCode>
                <c:ptCount val="23"/>
                <c:pt idx="0">
                  <c:v>10.890333614277415</c:v>
                </c:pt>
                <c:pt idx="1">
                  <c:v>12.617118783548765</c:v>
                </c:pt>
                <c:pt idx="2">
                  <c:v>6.3539655284199252</c:v>
                </c:pt>
                <c:pt idx="3">
                  <c:v>5.4361912832882719</c:v>
                </c:pt>
                <c:pt idx="4">
                  <c:v>6.7285877658411444</c:v>
                </c:pt>
                <c:pt idx="5">
                  <c:v>5.948214848246109</c:v>
                </c:pt>
                <c:pt idx="6">
                  <c:v>5.0404617198303887</c:v>
                </c:pt>
                <c:pt idx="7">
                  <c:v>5.9358208430424337</c:v>
                </c:pt>
                <c:pt idx="8">
                  <c:v>5.5169847595576602</c:v>
                </c:pt>
                <c:pt idx="9">
                  <c:v>2.8361595476753756</c:v>
                </c:pt>
                <c:pt idx="10">
                  <c:v>1.0819000097930758</c:v>
                </c:pt>
                <c:pt idx="11">
                  <c:v>2.3268592124552803</c:v>
                </c:pt>
                <c:pt idx="12">
                  <c:v>2.6829010052568427</c:v>
                </c:pt>
                <c:pt idx="13">
                  <c:v>2.9024622521704004</c:v>
                </c:pt>
                <c:pt idx="14">
                  <c:v>3.0973966141381317</c:v>
                </c:pt>
                <c:pt idx="15">
                  <c:v>0.94105293411030155</c:v>
                </c:pt>
                <c:pt idx="16">
                  <c:v>1.7401690706614263</c:v>
                </c:pt>
                <c:pt idx="17">
                  <c:v>0.94501999879624199</c:v>
                </c:pt>
                <c:pt idx="18">
                  <c:v>1.5216070688941046</c:v>
                </c:pt>
                <c:pt idx="19">
                  <c:v>2.0697056540337075</c:v>
                </c:pt>
                <c:pt idx="20">
                  <c:v>1.2314910900607761</c:v>
                </c:pt>
                <c:pt idx="21">
                  <c:v>1.7676667702537101</c:v>
                </c:pt>
                <c:pt idx="22">
                  <c:v>1.1767537809513704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1-428E-A7B1-D5662122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9550191"/>
        <c:axId val="1659551631"/>
      </c:barChart>
      <c:catAx>
        <c:axId val="165955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9551631"/>
        <c:crosses val="autoZero"/>
        <c:auto val="1"/>
        <c:lblAlgn val="ctr"/>
        <c:lblOffset val="100"/>
        <c:noMultiLvlLbl val="0"/>
      </c:catAx>
      <c:valAx>
        <c:axId val="1659551631"/>
        <c:scaling>
          <c:orientation val="minMax"/>
        </c:scaling>
        <c:delete val="0"/>
        <c:axPos val="l"/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955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Excel.xlsx]Pivot_Charts!PivotTable5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Pivot_Charts!$L$5:$L$6</c:f>
              <c:strCache>
                <c:ptCount val="1"/>
                <c:pt idx="0">
                  <c:v>A - 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Pivot_Charts!$K$7:$K$29</c:f>
              <c:strCache>
                <c:ptCount val="23"/>
                <c:pt idx="0">
                  <c:v>Avista-WA</c:v>
                </c:pt>
                <c:pt idx="1">
                  <c:v>PSE-WA</c:v>
                </c:pt>
                <c:pt idx="2">
                  <c:v>Ngrid-MA</c:v>
                </c:pt>
                <c:pt idx="3">
                  <c:v>Eversource-MA</c:v>
                </c:pt>
                <c:pt idx="4">
                  <c:v>NW Natural-OR</c:v>
                </c:pt>
                <c:pt idx="5">
                  <c:v>CNG-CT</c:v>
                </c:pt>
                <c:pt idx="6">
                  <c:v>SoCTGas-CT</c:v>
                </c:pt>
                <c:pt idx="7">
                  <c:v>FortisBC-CAN</c:v>
                </c:pt>
                <c:pt idx="8">
                  <c:v>CtPt-MN</c:v>
                </c:pt>
                <c:pt idx="9">
                  <c:v>DTE-MI</c:v>
                </c:pt>
                <c:pt idx="10">
                  <c:v>Ngrid-NY</c:v>
                </c:pt>
                <c:pt idx="11">
                  <c:v>Xcel-MN</c:v>
                </c:pt>
                <c:pt idx="12">
                  <c:v>CMS-MI</c:v>
                </c:pt>
                <c:pt idx="13">
                  <c:v>Enbridge-CAN</c:v>
                </c:pt>
                <c:pt idx="14">
                  <c:v>FOE-WI</c:v>
                </c:pt>
                <c:pt idx="15">
                  <c:v>Nicor-IL</c:v>
                </c:pt>
                <c:pt idx="16">
                  <c:v>Eversource-CT</c:v>
                </c:pt>
                <c:pt idx="17">
                  <c:v>Ameren-IL</c:v>
                </c:pt>
                <c:pt idx="18">
                  <c:v>North Shore-IL</c:v>
                </c:pt>
                <c:pt idx="19">
                  <c:v>Peoples-IL</c:v>
                </c:pt>
                <c:pt idx="20">
                  <c:v>Xcel-CO</c:v>
                </c:pt>
                <c:pt idx="21">
                  <c:v>QUESTAR-UT</c:v>
                </c:pt>
                <c:pt idx="22">
                  <c:v>ConEd-NY</c:v>
                </c:pt>
              </c:strCache>
            </c:strRef>
          </c:cat>
          <c:val>
            <c:numRef>
              <c:f>Pivot_Charts!$L$7:$L$29</c:f>
              <c:numCache>
                <c:formatCode>"$"#,##0</c:formatCode>
                <c:ptCount val="23"/>
                <c:pt idx="0">
                  <c:v>11.28155038903126</c:v>
                </c:pt>
                <c:pt idx="1">
                  <c:v>8.7875439412002159</c:v>
                </c:pt>
                <c:pt idx="2">
                  <c:v>14.649391031750179</c:v>
                </c:pt>
                <c:pt idx="3">
                  <c:v>21.620260672304887</c:v>
                </c:pt>
                <c:pt idx="4">
                  <c:v>9.7384057448641297</c:v>
                </c:pt>
                <c:pt idx="5">
                  <c:v>9.4926256726931673</c:v>
                </c:pt>
                <c:pt idx="6">
                  <c:v>9.6222556862579758</c:v>
                </c:pt>
                <c:pt idx="7">
                  <c:v>15.04497268757507</c:v>
                </c:pt>
                <c:pt idx="8">
                  <c:v>4.0691016376357361</c:v>
                </c:pt>
                <c:pt idx="9">
                  <c:v>2.3720127363567816</c:v>
                </c:pt>
                <c:pt idx="10">
                  <c:v>4.2393359936876358</c:v>
                </c:pt>
                <c:pt idx="11">
                  <c:v>2.9365083209660168</c:v>
                </c:pt>
                <c:pt idx="12">
                  <c:v>2.6292065116349268</c:v>
                </c:pt>
                <c:pt idx="13">
                  <c:v>5.8216066425171036</c:v>
                </c:pt>
                <c:pt idx="14">
                  <c:v>7.9440128482843315</c:v>
                </c:pt>
                <c:pt idx="15">
                  <c:v>2.2181481481481482</c:v>
                </c:pt>
                <c:pt idx="16">
                  <c:v>3.2662321696489505</c:v>
                </c:pt>
                <c:pt idx="17">
                  <c:v>2.2278002945720949</c:v>
                </c:pt>
                <c:pt idx="18">
                  <c:v>1.7244844007834887</c:v>
                </c:pt>
                <c:pt idx="19">
                  <c:v>1.6553201880418207</c:v>
                </c:pt>
                <c:pt idx="20">
                  <c:v>1.9470429773378726</c:v>
                </c:pt>
                <c:pt idx="21">
                  <c:v>2.7780066865405431</c:v>
                </c:pt>
                <c:pt idx="22">
                  <c:v>4.26097720158781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C-4BC2-9F89-477AFBF475AF}"/>
            </c:ext>
          </c:extLst>
        </c:ser>
        <c:ser>
          <c:idx val="1"/>
          <c:order val="1"/>
          <c:tx>
            <c:strRef>
              <c:f>Pivot_Charts!$M$5:$M$6</c:f>
              <c:strCache>
                <c:ptCount val="1"/>
                <c:pt idx="0">
                  <c:v>B - IQ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Pivot_Charts!$K$7:$K$29</c:f>
              <c:strCache>
                <c:ptCount val="23"/>
                <c:pt idx="0">
                  <c:v>Avista-WA</c:v>
                </c:pt>
                <c:pt idx="1">
                  <c:v>PSE-WA</c:v>
                </c:pt>
                <c:pt idx="2">
                  <c:v>Ngrid-MA</c:v>
                </c:pt>
                <c:pt idx="3">
                  <c:v>Eversource-MA</c:v>
                </c:pt>
                <c:pt idx="4">
                  <c:v>NW Natural-OR</c:v>
                </c:pt>
                <c:pt idx="5">
                  <c:v>CNG-CT</c:v>
                </c:pt>
                <c:pt idx="6">
                  <c:v>SoCTGas-CT</c:v>
                </c:pt>
                <c:pt idx="7">
                  <c:v>FortisBC-CAN</c:v>
                </c:pt>
                <c:pt idx="8">
                  <c:v>CtPt-MN</c:v>
                </c:pt>
                <c:pt idx="9">
                  <c:v>DTE-MI</c:v>
                </c:pt>
                <c:pt idx="10">
                  <c:v>Ngrid-NY</c:v>
                </c:pt>
                <c:pt idx="11">
                  <c:v>Xcel-MN</c:v>
                </c:pt>
                <c:pt idx="12">
                  <c:v>CMS-MI</c:v>
                </c:pt>
                <c:pt idx="13">
                  <c:v>Enbridge-CAN</c:v>
                </c:pt>
                <c:pt idx="14">
                  <c:v>FOE-WI</c:v>
                </c:pt>
                <c:pt idx="15">
                  <c:v>Nicor-IL</c:v>
                </c:pt>
                <c:pt idx="16">
                  <c:v>Eversource-CT</c:v>
                </c:pt>
                <c:pt idx="17">
                  <c:v>Ameren-IL</c:v>
                </c:pt>
                <c:pt idx="18">
                  <c:v>North Shore-IL</c:v>
                </c:pt>
                <c:pt idx="19">
                  <c:v>Peoples-IL</c:v>
                </c:pt>
                <c:pt idx="20">
                  <c:v>Xcel-CO</c:v>
                </c:pt>
                <c:pt idx="21">
                  <c:v>QUESTAR-UT</c:v>
                </c:pt>
                <c:pt idx="22">
                  <c:v>ConEd-NY</c:v>
                </c:pt>
              </c:strCache>
            </c:strRef>
          </c:cat>
          <c:val>
            <c:numRef>
              <c:f>Pivot_Charts!$M$7:$M$29</c:f>
              <c:numCache>
                <c:formatCode>"$"#,##0</c:formatCode>
                <c:ptCount val="23"/>
                <c:pt idx="0">
                  <c:v>152.60876703332787</c:v>
                </c:pt>
                <c:pt idx="1">
                  <c:v>75.746274751345922</c:v>
                </c:pt>
                <c:pt idx="2">
                  <c:v>43.89451508613422</c:v>
                </c:pt>
                <c:pt idx="3">
                  <c:v>33.631346483451907</c:v>
                </c:pt>
                <c:pt idx="4">
                  <c:v>32.705622119815665</c:v>
                </c:pt>
                <c:pt idx="5">
                  <c:v>17.752481684593711</c:v>
                </c:pt>
                <c:pt idx="6">
                  <c:v>18.024674354051161</c:v>
                </c:pt>
                <c:pt idx="7">
                  <c:v>11.623935315190272</c:v>
                </c:pt>
                <c:pt idx="8">
                  <c:v>21.970628538172583</c:v>
                </c:pt>
                <c:pt idx="9">
                  <c:v>16.193527367506515</c:v>
                </c:pt>
                <c:pt idx="10">
                  <c:v>12.351539842563183</c:v>
                </c:pt>
                <c:pt idx="11">
                  <c:v>14.349433665263662</c:v>
                </c:pt>
                <c:pt idx="12">
                  <c:v>11.537427733740031</c:v>
                </c:pt>
                <c:pt idx="13">
                  <c:v>6.6612419077592238</c:v>
                </c:pt>
                <c:pt idx="15">
                  <c:v>9.1743119266055047</c:v>
                </c:pt>
                <c:pt idx="16">
                  <c:v>6.4657539912191355</c:v>
                </c:pt>
                <c:pt idx="17">
                  <c:v>6.7762527193944511</c:v>
                </c:pt>
                <c:pt idx="18">
                  <c:v>7.435683331571715</c:v>
                </c:pt>
                <c:pt idx="19">
                  <c:v>6.951495056410991</c:v>
                </c:pt>
                <c:pt idx="20">
                  <c:v>6.7932480688869195</c:v>
                </c:pt>
                <c:pt idx="21">
                  <c:v>3.8645618722496313</c:v>
                </c:pt>
                <c:pt idx="22">
                  <c:v>0.17365506797127342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6C-4BC2-9F89-477AFBF475AF}"/>
            </c:ext>
          </c:extLst>
        </c:ser>
        <c:ser>
          <c:idx val="2"/>
          <c:order val="2"/>
          <c:tx>
            <c:strRef>
              <c:f>Pivot_Charts!$N$5:$N$6</c:f>
              <c:strCache>
                <c:ptCount val="1"/>
                <c:pt idx="0">
                  <c:v>C - C&amp;I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Pivot_Charts!$K$7:$K$29</c:f>
              <c:strCache>
                <c:ptCount val="23"/>
                <c:pt idx="0">
                  <c:v>Avista-WA</c:v>
                </c:pt>
                <c:pt idx="1">
                  <c:v>PSE-WA</c:v>
                </c:pt>
                <c:pt idx="2">
                  <c:v>Ngrid-MA</c:v>
                </c:pt>
                <c:pt idx="3">
                  <c:v>Eversource-MA</c:v>
                </c:pt>
                <c:pt idx="4">
                  <c:v>NW Natural-OR</c:v>
                </c:pt>
                <c:pt idx="5">
                  <c:v>CNG-CT</c:v>
                </c:pt>
                <c:pt idx="6">
                  <c:v>SoCTGas-CT</c:v>
                </c:pt>
                <c:pt idx="7">
                  <c:v>FortisBC-CAN</c:v>
                </c:pt>
                <c:pt idx="8">
                  <c:v>CtPt-MN</c:v>
                </c:pt>
                <c:pt idx="9">
                  <c:v>DTE-MI</c:v>
                </c:pt>
                <c:pt idx="10">
                  <c:v>Ngrid-NY</c:v>
                </c:pt>
                <c:pt idx="11">
                  <c:v>Xcel-MN</c:v>
                </c:pt>
                <c:pt idx="12">
                  <c:v>CMS-MI</c:v>
                </c:pt>
                <c:pt idx="13">
                  <c:v>Enbridge-CAN</c:v>
                </c:pt>
                <c:pt idx="14">
                  <c:v>FOE-WI</c:v>
                </c:pt>
                <c:pt idx="15">
                  <c:v>Nicor-IL</c:v>
                </c:pt>
                <c:pt idx="16">
                  <c:v>Eversource-CT</c:v>
                </c:pt>
                <c:pt idx="17">
                  <c:v>Ameren-IL</c:v>
                </c:pt>
                <c:pt idx="18">
                  <c:v>North Shore-IL</c:v>
                </c:pt>
                <c:pt idx="19">
                  <c:v>Peoples-IL</c:v>
                </c:pt>
                <c:pt idx="20">
                  <c:v>Xcel-CO</c:v>
                </c:pt>
                <c:pt idx="21">
                  <c:v>QUESTAR-UT</c:v>
                </c:pt>
                <c:pt idx="22">
                  <c:v>ConEd-NY</c:v>
                </c:pt>
              </c:strCache>
            </c:strRef>
          </c:cat>
          <c:val>
            <c:numRef>
              <c:f>Pivot_Charts!$N$7:$N$29</c:f>
              <c:numCache>
                <c:formatCode>"$"#,##0</c:formatCode>
                <c:ptCount val="23"/>
                <c:pt idx="0">
                  <c:v>5.4361912832882719</c:v>
                </c:pt>
                <c:pt idx="1">
                  <c:v>5.9358208430424337</c:v>
                </c:pt>
                <c:pt idx="2">
                  <c:v>12.617118783548765</c:v>
                </c:pt>
                <c:pt idx="3">
                  <c:v>10.890333614277415</c:v>
                </c:pt>
                <c:pt idx="4">
                  <c:v>5.0404617198303887</c:v>
                </c:pt>
                <c:pt idx="5">
                  <c:v>6.7285877658411444</c:v>
                </c:pt>
                <c:pt idx="6">
                  <c:v>5.948214848246109</c:v>
                </c:pt>
                <c:pt idx="7">
                  <c:v>6.3539655284199252</c:v>
                </c:pt>
                <c:pt idx="8">
                  <c:v>0.94105293411030155</c:v>
                </c:pt>
                <c:pt idx="9">
                  <c:v>1.2314910900607761</c:v>
                </c:pt>
                <c:pt idx="10">
                  <c:v>2.3268592124552803</c:v>
                </c:pt>
                <c:pt idx="11">
                  <c:v>0.94501999879624199</c:v>
                </c:pt>
                <c:pt idx="12">
                  <c:v>1.7401690706614263</c:v>
                </c:pt>
                <c:pt idx="13">
                  <c:v>1.0819000097930758</c:v>
                </c:pt>
                <c:pt idx="14">
                  <c:v>5.5169847595576602</c:v>
                </c:pt>
                <c:pt idx="15">
                  <c:v>1.5216070688941046</c:v>
                </c:pt>
                <c:pt idx="16">
                  <c:v>2.6829010052568427</c:v>
                </c:pt>
                <c:pt idx="17">
                  <c:v>3.0973966141381317</c:v>
                </c:pt>
                <c:pt idx="18">
                  <c:v>1.7676667702537101</c:v>
                </c:pt>
                <c:pt idx="19">
                  <c:v>2.0697056540337075</c:v>
                </c:pt>
                <c:pt idx="20">
                  <c:v>1.1767537809513704</c:v>
                </c:pt>
                <c:pt idx="21">
                  <c:v>2.9024622521704004</c:v>
                </c:pt>
                <c:pt idx="22">
                  <c:v>2.8361595476753756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6C-4BC2-9F89-477AFBF47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4861135"/>
        <c:axId val="365272400"/>
      </c:barChart>
      <c:catAx>
        <c:axId val="103486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272400"/>
        <c:crosses val="autoZero"/>
        <c:auto val="1"/>
        <c:lblAlgn val="ctr"/>
        <c:lblOffset val="100"/>
        <c:noMultiLvlLbl val="0"/>
      </c:catAx>
      <c:valAx>
        <c:axId val="3652724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EE Spending per EE Savings ($/thm)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861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Excel.xlsx]EIAwTport_Pivot!PivotTable1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92D050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EIAwTport_Pivot!$B$5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71-4187-B82E-924AAFDD47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53-4D8D-A2F9-008BDEDD53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B9-4A5F-BEC8-EE2520661FB0}"/>
              </c:ext>
            </c:extLst>
          </c:dPt>
          <c:cat>
            <c:strRef>
              <c:f>EIAwTport_Pivot!$A$6:$A$26</c:f>
              <c:strCache>
                <c:ptCount val="20"/>
                <c:pt idx="0">
                  <c:v>Enbridge-CAN</c:v>
                </c:pt>
                <c:pt idx="1">
                  <c:v>Nicor-IL</c:v>
                </c:pt>
                <c:pt idx="2">
                  <c:v>FOE-WI</c:v>
                </c:pt>
                <c:pt idx="3">
                  <c:v>CMS-MI</c:v>
                </c:pt>
                <c:pt idx="4">
                  <c:v>PSEG-NJ</c:v>
                </c:pt>
                <c:pt idx="5">
                  <c:v>DTE-MI</c:v>
                </c:pt>
                <c:pt idx="6">
                  <c:v>ConEd-NY</c:v>
                </c:pt>
                <c:pt idx="7">
                  <c:v>Ngrid-NY</c:v>
                </c:pt>
                <c:pt idx="8">
                  <c:v>Xcel-CO</c:v>
                </c:pt>
                <c:pt idx="9">
                  <c:v>FortisBC-CAN</c:v>
                </c:pt>
                <c:pt idx="10">
                  <c:v>CtPt-MN</c:v>
                </c:pt>
                <c:pt idx="11">
                  <c:v>Ameren-IL</c:v>
                </c:pt>
                <c:pt idx="12">
                  <c:v>Peoples-IL</c:v>
                </c:pt>
                <c:pt idx="13">
                  <c:v>QUESTAR-UT</c:v>
                </c:pt>
                <c:pt idx="14">
                  <c:v>Ngrid-MA</c:v>
                </c:pt>
                <c:pt idx="15">
                  <c:v>PSE-WA</c:v>
                </c:pt>
                <c:pt idx="16">
                  <c:v>NW Natural-OR</c:v>
                </c:pt>
                <c:pt idx="17">
                  <c:v>Eversource-MA</c:v>
                </c:pt>
                <c:pt idx="18">
                  <c:v>Xcel-MN</c:v>
                </c:pt>
                <c:pt idx="19">
                  <c:v>Eversource-CT</c:v>
                </c:pt>
              </c:strCache>
            </c:strRef>
          </c:cat>
          <c:val>
            <c:numRef>
              <c:f>EIAwTport_Pivot!$B$6:$B$26</c:f>
              <c:numCache>
                <c:formatCode>0.0</c:formatCode>
                <c:ptCount val="20"/>
                <c:pt idx="0">
                  <c:v>9.1681150411065584</c:v>
                </c:pt>
                <c:pt idx="1">
                  <c:v>4.5704462557599994</c:v>
                </c:pt>
                <c:pt idx="2">
                  <c:v>3.8633756341599996</c:v>
                </c:pt>
                <c:pt idx="3">
                  <c:v>2.8981458612399997</c:v>
                </c:pt>
                <c:pt idx="4">
                  <c:v>2.7467489859600001</c:v>
                </c:pt>
                <c:pt idx="5">
                  <c:v>2.4183214666799997</c:v>
                </c:pt>
                <c:pt idx="6">
                  <c:v>2.2919952112399997</c:v>
                </c:pt>
                <c:pt idx="7">
                  <c:v>2.1568007750799998</c:v>
                </c:pt>
                <c:pt idx="8">
                  <c:v>1.9213666981599999</c:v>
                </c:pt>
                <c:pt idx="9">
                  <c:v>1.6398372825553611</c:v>
                </c:pt>
                <c:pt idx="10">
                  <c:v>1.6327903381999997</c:v>
                </c:pt>
                <c:pt idx="11">
                  <c:v>1.61233198</c:v>
                </c:pt>
                <c:pt idx="12">
                  <c:v>1.560214964</c:v>
                </c:pt>
                <c:pt idx="13">
                  <c:v>1.5581625754799999</c:v>
                </c:pt>
                <c:pt idx="14">
                  <c:v>1.2451957814800001</c:v>
                </c:pt>
                <c:pt idx="15">
                  <c:v>1.211875504</c:v>
                </c:pt>
                <c:pt idx="16">
                  <c:v>1.0552476989599999</c:v>
                </c:pt>
                <c:pt idx="17">
                  <c:v>0.87089204803999998</c:v>
                </c:pt>
                <c:pt idx="18">
                  <c:v>0.83228337387999995</c:v>
                </c:pt>
                <c:pt idx="19">
                  <c:v>0.5655529387199999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9-4A5F-BEC8-EE2520661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515434751"/>
        <c:axId val="76538863"/>
      </c:barChart>
      <c:catAx>
        <c:axId val="515434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38863"/>
        <c:crosses val="autoZero"/>
        <c:auto val="1"/>
        <c:lblAlgn val="ctr"/>
        <c:lblOffset val="100"/>
        <c:noMultiLvlLbl val="0"/>
      </c:catAx>
      <c:valAx>
        <c:axId val="76538863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Volume (Billion Therms)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434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Excel.xlsx]EIAwTport_Pivot!PivotTable2</c:name>
    <c:fmtId val="4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92D050"/>
          </a:solidFill>
          <a:ln>
            <a:noFill/>
          </a:ln>
          <a:effectLst/>
        </c:spPr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</c:pivotFmt>
      <c:pivotFmt>
        <c:idx val="3"/>
        <c:spPr>
          <a:solidFill>
            <a:schemeClr val="accent2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EIAwTport_Pivot!$B$38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B96-4EF9-884F-05C4645EAD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96-4EF9-884F-05C4645EAD41}"/>
              </c:ext>
            </c:extLst>
          </c:dPt>
          <c:cat>
            <c:strRef>
              <c:f>EIAwTport_Pivot!$A$39:$A$62</c:f>
              <c:strCache>
                <c:ptCount val="23"/>
                <c:pt idx="0">
                  <c:v>Enbridge-CAN</c:v>
                </c:pt>
                <c:pt idx="1">
                  <c:v>Nicor-IL</c:v>
                </c:pt>
                <c:pt idx="2">
                  <c:v>ConEd-NY</c:v>
                </c:pt>
                <c:pt idx="3">
                  <c:v>FOE-WI</c:v>
                </c:pt>
                <c:pt idx="4">
                  <c:v>CMS-MI</c:v>
                </c:pt>
                <c:pt idx="5">
                  <c:v>PSEG-NJ</c:v>
                </c:pt>
                <c:pt idx="6">
                  <c:v>Ngrid-NY</c:v>
                </c:pt>
                <c:pt idx="7">
                  <c:v>Peoples-IL</c:v>
                </c:pt>
                <c:pt idx="8">
                  <c:v>FortisBC-CAN</c:v>
                </c:pt>
                <c:pt idx="9">
                  <c:v>DTE-MI</c:v>
                </c:pt>
                <c:pt idx="10">
                  <c:v>Ngrid-MA</c:v>
                </c:pt>
                <c:pt idx="11">
                  <c:v>Xcel-CO</c:v>
                </c:pt>
                <c:pt idx="12">
                  <c:v>CtPt-MN</c:v>
                </c:pt>
                <c:pt idx="13">
                  <c:v>PSE-WA</c:v>
                </c:pt>
                <c:pt idx="14">
                  <c:v>Eversource-MA</c:v>
                </c:pt>
                <c:pt idx="15">
                  <c:v>Ameren-IL</c:v>
                </c:pt>
                <c:pt idx="16">
                  <c:v>QUESTAR-UT</c:v>
                </c:pt>
                <c:pt idx="17">
                  <c:v>NW Natural-OR</c:v>
                </c:pt>
                <c:pt idx="18">
                  <c:v>Eversource-CT</c:v>
                </c:pt>
                <c:pt idx="19">
                  <c:v>Xcel-MN</c:v>
                </c:pt>
                <c:pt idx="20">
                  <c:v>SoCTGas-CT</c:v>
                </c:pt>
                <c:pt idx="21">
                  <c:v>CNG-CT</c:v>
                </c:pt>
                <c:pt idx="22">
                  <c:v>AVISTA-WA</c:v>
                </c:pt>
              </c:strCache>
            </c:strRef>
          </c:cat>
          <c:val>
            <c:numRef>
              <c:f>EIAwTport_Pivot!$B$39:$B$62</c:f>
              <c:numCache>
                <c:formatCode>"$"#,##0</c:formatCode>
                <c:ptCount val="23"/>
                <c:pt idx="0">
                  <c:v>3.4250628075999998</c:v>
                </c:pt>
                <c:pt idx="1">
                  <c:v>2.1969124180000001</c:v>
                </c:pt>
                <c:pt idx="2">
                  <c:v>2.1380752489999999</c:v>
                </c:pt>
                <c:pt idx="3">
                  <c:v>2.0052446000000002</c:v>
                </c:pt>
                <c:pt idx="4">
                  <c:v>1.976161463</c:v>
                </c:pt>
                <c:pt idx="5">
                  <c:v>1.817153408</c:v>
                </c:pt>
                <c:pt idx="6">
                  <c:v>1.750657898</c:v>
                </c:pt>
                <c:pt idx="7">
                  <c:v>1.502663699</c:v>
                </c:pt>
                <c:pt idx="8">
                  <c:v>1.4296800000000001</c:v>
                </c:pt>
                <c:pt idx="9">
                  <c:v>1.280322374</c:v>
                </c:pt>
                <c:pt idx="10">
                  <c:v>1.231007132</c:v>
                </c:pt>
                <c:pt idx="11">
                  <c:v>1.224988736</c:v>
                </c:pt>
                <c:pt idx="12">
                  <c:v>1.1222306980000001</c:v>
                </c:pt>
                <c:pt idx="13">
                  <c:v>1.0560689999999999</c:v>
                </c:pt>
                <c:pt idx="14">
                  <c:v>0.98563999700000005</c:v>
                </c:pt>
                <c:pt idx="15">
                  <c:v>0.93488170699999995</c:v>
                </c:pt>
                <c:pt idx="16">
                  <c:v>0.89018681899999996</c:v>
                </c:pt>
                <c:pt idx="17">
                  <c:v>0.68718454600000001</c:v>
                </c:pt>
                <c:pt idx="18">
                  <c:v>0.59260135899999999</c:v>
                </c:pt>
                <c:pt idx="19">
                  <c:v>0.52610947299999999</c:v>
                </c:pt>
                <c:pt idx="20">
                  <c:v>0.39282344200000002</c:v>
                </c:pt>
                <c:pt idx="21">
                  <c:v>0.38921325000000001</c:v>
                </c:pt>
                <c:pt idx="22">
                  <c:v>0.16527836900000001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1-44C4-917C-2F29DDA0C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669510015"/>
        <c:axId val="2109010959"/>
      </c:barChart>
      <c:catAx>
        <c:axId val="669510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9010959"/>
        <c:crosses val="autoZero"/>
        <c:auto val="1"/>
        <c:lblAlgn val="ctr"/>
        <c:lblOffset val="100"/>
        <c:noMultiLvlLbl val="0"/>
      </c:catAx>
      <c:valAx>
        <c:axId val="2109010959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Sales Revenue (Billing $s)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510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Excel.xlsx]Pivot_Charts!PivotTable6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Pivot_Charts!$V$5:$V$6</c:f>
              <c:strCache>
                <c:ptCount val="1"/>
                <c:pt idx="0">
                  <c:v>A - 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Pivot_Charts!$U$7:$U$29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CNG-CT</c:v>
                </c:pt>
                <c:pt idx="4">
                  <c:v>Eversource-CT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Xcel-MN</c:v>
                </c:pt>
                <c:pt idx="8">
                  <c:v>Avista-WA</c:v>
                </c:pt>
                <c:pt idx="9">
                  <c:v>CMS-MI</c:v>
                </c:pt>
                <c:pt idx="10">
                  <c:v>CtPt-MN</c:v>
                </c:pt>
                <c:pt idx="11">
                  <c:v>PSE-WA</c:v>
                </c:pt>
                <c:pt idx="12">
                  <c:v>FOE-WI</c:v>
                </c:pt>
                <c:pt idx="13">
                  <c:v>DTE-MI</c:v>
                </c:pt>
                <c:pt idx="14">
                  <c:v>Ngrid-NY</c:v>
                </c:pt>
                <c:pt idx="15">
                  <c:v>ConEd-NY</c:v>
                </c:pt>
                <c:pt idx="16">
                  <c:v>QUESTAR-UT</c:v>
                </c:pt>
                <c:pt idx="17">
                  <c:v>Peoples-IL</c:v>
                </c:pt>
                <c:pt idx="18">
                  <c:v>Enbridge-CAN</c:v>
                </c:pt>
                <c:pt idx="19">
                  <c:v>North Shore-IL</c:v>
                </c:pt>
                <c:pt idx="20">
                  <c:v>Xcel-CO</c:v>
                </c:pt>
                <c:pt idx="21">
                  <c:v>Nicor-IL</c:v>
                </c:pt>
                <c:pt idx="22">
                  <c:v>Ameren-IL</c:v>
                </c:pt>
              </c:strCache>
            </c:strRef>
          </c:cat>
          <c:val>
            <c:numRef>
              <c:f>Pivot_Charts!$V$7:$V$29</c:f>
              <c:numCache>
                <c:formatCode>"$"#,##0.00</c:formatCode>
                <c:ptCount val="23"/>
                <c:pt idx="0">
                  <c:v>0.11103952491363367</c:v>
                </c:pt>
                <c:pt idx="1">
                  <c:v>0.10865870254869255</c:v>
                </c:pt>
                <c:pt idx="2">
                  <c:v>1.496748144609145E-2</c:v>
                </c:pt>
                <c:pt idx="3">
                  <c:v>1.4315398294863288E-2</c:v>
                </c:pt>
                <c:pt idx="4">
                  <c:v>1.2242369415797278E-2</c:v>
                </c:pt>
                <c:pt idx="5">
                  <c:v>1.5490042941911801E-2</c:v>
                </c:pt>
                <c:pt idx="6">
                  <c:v>2.5347706539764661E-2</c:v>
                </c:pt>
                <c:pt idx="7">
                  <c:v>1.6023713098854774E-2</c:v>
                </c:pt>
                <c:pt idx="8">
                  <c:v>1.8551257219320098E-2</c:v>
                </c:pt>
                <c:pt idx="9">
                  <c:v>8.7208648168311722E-3</c:v>
                </c:pt>
                <c:pt idx="10">
                  <c:v>1.6260179509188136E-2</c:v>
                </c:pt>
                <c:pt idx="11">
                  <c:v>1.6234451645455495E-2</c:v>
                </c:pt>
                <c:pt idx="12">
                  <c:v>9.1924643125185987E-3</c:v>
                </c:pt>
                <c:pt idx="13">
                  <c:v>7.424919411004002E-3</c:v>
                </c:pt>
                <c:pt idx="14">
                  <c:v>1.0412668735788538E-2</c:v>
                </c:pt>
                <c:pt idx="15">
                  <c:v>1.0055164987684068E-2</c:v>
                </c:pt>
                <c:pt idx="16">
                  <c:v>1.4254792375023962E-2</c:v>
                </c:pt>
                <c:pt idx="17">
                  <c:v>2.7111565377859054E-3</c:v>
                </c:pt>
                <c:pt idx="18">
                  <c:v>6.2110322858816933E-3</c:v>
                </c:pt>
                <c:pt idx="19">
                  <c:v>2.6863754979995023E-3</c:v>
                </c:pt>
                <c:pt idx="20">
                  <c:v>5.462080200541744E-3</c:v>
                </c:pt>
                <c:pt idx="21">
                  <c:v>2.6207506509685961E-3</c:v>
                </c:pt>
                <c:pt idx="22">
                  <c:v>1.3002396690041465E-3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8-4060-995D-28411AC6BD7E}"/>
            </c:ext>
          </c:extLst>
        </c:ser>
        <c:ser>
          <c:idx val="1"/>
          <c:order val="1"/>
          <c:tx>
            <c:strRef>
              <c:f>Pivot_Charts!$W$5:$W$6</c:f>
              <c:strCache>
                <c:ptCount val="1"/>
                <c:pt idx="0">
                  <c:v>B - IQ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Pivot_Charts!$U$7:$U$29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CNG-CT</c:v>
                </c:pt>
                <c:pt idx="4">
                  <c:v>Eversource-CT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Xcel-MN</c:v>
                </c:pt>
                <c:pt idx="8">
                  <c:v>Avista-WA</c:v>
                </c:pt>
                <c:pt idx="9">
                  <c:v>CMS-MI</c:v>
                </c:pt>
                <c:pt idx="10">
                  <c:v>CtPt-MN</c:v>
                </c:pt>
                <c:pt idx="11">
                  <c:v>PSE-WA</c:v>
                </c:pt>
                <c:pt idx="12">
                  <c:v>FOE-WI</c:v>
                </c:pt>
                <c:pt idx="13">
                  <c:v>DTE-MI</c:v>
                </c:pt>
                <c:pt idx="14">
                  <c:v>Ngrid-NY</c:v>
                </c:pt>
                <c:pt idx="15">
                  <c:v>ConEd-NY</c:v>
                </c:pt>
                <c:pt idx="16">
                  <c:v>QUESTAR-UT</c:v>
                </c:pt>
                <c:pt idx="17">
                  <c:v>Peoples-IL</c:v>
                </c:pt>
                <c:pt idx="18">
                  <c:v>Enbridge-CAN</c:v>
                </c:pt>
                <c:pt idx="19">
                  <c:v>North Shore-IL</c:v>
                </c:pt>
                <c:pt idx="20">
                  <c:v>Xcel-CO</c:v>
                </c:pt>
                <c:pt idx="21">
                  <c:v>Nicor-IL</c:v>
                </c:pt>
                <c:pt idx="22">
                  <c:v>Ameren-IL</c:v>
                </c:pt>
              </c:strCache>
            </c:strRef>
          </c:cat>
          <c:val>
            <c:numRef>
              <c:f>Pivot_Charts!$W$7:$W$29</c:f>
              <c:numCache>
                <c:formatCode>"$"#,##0.00</c:formatCode>
                <c:ptCount val="23"/>
                <c:pt idx="0">
                  <c:v>5.7494571588499951E-2</c:v>
                </c:pt>
                <c:pt idx="1">
                  <c:v>4.5805663388222576E-2</c:v>
                </c:pt>
                <c:pt idx="2">
                  <c:v>4.315175605231771E-3</c:v>
                </c:pt>
                <c:pt idx="3">
                  <c:v>1.1415068611549142E-2</c:v>
                </c:pt>
                <c:pt idx="4">
                  <c:v>9.0335398337119972E-3</c:v>
                </c:pt>
                <c:pt idx="5">
                  <c:v>9.511000870666449E-3</c:v>
                </c:pt>
                <c:pt idx="6">
                  <c:v>1.6813872247706797E-4</c:v>
                </c:pt>
                <c:pt idx="7">
                  <c:v>5.0383500759497366E-3</c:v>
                </c:pt>
                <c:pt idx="8">
                  <c:v>3.5353397183081358E-3</c:v>
                </c:pt>
                <c:pt idx="9">
                  <c:v>1.0869199086842163E-2</c:v>
                </c:pt>
                <c:pt idx="10">
                  <c:v>5.0865912209866844E-3</c:v>
                </c:pt>
                <c:pt idx="11">
                  <c:v>1.3699483523845531E-3</c:v>
                </c:pt>
                <c:pt idx="13">
                  <c:v>7.9847717791255608E-3</c:v>
                </c:pt>
                <c:pt idx="14">
                  <c:v>2.9027368092297639E-3</c:v>
                </c:pt>
                <c:pt idx="15">
                  <c:v>1.9211427573698041E-4</c:v>
                </c:pt>
                <c:pt idx="16">
                  <c:v>4.8755438742711037E-4</c:v>
                </c:pt>
                <c:pt idx="17">
                  <c:v>7.9590513400562418E-3</c:v>
                </c:pt>
                <c:pt idx="18">
                  <c:v>1.8545773575951775E-3</c:v>
                </c:pt>
                <c:pt idx="19">
                  <c:v>2.2681936138137463E-3</c:v>
                </c:pt>
                <c:pt idx="20">
                  <c:v>4.188134418956135E-3</c:v>
                </c:pt>
                <c:pt idx="21">
                  <c:v>2.8443612007506888E-3</c:v>
                </c:pt>
                <c:pt idx="22">
                  <c:v>4.6750719414496763E-3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8-4060-995D-28411AC6BD7E}"/>
            </c:ext>
          </c:extLst>
        </c:ser>
        <c:ser>
          <c:idx val="2"/>
          <c:order val="2"/>
          <c:tx>
            <c:strRef>
              <c:f>Pivot_Charts!$X$5:$X$6</c:f>
              <c:strCache>
                <c:ptCount val="1"/>
                <c:pt idx="0">
                  <c:v>C - C&amp;I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Pivot_Charts!$U$7:$U$29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CNG-CT</c:v>
                </c:pt>
                <c:pt idx="4">
                  <c:v>Eversource-CT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Xcel-MN</c:v>
                </c:pt>
                <c:pt idx="8">
                  <c:v>Avista-WA</c:v>
                </c:pt>
                <c:pt idx="9">
                  <c:v>CMS-MI</c:v>
                </c:pt>
                <c:pt idx="10">
                  <c:v>CtPt-MN</c:v>
                </c:pt>
                <c:pt idx="11">
                  <c:v>PSE-WA</c:v>
                </c:pt>
                <c:pt idx="12">
                  <c:v>FOE-WI</c:v>
                </c:pt>
                <c:pt idx="13">
                  <c:v>DTE-MI</c:v>
                </c:pt>
                <c:pt idx="14">
                  <c:v>Ngrid-NY</c:v>
                </c:pt>
                <c:pt idx="15">
                  <c:v>ConEd-NY</c:v>
                </c:pt>
                <c:pt idx="16">
                  <c:v>QUESTAR-UT</c:v>
                </c:pt>
                <c:pt idx="17">
                  <c:v>Peoples-IL</c:v>
                </c:pt>
                <c:pt idx="18">
                  <c:v>Enbridge-CAN</c:v>
                </c:pt>
                <c:pt idx="19">
                  <c:v>North Shore-IL</c:v>
                </c:pt>
                <c:pt idx="20">
                  <c:v>Xcel-CO</c:v>
                </c:pt>
                <c:pt idx="21">
                  <c:v>Nicor-IL</c:v>
                </c:pt>
                <c:pt idx="22">
                  <c:v>Ameren-IL</c:v>
                </c:pt>
              </c:strCache>
            </c:strRef>
          </c:cat>
          <c:val>
            <c:numRef>
              <c:f>Pivot_Charts!$X$7:$X$29</c:f>
              <c:numCache>
                <c:formatCode>"$"#,##0.00</c:formatCode>
                <c:ptCount val="23"/>
                <c:pt idx="0">
                  <c:v>5.551825666951183E-2</c:v>
                </c:pt>
                <c:pt idx="1">
                  <c:v>6.1126979078301252E-2</c:v>
                </c:pt>
                <c:pt idx="2">
                  <c:v>2.290829734153392E-2</c:v>
                </c:pt>
                <c:pt idx="3">
                  <c:v>1.1971501951458019E-2</c:v>
                </c:pt>
                <c:pt idx="4">
                  <c:v>1.6672734512424427E-2</c:v>
                </c:pt>
                <c:pt idx="5">
                  <c:v>1.0105041254961219E-2</c:v>
                </c:pt>
                <c:pt idx="6">
                  <c:v>1.3767758048009456E-2</c:v>
                </c:pt>
                <c:pt idx="7">
                  <c:v>8.3006728439057823E-3</c:v>
                </c:pt>
                <c:pt idx="8">
                  <c:v>1.063723682001453E-2</c:v>
                </c:pt>
                <c:pt idx="9">
                  <c:v>7.977877683314042E-3</c:v>
                </c:pt>
                <c:pt idx="10">
                  <c:v>6.6978605545009225E-3</c:v>
                </c:pt>
                <c:pt idx="11">
                  <c:v>6.4566057108783681E-3</c:v>
                </c:pt>
                <c:pt idx="12">
                  <c:v>1.1994444689095222E-2</c:v>
                </c:pt>
                <c:pt idx="13">
                  <c:v>5.2000781009748304E-3</c:v>
                </c:pt>
                <c:pt idx="14">
                  <c:v>5.3647528013201964E-3</c:v>
                </c:pt>
                <c:pt idx="15">
                  <c:v>8.1020164915412279E-3</c:v>
                </c:pt>
                <c:pt idx="16">
                  <c:v>1.7265085443162285E-3</c:v>
                </c:pt>
                <c:pt idx="17">
                  <c:v>4.5010983499322475E-3</c:v>
                </c:pt>
                <c:pt idx="18">
                  <c:v>3.3581886527937086E-3</c:v>
                </c:pt>
                <c:pt idx="19">
                  <c:v>4.4182378239670181E-3</c:v>
                </c:pt>
                <c:pt idx="20">
                  <c:v>9.8122289816173565E-4</c:v>
                </c:pt>
                <c:pt idx="21">
                  <c:v>2.4113619071902568E-3</c:v>
                </c:pt>
                <c:pt idx="22">
                  <c:v>3.0126680238644152E-3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8-4060-995D-28411AC6BD7E}"/>
            </c:ext>
          </c:extLst>
        </c:ser>
        <c:ser>
          <c:idx val="3"/>
          <c:order val="3"/>
          <c:tx>
            <c:strRef>
              <c:f>Pivot_Charts!$Y$5:$Y$6</c:f>
              <c:strCache>
                <c:ptCount val="1"/>
                <c:pt idx="0">
                  <c:v>D - Overhead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Pivot_Charts!$U$7:$U$29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CNG-CT</c:v>
                </c:pt>
                <c:pt idx="4">
                  <c:v>Eversource-CT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Xcel-MN</c:v>
                </c:pt>
                <c:pt idx="8">
                  <c:v>Avista-WA</c:v>
                </c:pt>
                <c:pt idx="9">
                  <c:v>CMS-MI</c:v>
                </c:pt>
                <c:pt idx="10">
                  <c:v>CtPt-MN</c:v>
                </c:pt>
                <c:pt idx="11">
                  <c:v>PSE-WA</c:v>
                </c:pt>
                <c:pt idx="12">
                  <c:v>FOE-WI</c:v>
                </c:pt>
                <c:pt idx="13">
                  <c:v>DTE-MI</c:v>
                </c:pt>
                <c:pt idx="14">
                  <c:v>Ngrid-NY</c:v>
                </c:pt>
                <c:pt idx="15">
                  <c:v>ConEd-NY</c:v>
                </c:pt>
                <c:pt idx="16">
                  <c:v>QUESTAR-UT</c:v>
                </c:pt>
                <c:pt idx="17">
                  <c:v>Peoples-IL</c:v>
                </c:pt>
                <c:pt idx="18">
                  <c:v>Enbridge-CAN</c:v>
                </c:pt>
                <c:pt idx="19">
                  <c:v>North Shore-IL</c:v>
                </c:pt>
                <c:pt idx="20">
                  <c:v>Xcel-CO</c:v>
                </c:pt>
                <c:pt idx="21">
                  <c:v>Nicor-IL</c:v>
                </c:pt>
                <c:pt idx="22">
                  <c:v>Ameren-IL</c:v>
                </c:pt>
              </c:strCache>
            </c:strRef>
          </c:cat>
          <c:val>
            <c:numRef>
              <c:f>Pivot_Charts!$Y$7:$Y$29</c:f>
              <c:numCache>
                <c:formatCode>"$"#,##0.00</c:formatCode>
                <c:ptCount val="23"/>
                <c:pt idx="2">
                  <c:v>2.6923781078571421E-2</c:v>
                </c:pt>
                <c:pt idx="3">
                  <c:v>5.9080298908511034E-3</c:v>
                </c:pt>
                <c:pt idx="4">
                  <c:v>4.4310051781742783E-3</c:v>
                </c:pt>
                <c:pt idx="5">
                  <c:v>5.9613746966046908E-3</c:v>
                </c:pt>
                <c:pt idx="7">
                  <c:v>5.2992624127992157E-3</c:v>
                </c:pt>
                <c:pt idx="9">
                  <c:v>2.0851124440694848E-3</c:v>
                </c:pt>
                <c:pt idx="10">
                  <c:v>0</c:v>
                </c:pt>
                <c:pt idx="17">
                  <c:v>4.4865612505431653E-4</c:v>
                </c:pt>
                <c:pt idx="18">
                  <c:v>1.582689040673818E-3</c:v>
                </c:pt>
                <c:pt idx="19">
                  <c:v>2.1944443978693861E-3</c:v>
                </c:pt>
                <c:pt idx="20">
                  <c:v>6.7236722757668048E-4</c:v>
                </c:pt>
                <c:pt idx="21">
                  <c:v>2.1234250348681101E-3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8-4060-995D-28411AC6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6570607"/>
        <c:axId val="2036069663"/>
      </c:barChart>
      <c:catAx>
        <c:axId val="47657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6069663"/>
        <c:crosses val="autoZero"/>
        <c:auto val="1"/>
        <c:lblAlgn val="ctr"/>
        <c:lblOffset val="100"/>
        <c:noMultiLvlLbl val="0"/>
      </c:catAx>
      <c:valAx>
        <c:axId val="20360696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EE Spending per Sales Volume ($/thm)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57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Excel.xlsx]Pivot_Charts!PivotTable7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Pivot_Charts!$B$59:$B$60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Pivot_Charts!$A$61:$A$83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Enbridge-CAN</c:v>
                </c:pt>
                <c:pt idx="3">
                  <c:v>FortisBC-CAN</c:v>
                </c:pt>
                <c:pt idx="4">
                  <c:v>CMS-MI</c:v>
                </c:pt>
                <c:pt idx="5">
                  <c:v>FOE-WI</c:v>
                </c:pt>
                <c:pt idx="6">
                  <c:v>DTE-MI</c:v>
                </c:pt>
                <c:pt idx="7">
                  <c:v>CtPt-MN</c:v>
                </c:pt>
                <c:pt idx="8">
                  <c:v>Nicor-IL</c:v>
                </c:pt>
                <c:pt idx="9">
                  <c:v>ConEd-NY</c:v>
                </c:pt>
                <c:pt idx="10">
                  <c:v>NW Natural-OR</c:v>
                </c:pt>
                <c:pt idx="11">
                  <c:v>Ngrid-NY</c:v>
                </c:pt>
                <c:pt idx="12">
                  <c:v>PSE-WA</c:v>
                </c:pt>
                <c:pt idx="13">
                  <c:v>Xcel-MN</c:v>
                </c:pt>
                <c:pt idx="14">
                  <c:v>QUESTAR-UT</c:v>
                </c:pt>
                <c:pt idx="15">
                  <c:v>Peoples-IL</c:v>
                </c:pt>
                <c:pt idx="16">
                  <c:v>Eversource-CT</c:v>
                </c:pt>
                <c:pt idx="17">
                  <c:v>Xcel-CO</c:v>
                </c:pt>
                <c:pt idx="18">
                  <c:v>CNG-CT</c:v>
                </c:pt>
                <c:pt idx="19">
                  <c:v>SoCTGas-CT</c:v>
                </c:pt>
                <c:pt idx="20">
                  <c:v>Ameren-IL</c:v>
                </c:pt>
                <c:pt idx="21">
                  <c:v>Avista-WA</c:v>
                </c:pt>
                <c:pt idx="22">
                  <c:v>North Shore-IL</c:v>
                </c:pt>
              </c:strCache>
            </c:strRef>
          </c:cat>
          <c:val>
            <c:numRef>
              <c:f>Pivot_Charts!$B$61:$B$83</c:f>
              <c:numCache>
                <c:formatCode>"$"#,##0</c:formatCode>
                <c:ptCount val="23"/>
                <c:pt idx="0">
                  <c:v>278.98904499999998</c:v>
                </c:pt>
                <c:pt idx="1">
                  <c:v>187.756788</c:v>
                </c:pt>
                <c:pt idx="2">
                  <c:v>119.2449721858019</c:v>
                </c:pt>
                <c:pt idx="3">
                  <c:v>113.33691999999996</c:v>
                </c:pt>
                <c:pt idx="4">
                  <c:v>85.938875813233537</c:v>
                </c:pt>
                <c:pt idx="5">
                  <c:v>81.852987999999996</c:v>
                </c:pt>
                <c:pt idx="6">
                  <c:v>49.841047500000002</c:v>
                </c:pt>
                <c:pt idx="7">
                  <c:v>45.791003000000003</c:v>
                </c:pt>
                <c:pt idx="8">
                  <c:v>45.704000000000001</c:v>
                </c:pt>
                <c:pt idx="9">
                  <c:v>42.056497999999998</c:v>
                </c:pt>
                <c:pt idx="10">
                  <c:v>41.453932000000002</c:v>
                </c:pt>
                <c:pt idx="11">
                  <c:v>40.289380000000001</c:v>
                </c:pt>
                <c:pt idx="12">
                  <c:v>29.158943420000003</c:v>
                </c:pt>
                <c:pt idx="13">
                  <c:v>28.848604999999999</c:v>
                </c:pt>
                <c:pt idx="14">
                  <c:v>25.661154</c:v>
                </c:pt>
                <c:pt idx="15">
                  <c:v>24.370498999999999</c:v>
                </c:pt>
                <c:pt idx="16">
                  <c:v>23.967935000000001</c:v>
                </c:pt>
                <c:pt idx="17">
                  <c:v>21.718754000000001</c:v>
                </c:pt>
                <c:pt idx="18">
                  <c:v>16.450032</c:v>
                </c:pt>
                <c:pt idx="19">
                  <c:v>15.141662999999999</c:v>
                </c:pt>
                <c:pt idx="20">
                  <c:v>14.491607</c:v>
                </c:pt>
                <c:pt idx="21">
                  <c:v>8.6040139999999994</c:v>
                </c:pt>
                <c:pt idx="22">
                  <c:v>3.946396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7-4891-9929-4B9BB063D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818034063"/>
        <c:axId val="2120352863"/>
      </c:barChart>
      <c:catAx>
        <c:axId val="181803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352863"/>
        <c:crosses val="autoZero"/>
        <c:auto val="1"/>
        <c:lblAlgn val="ctr"/>
        <c:lblOffset val="100"/>
        <c:noMultiLvlLbl val="0"/>
      </c:catAx>
      <c:valAx>
        <c:axId val="21203528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Gas EE Budget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03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Excel.xlsx]Pivot_Charts!PivotTable9</c:name>
    <c:fmtId val="9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Pivot_Charts!$L$59:$L$60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Pivot_Charts!$K$61:$K$83</c:f>
              <c:strCache>
                <c:ptCount val="23"/>
                <c:pt idx="0">
                  <c:v>Enbridge-CAN</c:v>
                </c:pt>
                <c:pt idx="1">
                  <c:v>CMS-MI</c:v>
                </c:pt>
                <c:pt idx="2">
                  <c:v>DTE-MI</c:v>
                </c:pt>
                <c:pt idx="3">
                  <c:v>CtPt-MN</c:v>
                </c:pt>
                <c:pt idx="4">
                  <c:v>Ngrid-MA</c:v>
                </c:pt>
                <c:pt idx="5">
                  <c:v>Nicor-IL</c:v>
                </c:pt>
                <c:pt idx="6">
                  <c:v>FOE-WI</c:v>
                </c:pt>
                <c:pt idx="7">
                  <c:v>Xcel-MN</c:v>
                </c:pt>
                <c:pt idx="8">
                  <c:v>ConEd-NY</c:v>
                </c:pt>
                <c:pt idx="9">
                  <c:v>Eversource-MA</c:v>
                </c:pt>
                <c:pt idx="10">
                  <c:v>Ngrid-NY</c:v>
                </c:pt>
                <c:pt idx="11">
                  <c:v>QUESTAR-UT</c:v>
                </c:pt>
                <c:pt idx="12">
                  <c:v>Xcel-CO</c:v>
                </c:pt>
                <c:pt idx="13">
                  <c:v>FortisBC-CAN</c:v>
                </c:pt>
                <c:pt idx="14">
                  <c:v>Peoples-IL</c:v>
                </c:pt>
                <c:pt idx="15">
                  <c:v>Eversource-CT</c:v>
                </c:pt>
                <c:pt idx="16">
                  <c:v>NW Natural-OR</c:v>
                </c:pt>
                <c:pt idx="17">
                  <c:v>Ameren-IL</c:v>
                </c:pt>
                <c:pt idx="18">
                  <c:v>PSE-WA</c:v>
                </c:pt>
                <c:pt idx="19">
                  <c:v>North Shore-IL</c:v>
                </c:pt>
                <c:pt idx="20">
                  <c:v>CNG-CT</c:v>
                </c:pt>
                <c:pt idx="21">
                  <c:v>SoCTGas-CT</c:v>
                </c:pt>
                <c:pt idx="22">
                  <c:v>Avista-WA</c:v>
                </c:pt>
              </c:strCache>
            </c:strRef>
          </c:cat>
          <c:val>
            <c:numRef>
              <c:f>Pivot_Charts!$L$61:$L$83</c:f>
              <c:numCache>
                <c:formatCode>#,##0</c:formatCode>
                <c:ptCount val="23"/>
                <c:pt idx="0">
                  <c:v>40791506.531866409</c:v>
                </c:pt>
                <c:pt idx="1">
                  <c:v>25629875.47750745</c:v>
                </c:pt>
                <c:pt idx="2">
                  <c:v>18973884.34</c:v>
                </c:pt>
                <c:pt idx="3">
                  <c:v>18523910</c:v>
                </c:pt>
                <c:pt idx="4">
                  <c:v>16548493</c:v>
                </c:pt>
                <c:pt idx="5">
                  <c:v>14060000.000000004</c:v>
                </c:pt>
                <c:pt idx="6">
                  <c:v>12869872</c:v>
                </c:pt>
                <c:pt idx="7">
                  <c:v>12144210</c:v>
                </c:pt>
                <c:pt idx="8">
                  <c:v>14491850</c:v>
                </c:pt>
                <c:pt idx="9">
                  <c:v>10451342</c:v>
                </c:pt>
                <c:pt idx="10">
                  <c:v>10777080</c:v>
                </c:pt>
                <c:pt idx="11">
                  <c:v>9118843.3272591308</c:v>
                </c:pt>
                <c:pt idx="12">
                  <c:v>8176710</c:v>
                </c:pt>
                <c:pt idx="13">
                  <c:v>8152345.4841779983</c:v>
                </c:pt>
                <c:pt idx="14">
                  <c:v>7734825</c:v>
                </c:pt>
                <c:pt idx="15">
                  <c:v>6424535.2800000012</c:v>
                </c:pt>
                <c:pt idx="16">
                  <c:v>5634441</c:v>
                </c:pt>
                <c:pt idx="17">
                  <c:v>3621633</c:v>
                </c:pt>
                <c:pt idx="18">
                  <c:v>3578984.6543000001</c:v>
                </c:pt>
                <c:pt idx="19">
                  <c:v>1488285</c:v>
                </c:pt>
                <c:pt idx="20">
                  <c:v>1482527.3959999999</c:v>
                </c:pt>
                <c:pt idx="21">
                  <c:v>1414458.0519999999</c:v>
                </c:pt>
                <c:pt idx="22">
                  <c:v>952930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B-4BED-9063-4BDC19E2A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41292639"/>
        <c:axId val="2062225359"/>
      </c:barChart>
      <c:catAx>
        <c:axId val="141292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225359"/>
        <c:crosses val="autoZero"/>
        <c:auto val="1"/>
        <c:lblAlgn val="ctr"/>
        <c:lblOffset val="100"/>
        <c:noMultiLvlLbl val="0"/>
      </c:catAx>
      <c:valAx>
        <c:axId val="206222535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292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Excel.xlsx]Pivot_Charts!PivotTable16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Pivot_Charts!$B$155:$B$156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Pivot_Charts!$A$157:$A$179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NW Natural-OR</c:v>
                </c:pt>
                <c:pt idx="4">
                  <c:v>Xcel-MN</c:v>
                </c:pt>
                <c:pt idx="5">
                  <c:v>Avista-WA</c:v>
                </c:pt>
                <c:pt idx="6">
                  <c:v>CMS-MI</c:v>
                </c:pt>
                <c:pt idx="7">
                  <c:v>CNG-CT</c:v>
                </c:pt>
                <c:pt idx="8">
                  <c:v>FOE-WI</c:v>
                </c:pt>
                <c:pt idx="9">
                  <c:v>CtPt-MN</c:v>
                </c:pt>
                <c:pt idx="10">
                  <c:v>Eversource-CT</c:v>
                </c:pt>
                <c:pt idx="11">
                  <c:v>DTE-MI</c:v>
                </c:pt>
                <c:pt idx="12">
                  <c:v>SoCTGas-CT</c:v>
                </c:pt>
                <c:pt idx="13">
                  <c:v>Enbridge-CAN</c:v>
                </c:pt>
                <c:pt idx="14">
                  <c:v>QUESTAR-UT</c:v>
                </c:pt>
                <c:pt idx="15">
                  <c:v>PSE-WA</c:v>
                </c:pt>
                <c:pt idx="16">
                  <c:v>Ngrid-NY</c:v>
                </c:pt>
                <c:pt idx="17">
                  <c:v>Nicor-IL</c:v>
                </c:pt>
                <c:pt idx="18">
                  <c:v>ConEd-NY</c:v>
                </c:pt>
                <c:pt idx="19">
                  <c:v>North Shore-IL</c:v>
                </c:pt>
                <c:pt idx="20">
                  <c:v>Xcel-CO</c:v>
                </c:pt>
                <c:pt idx="21">
                  <c:v>Peoples-IL</c:v>
                </c:pt>
                <c:pt idx="22">
                  <c:v>Ameren-IL</c:v>
                </c:pt>
              </c:strCache>
            </c:strRef>
          </c:cat>
          <c:val>
            <c:numRef>
              <c:f>Pivot_Charts!$B$157:$B$179</c:f>
              <c:numCache>
                <c:formatCode>0%</c:formatCode>
                <c:ptCount val="23"/>
                <c:pt idx="0">
                  <c:v>0.22663479174708792</c:v>
                </c:pt>
                <c:pt idx="1">
                  <c:v>0.19049225738756217</c:v>
                </c:pt>
                <c:pt idx="2">
                  <c:v>7.927432712215321E-2</c:v>
                </c:pt>
                <c:pt idx="3">
                  <c:v>6.0324307700598379E-2</c:v>
                </c:pt>
                <c:pt idx="4">
                  <c:v>5.483384443830381E-2</c:v>
                </c:pt>
                <c:pt idx="5">
                  <c:v>5.2057713614054354E-2</c:v>
                </c:pt>
                <c:pt idx="6">
                  <c:v>4.348778043812785E-2</c:v>
                </c:pt>
                <c:pt idx="7">
                  <c:v>4.226483039824569E-2</c:v>
                </c:pt>
                <c:pt idx="8">
                  <c:v>4.0819453148009971E-2</c:v>
                </c:pt>
                <c:pt idx="9">
                  <c:v>4.0803555883480204E-2</c:v>
                </c:pt>
                <c:pt idx="10">
                  <c:v>4.0445291992656389E-2</c:v>
                </c:pt>
                <c:pt idx="11">
                  <c:v>3.8928514030638968E-2</c:v>
                </c:pt>
                <c:pt idx="12">
                  <c:v>3.854572151526537E-2</c:v>
                </c:pt>
                <c:pt idx="13">
                  <c:v>3.4815411828712978E-2</c:v>
                </c:pt>
                <c:pt idx="14">
                  <c:v>2.8826706318598055E-2</c:v>
                </c:pt>
                <c:pt idx="15">
                  <c:v>2.7610831697550069E-2</c:v>
                </c:pt>
                <c:pt idx="16">
                  <c:v>2.3013850990549152E-2</c:v>
                </c:pt>
                <c:pt idx="17">
                  <c:v>2.0803742391154345E-2</c:v>
                </c:pt>
                <c:pt idx="18">
                  <c:v>1.9670260913253759E-2</c:v>
                </c:pt>
                <c:pt idx="19">
                  <c:v>1.8158167916300406E-2</c:v>
                </c:pt>
                <c:pt idx="20">
                  <c:v>1.7729758128975971E-2</c:v>
                </c:pt>
                <c:pt idx="21">
                  <c:v>1.6218199066243631E-2</c:v>
                </c:pt>
                <c:pt idx="22">
                  <c:v>1.550100605402048E-2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2-4E84-BCD5-E2B9134E3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11720895"/>
        <c:axId val="76956575"/>
      </c:barChart>
      <c:catAx>
        <c:axId val="41172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956575"/>
        <c:crosses val="autoZero"/>
        <c:auto val="1"/>
        <c:lblAlgn val="ctr"/>
        <c:lblOffset val="100"/>
        <c:noMultiLvlLbl val="0"/>
      </c:catAx>
      <c:valAx>
        <c:axId val="769565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EE Spending as % of Revenue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720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Excel.xlsx]Pivot_Charts!PivotTable15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Pivot_Charts!$L$155:$L$156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Pivot_Charts!$K$157:$K$179</c:f>
              <c:strCache>
                <c:ptCount val="23"/>
                <c:pt idx="0">
                  <c:v>Eversource-MA</c:v>
                </c:pt>
                <c:pt idx="1">
                  <c:v>Ngrid-MA</c:v>
                </c:pt>
                <c:pt idx="2">
                  <c:v>FortisBC-CAN</c:v>
                </c:pt>
                <c:pt idx="3">
                  <c:v>CNG-CT</c:v>
                </c:pt>
                <c:pt idx="4">
                  <c:v>SoCTGas-CT</c:v>
                </c:pt>
                <c:pt idx="5">
                  <c:v>Avista-WA</c:v>
                </c:pt>
                <c:pt idx="6">
                  <c:v>PSE-WA</c:v>
                </c:pt>
                <c:pt idx="7">
                  <c:v>NW Natural-OR</c:v>
                </c:pt>
                <c:pt idx="8">
                  <c:v>FOE-WI</c:v>
                </c:pt>
                <c:pt idx="9">
                  <c:v>Ameren-IL</c:v>
                </c:pt>
                <c:pt idx="10">
                  <c:v>Ngrid-NY</c:v>
                </c:pt>
                <c:pt idx="11">
                  <c:v>Eversource-CT</c:v>
                </c:pt>
                <c:pt idx="12">
                  <c:v>CMS-MI</c:v>
                </c:pt>
                <c:pt idx="13">
                  <c:v>Nicor-IL</c:v>
                </c:pt>
                <c:pt idx="14">
                  <c:v>Peoples-IL</c:v>
                </c:pt>
                <c:pt idx="15">
                  <c:v>Enbridge-CAN</c:v>
                </c:pt>
                <c:pt idx="16">
                  <c:v>ConEd-NY</c:v>
                </c:pt>
                <c:pt idx="17">
                  <c:v>QUESTAR-UT</c:v>
                </c:pt>
                <c:pt idx="18">
                  <c:v>Xcel-CO</c:v>
                </c:pt>
                <c:pt idx="19">
                  <c:v>North Shore-IL</c:v>
                </c:pt>
                <c:pt idx="20">
                  <c:v>DTE-MI</c:v>
                </c:pt>
                <c:pt idx="21">
                  <c:v>CtPt-MN</c:v>
                </c:pt>
                <c:pt idx="22">
                  <c:v>Xcel-MN</c:v>
                </c:pt>
              </c:strCache>
            </c:strRef>
          </c:cat>
          <c:val>
            <c:numRef>
              <c:f>Pivot_Charts!$L$157:$L$179</c:f>
              <c:numCache>
                <c:formatCode>"$"#,##0.00</c:formatCode>
                <c:ptCount val="23"/>
                <c:pt idx="0">
                  <c:v>17.964849681505019</c:v>
                </c:pt>
                <c:pt idx="1">
                  <c:v>16.858879234501899</c:v>
                </c:pt>
                <c:pt idx="2">
                  <c:v>13.902369596573553</c:v>
                </c:pt>
                <c:pt idx="3">
                  <c:v>11.09593795324373</c:v>
                </c:pt>
                <c:pt idx="4">
                  <c:v>10.704921915916954</c:v>
                </c:pt>
                <c:pt idx="5">
                  <c:v>9.0290094760370643</c:v>
                </c:pt>
                <c:pt idx="6">
                  <c:v>8.1472669587914393</c:v>
                </c:pt>
                <c:pt idx="7">
                  <c:v>7.3572395203002392</c:v>
                </c:pt>
                <c:pt idx="8">
                  <c:v>6.3600467821280589</c:v>
                </c:pt>
                <c:pt idx="9">
                  <c:v>4.0014013015675527</c:v>
                </c:pt>
                <c:pt idx="10">
                  <c:v>3.7384319314693775</c:v>
                </c:pt>
                <c:pt idx="11">
                  <c:v>3.7306877393317066</c:v>
                </c:pt>
                <c:pt idx="12">
                  <c:v>3.3530742624423864</c:v>
                </c:pt>
                <c:pt idx="13">
                  <c:v>3.2506401137980099</c:v>
                </c:pt>
                <c:pt idx="14">
                  <c:v>3.1507498876833027</c:v>
                </c:pt>
                <c:pt idx="15">
                  <c:v>2.9232794354542282</c:v>
                </c:pt>
                <c:pt idx="16">
                  <c:v>2.9020793066447697</c:v>
                </c:pt>
                <c:pt idx="17">
                  <c:v>2.8140799308713444</c:v>
                </c:pt>
                <c:pt idx="18">
                  <c:v>2.6561727149428074</c:v>
                </c:pt>
                <c:pt idx="19">
                  <c:v>2.6516399748704047</c:v>
                </c:pt>
                <c:pt idx="20">
                  <c:v>2.6268236174986606</c:v>
                </c:pt>
                <c:pt idx="21">
                  <c:v>2.4719944655313046</c:v>
                </c:pt>
                <c:pt idx="22">
                  <c:v>2.3755028116279284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B-4522-A368-6DD3F117A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44940975"/>
        <c:axId val="2119963487"/>
      </c:barChart>
      <c:catAx>
        <c:axId val="444940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963487"/>
        <c:crosses val="autoZero"/>
        <c:auto val="1"/>
        <c:lblAlgn val="ctr"/>
        <c:lblOffset val="100"/>
        <c:noMultiLvlLbl val="0"/>
      </c:catAx>
      <c:valAx>
        <c:axId val="21199634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EE Spending per EE Savings ($/thm)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94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Excel.xlsx]Pivot_Charts!PivotTable14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Pivot_Charts!$V$155:$V$156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Pivot_Charts!$U$157:$U$179</c:f>
              <c:strCache>
                <c:ptCount val="23"/>
                <c:pt idx="0">
                  <c:v>Ngrid-MA</c:v>
                </c:pt>
                <c:pt idx="1">
                  <c:v>Eversource-MA</c:v>
                </c:pt>
                <c:pt idx="2">
                  <c:v>FortisBC-CAN</c:v>
                </c:pt>
                <c:pt idx="3">
                  <c:v>CNG-CT</c:v>
                </c:pt>
                <c:pt idx="4">
                  <c:v>Eversource-CT</c:v>
                </c:pt>
                <c:pt idx="5">
                  <c:v>SoCTGas-CT</c:v>
                </c:pt>
                <c:pt idx="6">
                  <c:v>NW Natural-OR</c:v>
                </c:pt>
                <c:pt idx="7">
                  <c:v>Xcel-MN</c:v>
                </c:pt>
                <c:pt idx="8">
                  <c:v>Avista-WA</c:v>
                </c:pt>
                <c:pt idx="9">
                  <c:v>CMS-MI</c:v>
                </c:pt>
                <c:pt idx="10">
                  <c:v>CtPt-MN</c:v>
                </c:pt>
                <c:pt idx="11">
                  <c:v>PSE-WA</c:v>
                </c:pt>
                <c:pt idx="12">
                  <c:v>FOE-WI</c:v>
                </c:pt>
                <c:pt idx="13">
                  <c:v>DTE-MI</c:v>
                </c:pt>
                <c:pt idx="14">
                  <c:v>Ngrid-NY</c:v>
                </c:pt>
                <c:pt idx="15">
                  <c:v>ConEd-NY</c:v>
                </c:pt>
                <c:pt idx="16">
                  <c:v>QUESTAR-UT</c:v>
                </c:pt>
                <c:pt idx="17">
                  <c:v>Peoples-IL</c:v>
                </c:pt>
                <c:pt idx="18">
                  <c:v>Enbridge-CAN</c:v>
                </c:pt>
                <c:pt idx="19">
                  <c:v>North Shore-IL</c:v>
                </c:pt>
                <c:pt idx="20">
                  <c:v>Xcel-CO</c:v>
                </c:pt>
                <c:pt idx="21">
                  <c:v>Nicor-IL</c:v>
                </c:pt>
                <c:pt idx="22">
                  <c:v>Ameren-IL</c:v>
                </c:pt>
              </c:strCache>
            </c:strRef>
          </c:cat>
          <c:val>
            <c:numRef>
              <c:f>Pivot_Charts!$V$157:$V$179</c:f>
              <c:numCache>
                <c:formatCode>_("$"* #,##0.000_);_("$"* \(#,##0.000\);_("$"* "-"??_);_(@_)</c:formatCode>
                <c:ptCount val="23"/>
                <c:pt idx="0">
                  <c:v>0.22405235317164549</c:v>
                </c:pt>
                <c:pt idx="1">
                  <c:v>0.21559134501521637</c:v>
                </c:pt>
                <c:pt idx="2">
                  <c:v>6.9114735471428559E-2</c:v>
                </c:pt>
                <c:pt idx="3">
                  <c:v>4.3609998748721554E-2</c:v>
                </c:pt>
                <c:pt idx="4">
                  <c:v>4.2379648940107983E-2</c:v>
                </c:pt>
                <c:pt idx="5">
                  <c:v>4.1067459764144151E-2</c:v>
                </c:pt>
                <c:pt idx="6">
                  <c:v>3.9283603310251186E-2</c:v>
                </c:pt>
                <c:pt idx="7">
                  <c:v>3.4661998431509515E-2</c:v>
                </c:pt>
                <c:pt idx="8">
                  <c:v>3.2723833757642762E-2</c:v>
                </c:pt>
                <c:pt idx="9">
                  <c:v>2.9653054031056857E-2</c:v>
                </c:pt>
                <c:pt idx="10">
                  <c:v>2.8044631284675742E-2</c:v>
                </c:pt>
                <c:pt idx="11">
                  <c:v>2.4061005708718417E-2</c:v>
                </c:pt>
                <c:pt idx="12">
                  <c:v>2.118690900161382E-2</c:v>
                </c:pt>
                <c:pt idx="13">
                  <c:v>2.0609769291104387E-2</c:v>
                </c:pt>
                <c:pt idx="14">
                  <c:v>1.8680158346338498E-2</c:v>
                </c:pt>
                <c:pt idx="15">
                  <c:v>1.8349295754962282E-2</c:v>
                </c:pt>
                <c:pt idx="16">
                  <c:v>1.64688553067673E-2</c:v>
                </c:pt>
                <c:pt idx="17">
                  <c:v>1.561996235282871E-2</c:v>
                </c:pt>
                <c:pt idx="18">
                  <c:v>1.3006487336944397E-2</c:v>
                </c:pt>
                <c:pt idx="19">
                  <c:v>1.1567251333649654E-2</c:v>
                </c:pt>
                <c:pt idx="20">
                  <c:v>1.1303804745236299E-2</c:v>
                </c:pt>
                <c:pt idx="21">
                  <c:v>9.9998987937776496E-3</c:v>
                </c:pt>
                <c:pt idx="22">
                  <c:v>8.9879796343182387E-3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E-46EF-927C-0C2BE6EE9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19126719"/>
        <c:axId val="66822863"/>
      </c:barChart>
      <c:catAx>
        <c:axId val="41912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22863"/>
        <c:crosses val="autoZero"/>
        <c:auto val="1"/>
        <c:lblAlgn val="ctr"/>
        <c:lblOffset val="100"/>
        <c:noMultiLvlLbl val="0"/>
      </c:catAx>
      <c:valAx>
        <c:axId val="668228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EE Spending per Sales Volume ($/thm)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0_);_(&quot;$&quot;* \(#,##0.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126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[Exhibit I.D-STAFF-34_Attachment 1_Live Excel.xlsx]Pivot_Charts!PivotTable17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Pivot_Charts!$B$210:$B$211</c:f>
              <c:strCache>
                <c:ptCount val="1"/>
                <c:pt idx="0">
                  <c:v>A - 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Pivot_Charts!$A$212:$A$234</c:f>
              <c:strCache>
                <c:ptCount val="23"/>
                <c:pt idx="0">
                  <c:v>Xcel-MN</c:v>
                </c:pt>
                <c:pt idx="1">
                  <c:v>Ngrid-MA</c:v>
                </c:pt>
                <c:pt idx="2">
                  <c:v>Eversource-MA</c:v>
                </c:pt>
                <c:pt idx="3">
                  <c:v>Eversource-CT</c:v>
                </c:pt>
                <c:pt idx="4">
                  <c:v>CtPt-MN</c:v>
                </c:pt>
                <c:pt idx="5">
                  <c:v>CMS-MI</c:v>
                </c:pt>
                <c:pt idx="6">
                  <c:v>DTE-MI</c:v>
                </c:pt>
                <c:pt idx="7">
                  <c:v>ConEd-NY</c:v>
                </c:pt>
                <c:pt idx="8">
                  <c:v>QUESTAR-UT</c:v>
                </c:pt>
                <c:pt idx="9">
                  <c:v>NW Natural-OR</c:v>
                </c:pt>
                <c:pt idx="10">
                  <c:v>Ngrid-NY</c:v>
                </c:pt>
                <c:pt idx="11">
                  <c:v>FortisBC-CAN</c:v>
                </c:pt>
                <c:pt idx="12">
                  <c:v>Peoples-IL</c:v>
                </c:pt>
                <c:pt idx="13">
                  <c:v>Enbridge-CAN</c:v>
                </c:pt>
                <c:pt idx="14">
                  <c:v>North Shore-IL</c:v>
                </c:pt>
                <c:pt idx="15">
                  <c:v>Xcel-CO</c:v>
                </c:pt>
                <c:pt idx="16">
                  <c:v>CNG-CT</c:v>
                </c:pt>
                <c:pt idx="17">
                  <c:v>SoCTGas-CT</c:v>
                </c:pt>
                <c:pt idx="18">
                  <c:v>Avista-WA</c:v>
                </c:pt>
                <c:pt idx="19">
                  <c:v>FOE-WI</c:v>
                </c:pt>
                <c:pt idx="20">
                  <c:v>Nicor-IL</c:v>
                </c:pt>
                <c:pt idx="21">
                  <c:v>PSE-WA</c:v>
                </c:pt>
                <c:pt idx="22">
                  <c:v>Ameren-IL</c:v>
                </c:pt>
              </c:strCache>
            </c:strRef>
          </c:cat>
          <c:val>
            <c:numRef>
              <c:f>Pivot_Charts!$B$212:$B$234</c:f>
              <c:numCache>
                <c:formatCode>0.0%</c:formatCode>
                <c:ptCount val="23"/>
                <c:pt idx="0">
                  <c:v>5.4567232057369051E-3</c:v>
                </c:pt>
                <c:pt idx="1">
                  <c:v>7.5798048309976516E-3</c:v>
                </c:pt>
                <c:pt idx="2">
                  <c:v>5.02578133518446E-3</c:v>
                </c:pt>
                <c:pt idx="3">
                  <c:v>3.7481626473335077E-3</c:v>
                </c:pt>
                <c:pt idx="4">
                  <c:v>3.9960121317185295E-3</c:v>
                </c:pt>
                <c:pt idx="5">
                  <c:v>3.316918917642667E-3</c:v>
                </c:pt>
                <c:pt idx="6">
                  <c:v>3.1302190317949443E-3</c:v>
                </c:pt>
                <c:pt idx="7">
                  <c:v>2.3598260473999054E-3</c:v>
                </c:pt>
                <c:pt idx="8">
                  <c:v>5.1313023989785567E-3</c:v>
                </c:pt>
                <c:pt idx="9">
                  <c:v>2.6028599756312896E-3</c:v>
                </c:pt>
                <c:pt idx="10">
                  <c:v>2.4562027523397493E-3</c:v>
                </c:pt>
                <c:pt idx="11">
                  <c:v>9.948493597766628E-4</c:v>
                </c:pt>
                <c:pt idx="12">
                  <c:v>1.6378441810663215E-3</c:v>
                </c:pt>
                <c:pt idx="13">
                  <c:v>1.0668931563531769E-3</c:v>
                </c:pt>
                <c:pt idx="14">
                  <c:v>1.5577847481711028E-3</c:v>
                </c:pt>
                <c:pt idx="15">
                  <c:v>2.8053208193739329E-3</c:v>
                </c:pt>
                <c:pt idx="16">
                  <c:v>1.5080546508900573E-3</c:v>
                </c:pt>
                <c:pt idx="17">
                  <c:v>1.6098141066895472E-3</c:v>
                </c:pt>
                <c:pt idx="18">
                  <c:v>1.6443889872935348E-3</c:v>
                </c:pt>
                <c:pt idx="19">
                  <c:v>1.1571562745525891E-3</c:v>
                </c:pt>
                <c:pt idx="20">
                  <c:v>1.1815038833887475E-3</c:v>
                </c:pt>
                <c:pt idx="21">
                  <c:v>1.8474390289351041E-3</c:v>
                </c:pt>
                <c:pt idx="22">
                  <c:v>5.8364283018190835E-4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1-4EED-9E4F-43F21D86177C}"/>
            </c:ext>
          </c:extLst>
        </c:ser>
        <c:ser>
          <c:idx val="1"/>
          <c:order val="1"/>
          <c:tx>
            <c:strRef>
              <c:f>Pivot_Charts!$C$210:$C$211</c:f>
              <c:strCache>
                <c:ptCount val="1"/>
                <c:pt idx="0">
                  <c:v>B - IQ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Pivot_Charts!$A$212:$A$234</c:f>
              <c:strCache>
                <c:ptCount val="23"/>
                <c:pt idx="0">
                  <c:v>Xcel-MN</c:v>
                </c:pt>
                <c:pt idx="1">
                  <c:v>Ngrid-MA</c:v>
                </c:pt>
                <c:pt idx="2">
                  <c:v>Eversource-MA</c:v>
                </c:pt>
                <c:pt idx="3">
                  <c:v>Eversource-CT</c:v>
                </c:pt>
                <c:pt idx="4">
                  <c:v>CtPt-MN</c:v>
                </c:pt>
                <c:pt idx="5">
                  <c:v>CMS-MI</c:v>
                </c:pt>
                <c:pt idx="6">
                  <c:v>DTE-MI</c:v>
                </c:pt>
                <c:pt idx="7">
                  <c:v>ConEd-NY</c:v>
                </c:pt>
                <c:pt idx="8">
                  <c:v>QUESTAR-UT</c:v>
                </c:pt>
                <c:pt idx="9">
                  <c:v>NW Natural-OR</c:v>
                </c:pt>
                <c:pt idx="10">
                  <c:v>Ngrid-NY</c:v>
                </c:pt>
                <c:pt idx="11">
                  <c:v>FortisBC-CAN</c:v>
                </c:pt>
                <c:pt idx="12">
                  <c:v>Peoples-IL</c:v>
                </c:pt>
                <c:pt idx="13">
                  <c:v>Enbridge-CAN</c:v>
                </c:pt>
                <c:pt idx="14">
                  <c:v>North Shore-IL</c:v>
                </c:pt>
                <c:pt idx="15">
                  <c:v>Xcel-CO</c:v>
                </c:pt>
                <c:pt idx="16">
                  <c:v>CNG-CT</c:v>
                </c:pt>
                <c:pt idx="17">
                  <c:v>SoCTGas-CT</c:v>
                </c:pt>
                <c:pt idx="18">
                  <c:v>Avista-WA</c:v>
                </c:pt>
                <c:pt idx="19">
                  <c:v>FOE-WI</c:v>
                </c:pt>
                <c:pt idx="20">
                  <c:v>Nicor-IL</c:v>
                </c:pt>
                <c:pt idx="21">
                  <c:v>PSE-WA</c:v>
                </c:pt>
                <c:pt idx="22">
                  <c:v>Ameren-IL</c:v>
                </c:pt>
              </c:strCache>
            </c:strRef>
          </c:cat>
          <c:val>
            <c:numRef>
              <c:f>Pivot_Charts!$C$212:$C$234</c:f>
              <c:numCache>
                <c:formatCode>0.0%</c:formatCode>
                <c:ptCount val="23"/>
                <c:pt idx="0">
                  <c:v>3.5111839209001701E-4</c:v>
                </c:pt>
                <c:pt idx="1">
                  <c:v>1.3098349868013882E-3</c:v>
                </c:pt>
                <c:pt idx="2">
                  <c:v>1.3619931456137493E-3</c:v>
                </c:pt>
                <c:pt idx="3">
                  <c:v>1.3971363349085137E-3</c:v>
                </c:pt>
                <c:pt idx="4">
                  <c:v>2.3151778348757995E-4</c:v>
                </c:pt>
                <c:pt idx="5">
                  <c:v>9.4208166132701279E-4</c:v>
                </c:pt>
                <c:pt idx="6">
                  <c:v>4.930841562751537E-4</c:v>
                </c:pt>
                <c:pt idx="7">
                  <c:v>1.1062981229477309E-3</c:v>
                </c:pt>
                <c:pt idx="8">
                  <c:v>1.2616032645980027E-4</c:v>
                </c:pt>
                <c:pt idx="9">
                  <c:v>5.14097306759978E-6</c:v>
                </c:pt>
                <c:pt idx="10">
                  <c:v>2.3501011584215479E-4</c:v>
                </c:pt>
                <c:pt idx="11">
                  <c:v>3.7123190109227965E-4</c:v>
                </c:pt>
                <c:pt idx="12">
                  <c:v>1.1449409480218267E-3</c:v>
                </c:pt>
                <c:pt idx="13">
                  <c:v>2.784131522734383E-4</c:v>
                </c:pt>
                <c:pt idx="14">
                  <c:v>3.0504171744149676E-4</c:v>
                </c:pt>
                <c:pt idx="15">
                  <c:v>6.1651427660028995E-4</c:v>
                </c:pt>
                <c:pt idx="16">
                  <c:v>6.4301255533504248E-4</c:v>
                </c:pt>
                <c:pt idx="17">
                  <c:v>5.2766561458175753E-4</c:v>
                </c:pt>
                <c:pt idx="18">
                  <c:v>2.3166032902526899E-5</c:v>
                </c:pt>
                <c:pt idx="20">
                  <c:v>3.1003537088182499E-4</c:v>
                </c:pt>
                <c:pt idx="21">
                  <c:v>1.8086016201875473E-5</c:v>
                </c:pt>
                <c:pt idx="22">
                  <c:v>6.8991995060471354E-4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1-4EED-9E4F-43F21D86177C}"/>
            </c:ext>
          </c:extLst>
        </c:ser>
        <c:ser>
          <c:idx val="2"/>
          <c:order val="2"/>
          <c:tx>
            <c:strRef>
              <c:f>Pivot_Charts!$D$210:$D$211</c:f>
              <c:strCache>
                <c:ptCount val="1"/>
                <c:pt idx="0">
                  <c:v>C - C&amp;I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Pivot_Charts!$A$212:$A$234</c:f>
              <c:strCache>
                <c:ptCount val="23"/>
                <c:pt idx="0">
                  <c:v>Xcel-MN</c:v>
                </c:pt>
                <c:pt idx="1">
                  <c:v>Ngrid-MA</c:v>
                </c:pt>
                <c:pt idx="2">
                  <c:v>Eversource-MA</c:v>
                </c:pt>
                <c:pt idx="3">
                  <c:v>Eversource-CT</c:v>
                </c:pt>
                <c:pt idx="4">
                  <c:v>CtPt-MN</c:v>
                </c:pt>
                <c:pt idx="5">
                  <c:v>CMS-MI</c:v>
                </c:pt>
                <c:pt idx="6">
                  <c:v>DTE-MI</c:v>
                </c:pt>
                <c:pt idx="7">
                  <c:v>ConEd-NY</c:v>
                </c:pt>
                <c:pt idx="8">
                  <c:v>QUESTAR-UT</c:v>
                </c:pt>
                <c:pt idx="9">
                  <c:v>NW Natural-OR</c:v>
                </c:pt>
                <c:pt idx="10">
                  <c:v>Ngrid-NY</c:v>
                </c:pt>
                <c:pt idx="11">
                  <c:v>FortisBC-CAN</c:v>
                </c:pt>
                <c:pt idx="12">
                  <c:v>Peoples-IL</c:v>
                </c:pt>
                <c:pt idx="13">
                  <c:v>Enbridge-CAN</c:v>
                </c:pt>
                <c:pt idx="14">
                  <c:v>North Shore-IL</c:v>
                </c:pt>
                <c:pt idx="15">
                  <c:v>Xcel-CO</c:v>
                </c:pt>
                <c:pt idx="16">
                  <c:v>CNG-CT</c:v>
                </c:pt>
                <c:pt idx="17">
                  <c:v>SoCTGas-CT</c:v>
                </c:pt>
                <c:pt idx="18">
                  <c:v>Avista-WA</c:v>
                </c:pt>
                <c:pt idx="19">
                  <c:v>FOE-WI</c:v>
                </c:pt>
                <c:pt idx="20">
                  <c:v>Nicor-IL</c:v>
                </c:pt>
                <c:pt idx="21">
                  <c:v>PSE-WA</c:v>
                </c:pt>
                <c:pt idx="22">
                  <c:v>Ameren-IL</c:v>
                </c:pt>
              </c:strCache>
            </c:strRef>
          </c:cat>
          <c:val>
            <c:numRef>
              <c:f>Pivot_Charts!$D$212:$D$234</c:f>
              <c:numCache>
                <c:formatCode>0.0%</c:formatCode>
                <c:ptCount val="23"/>
                <c:pt idx="0">
                  <c:v>8.7835949022021815E-3</c:v>
                </c:pt>
                <c:pt idx="1">
                  <c:v>4.4002325429400805E-3</c:v>
                </c:pt>
                <c:pt idx="2">
                  <c:v>5.6129574394454479E-3</c:v>
                </c:pt>
                <c:pt idx="3">
                  <c:v>6.2144426796799735E-3</c:v>
                </c:pt>
                <c:pt idx="4">
                  <c:v>7.1174110527940405E-3</c:v>
                </c:pt>
                <c:pt idx="5">
                  <c:v>4.5845417079397374E-3</c:v>
                </c:pt>
                <c:pt idx="6">
                  <c:v>4.2225868647723609E-3</c:v>
                </c:pt>
                <c:pt idx="7">
                  <c:v>2.8566857242505799E-3</c:v>
                </c:pt>
                <c:pt idx="8">
                  <c:v>5.9484272121891732E-4</c:v>
                </c:pt>
                <c:pt idx="9">
                  <c:v>2.7314477945232247E-3</c:v>
                </c:pt>
                <c:pt idx="10">
                  <c:v>2.3055768791698222E-3</c:v>
                </c:pt>
                <c:pt idx="11">
                  <c:v>3.6053543632035799E-3</c:v>
                </c:pt>
                <c:pt idx="12">
                  <c:v>2.1747528887307863E-3</c:v>
                </c:pt>
                <c:pt idx="13">
                  <c:v>3.10397321600542E-3</c:v>
                </c:pt>
                <c:pt idx="14">
                  <c:v>2.4994743909412722E-3</c:v>
                </c:pt>
                <c:pt idx="15">
                  <c:v>8.3383874693688793E-4</c:v>
                </c:pt>
                <c:pt idx="16">
                  <c:v>1.7791997917056901E-3</c:v>
                </c:pt>
                <c:pt idx="17">
                  <c:v>1.6988359554532221E-3</c:v>
                </c:pt>
                <c:pt idx="18">
                  <c:v>1.9567443943179687E-3</c:v>
                </c:pt>
                <c:pt idx="19">
                  <c:v>2.1740942220867961E-3</c:v>
                </c:pt>
                <c:pt idx="20">
                  <c:v>1.584746782849018E-3</c:v>
                </c:pt>
                <c:pt idx="21">
                  <c:v>1.0877359478337967E-3</c:v>
                </c:pt>
                <c:pt idx="22">
                  <c:v>9.7264522409336578E-4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51-4EED-9E4F-43F21D861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16570591"/>
        <c:axId val="2096079071"/>
      </c:barChart>
      <c:catAx>
        <c:axId val="1816570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6079071"/>
        <c:crosses val="autoZero"/>
        <c:auto val="1"/>
        <c:lblAlgn val="ctr"/>
        <c:lblOffset val="100"/>
        <c:noMultiLvlLbl val="0"/>
      </c:catAx>
      <c:valAx>
        <c:axId val="20960790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EE Net Savings as % of Sales Volume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570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</xdr:colOff>
      <xdr:row>28</xdr:row>
      <xdr:rowOff>11112</xdr:rowOff>
    </xdr:from>
    <xdr:to>
      <xdr:col>8</xdr:col>
      <xdr:colOff>466725</xdr:colOff>
      <xdr:row>48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F466E5-0793-7709-CC83-5542C9BA3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</xdr:colOff>
      <xdr:row>28</xdr:row>
      <xdr:rowOff>11112</xdr:rowOff>
    </xdr:from>
    <xdr:to>
      <xdr:col>18</xdr:col>
      <xdr:colOff>600075</xdr:colOff>
      <xdr:row>48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A55B9C6-2611-AA80-2EB0-10D145799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38099</xdr:colOff>
      <xdr:row>30</xdr:row>
      <xdr:rowOff>17462</xdr:rowOff>
    </xdr:from>
    <xdr:to>
      <xdr:col>29</xdr:col>
      <xdr:colOff>57149</xdr:colOff>
      <xdr:row>50</xdr:row>
      <xdr:rowOff>161925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8A1DE77-AABF-B53C-2CAE-525C778E0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6349</xdr:colOff>
      <xdr:row>83</xdr:row>
      <xdr:rowOff>112712</xdr:rowOff>
    </xdr:from>
    <xdr:to>
      <xdr:col>8</xdr:col>
      <xdr:colOff>419099</xdr:colOff>
      <xdr:row>98</xdr:row>
      <xdr:rowOff>138112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0EB172D-DF7B-91E1-D567-A2005C37C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47625</xdr:colOff>
      <xdr:row>83</xdr:row>
      <xdr:rowOff>71437</xdr:rowOff>
    </xdr:from>
    <xdr:to>
      <xdr:col>17</xdr:col>
      <xdr:colOff>0</xdr:colOff>
      <xdr:row>98</xdr:row>
      <xdr:rowOff>100012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E35220B-3830-8C86-E4CA-5158827DA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19049</xdr:colOff>
      <xdr:row>178</xdr:row>
      <xdr:rowOff>163511</xdr:rowOff>
    </xdr:from>
    <xdr:to>
      <xdr:col>8</xdr:col>
      <xdr:colOff>438149</xdr:colOff>
      <xdr:row>197</xdr:row>
      <xdr:rowOff>19049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D369F173-EB00-E56B-68D3-2D44584FC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30162</xdr:colOff>
      <xdr:row>179</xdr:row>
      <xdr:rowOff>1587</xdr:rowOff>
    </xdr:from>
    <xdr:to>
      <xdr:col>18</xdr:col>
      <xdr:colOff>38100</xdr:colOff>
      <xdr:row>196</xdr:row>
      <xdr:rowOff>171450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955C182-B85F-F23E-A01D-106450051D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7937</xdr:colOff>
      <xdr:row>178</xdr:row>
      <xdr:rowOff>169862</xdr:rowOff>
    </xdr:from>
    <xdr:to>
      <xdr:col>25</xdr:col>
      <xdr:colOff>609600</xdr:colOff>
      <xdr:row>196</xdr:row>
      <xdr:rowOff>171450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96D82FF-5C14-7515-A982-9D4F6D0E6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117474</xdr:colOff>
      <xdr:row>234</xdr:row>
      <xdr:rowOff>153987</xdr:rowOff>
    </xdr:from>
    <xdr:to>
      <xdr:col>8</xdr:col>
      <xdr:colOff>555624</xdr:colOff>
      <xdr:row>254</xdr:row>
      <xdr:rowOff>101600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D5123ED-430B-6CD5-102E-2E9E0F5C21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88900</xdr:colOff>
      <xdr:row>130</xdr:row>
      <xdr:rowOff>6350</xdr:rowOff>
    </xdr:from>
    <xdr:to>
      <xdr:col>18</xdr:col>
      <xdr:colOff>330200</xdr:colOff>
      <xdr:row>144</xdr:row>
      <xdr:rowOff>171450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85E7AD3-3523-73B7-E223-1B6B9E04A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38100</xdr:colOff>
      <xdr:row>131</xdr:row>
      <xdr:rowOff>95250</xdr:rowOff>
    </xdr:from>
    <xdr:to>
      <xdr:col>8</xdr:col>
      <xdr:colOff>323850</xdr:colOff>
      <xdr:row>146</xdr:row>
      <xdr:rowOff>76200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9D93D97-2913-BFEE-F6E5-2EFCF151F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561974</xdr:colOff>
      <xdr:row>259</xdr:row>
      <xdr:rowOff>82550</xdr:rowOff>
    </xdr:from>
    <xdr:to>
      <xdr:col>12</xdr:col>
      <xdr:colOff>315753</xdr:colOff>
      <xdr:row>272</xdr:row>
      <xdr:rowOff>144621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E2C810-BB90-D205-8FE3-6111D8F8C1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19050</xdr:colOff>
      <xdr:row>294</xdr:row>
      <xdr:rowOff>73025</xdr:rowOff>
    </xdr:from>
    <xdr:to>
      <xdr:col>14</xdr:col>
      <xdr:colOff>653892</xdr:colOff>
      <xdr:row>307</xdr:row>
      <xdr:rowOff>125572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848DF6-F739-543F-2F5C-92CF86F2F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184149</xdr:colOff>
      <xdr:row>263</xdr:row>
      <xdr:rowOff>173036</xdr:rowOff>
    </xdr:from>
    <xdr:to>
      <xdr:col>32</xdr:col>
      <xdr:colOff>68897</xdr:colOff>
      <xdr:row>277</xdr:row>
      <xdr:rowOff>46988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81FCE013-2050-BB15-5F43-C5423FED26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209550</xdr:colOff>
      <xdr:row>298</xdr:row>
      <xdr:rowOff>11112</xdr:rowOff>
    </xdr:from>
    <xdr:to>
      <xdr:col>26</xdr:col>
      <xdr:colOff>677703</xdr:colOff>
      <xdr:row>311</xdr:row>
      <xdr:rowOff>66834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CCB140DC-E534-6834-3349-624E0C113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463549</xdr:colOff>
      <xdr:row>9</xdr:row>
      <xdr:rowOff>46037</xdr:rowOff>
    </xdr:from>
    <xdr:to>
      <xdr:col>37</xdr:col>
      <xdr:colOff>142874</xdr:colOff>
      <xdr:row>24</xdr:row>
      <xdr:rowOff>68262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4F5879-5615-A2C9-93C8-DEFE3A3AB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266700</xdr:colOff>
      <xdr:row>334</xdr:row>
      <xdr:rowOff>49212</xdr:rowOff>
    </xdr:from>
    <xdr:to>
      <xdr:col>13</xdr:col>
      <xdr:colOff>461010</xdr:colOff>
      <xdr:row>347</xdr:row>
      <xdr:rowOff>104934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4C3D0A5-CE18-1C3A-B7F5-56916C0F9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273843</xdr:colOff>
      <xdr:row>338</xdr:row>
      <xdr:rowOff>169863</xdr:rowOff>
    </xdr:from>
    <xdr:to>
      <xdr:col>27</xdr:col>
      <xdr:colOff>718184</xdr:colOff>
      <xdr:row>352</xdr:row>
      <xdr:rowOff>50166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AF0CD59B-CE53-F818-7EE1-906FA2F39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41</xdr:col>
      <xdr:colOff>393303</xdr:colOff>
      <xdr:row>15</xdr:row>
      <xdr:rowOff>140096</xdr:rowOff>
    </xdr:from>
    <xdr:to>
      <xdr:col>50</xdr:col>
      <xdr:colOff>404812</xdr:colOff>
      <xdr:row>37</xdr:row>
      <xdr:rowOff>107156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DD6FD68C-E109-D0B7-C115-D0B658E6F7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17462</xdr:colOff>
      <xdr:row>5</xdr:row>
      <xdr:rowOff>168275</xdr:rowOff>
    </xdr:from>
    <xdr:to>
      <xdr:col>14</xdr:col>
      <xdr:colOff>276225</xdr:colOff>
      <xdr:row>29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206687-DD38-8008-86BF-7CCA3EBD5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34925</xdr:colOff>
      <xdr:row>33</xdr:row>
      <xdr:rowOff>171450</xdr:rowOff>
    </xdr:from>
    <xdr:to>
      <xdr:col>15</xdr:col>
      <xdr:colOff>53975</xdr:colOff>
      <xdr:row>56</xdr:row>
      <xdr:rowOff>111125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41822CC-707C-AAE8-75B5-A2CDD3D8E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188.737016898151" createdVersion="8" refreshedVersion="8" minRefreshableVersion="3" recordCount="644" xr:uid="{4F84DDCB-B1EF-45CB-97BC-3D76B6CE3006}">
  <cacheSource type="worksheet">
    <worksheetSource ref="C1:J645" sheet="EIAwtransport"/>
  </cacheSource>
  <cacheFields count="9">
    <cacheField name="Area" numFmtId="0">
      <sharedItems/>
    </cacheField>
    <cacheField name="Company" numFmtId="0">
      <sharedItems/>
    </cacheField>
    <cacheField name="Full_Comp" numFmtId="0">
      <sharedItems count="42">
        <s v="Ameren-IL"/>
        <s v="Atmos-CO"/>
        <s v="Avista-OR"/>
        <s v="BGE-MD"/>
        <s v="Black Hills-CO"/>
        <s v="Ngrid-MA"/>
        <s v="CtPt-MN"/>
        <s v="Keyspan-MA-MA"/>
        <s v="CNG-CT"/>
        <s v="ConEd-NY"/>
        <s v="CMS-MI"/>
        <s v="DTE-MI"/>
        <s v="Eversource-MA-MA"/>
        <s v="Ngrid-NY"/>
        <s v="FOE-WI"/>
        <s v="RI Energy-RI"/>
        <s v="NMGCo-NM"/>
        <s v="Nicor-IL"/>
        <s v="North Shore-IL"/>
        <s v="Xcel-MN"/>
        <s v="NW Natural-OR"/>
        <s v="Eversource-MA"/>
        <s v="PG&amp;E-CA"/>
        <s v="Peoples-IL"/>
        <s v="Xcel-CO"/>
        <s v="PSEG-NJ"/>
        <s v="PSE-WA"/>
        <s v="QUESTAR-UT"/>
        <s v="SDG&amp;E-CA"/>
        <s v="SCG-CA"/>
        <s v="SoCTGas-CT"/>
        <s v="Brooklyn Gas-NY"/>
        <s v="Washington Gas-MD"/>
        <s v="Eversource-CT"/>
        <s v="Keyspan-MA"/>
        <s v="Madison Gas-WI" u="1"/>
        <s v="Northern NG-WI" u="1"/>
        <s v="Xcel-WI-WI" u="1"/>
        <s v="WEPCO-WI" u="1"/>
        <s v="WE Energy-WI" u="1"/>
        <s v="WPL-WI" u="1"/>
        <s v="WPS-WI" u="1"/>
      </sharedItems>
    </cacheField>
    <cacheField name="Item" numFmtId="0">
      <sharedItems count="35">
        <s v="Commercial Transport Revenue"/>
        <s v="Commercial Transport Volume"/>
        <s v="Commercial Transport Consumers"/>
        <s v="Industrial Transport Consumers"/>
        <s v="Industrial Transport Revenue"/>
        <s v="Industrial Transport Volume"/>
        <s v="Residential Transport Revenue"/>
        <s v="Residential Transport Volume"/>
        <s v="Residential Transport Consumers"/>
        <s v="Residential Sales Revenue"/>
        <s v="Residential Sales Consumers"/>
        <s v="Residential Sales Volume"/>
        <s v="Commercial Sales Volume"/>
        <s v="Commercial Sales Revenue"/>
        <s v="Commercial Sales Consumers"/>
        <s v="Industrial Sales Volume"/>
        <s v="Industrial Sales Consumers"/>
        <s v="Industrial Sales Revenue"/>
        <s v="Electric Power Transport Consumers" u="1"/>
        <s v="Electric Power Transport Revenue" u="1"/>
        <s v="Electric Power Transport Volume" u="1"/>
        <s v="Vehicle Fuel Transport Revenue" u="1"/>
        <s v="Vehicle Fuel Transport Consumers" u="1"/>
        <s v="Vehicle Fuel Transport Volume" u="1"/>
        <s v="Residential Volume" u="1"/>
        <s v="Commercial Volume" u="1"/>
        <s v="Industrial Volume" u="1"/>
        <s v="Electric Power Volume" u="1"/>
        <s v="Electric Power Sales Revenue" u="1"/>
        <s v="Electric Power Sales Consumers" u="1"/>
        <s v="Electric Power Sales Volume" u="1"/>
        <s v="Vehicle Fuel Volume" u="1"/>
        <s v="Vehicle Fuel Sales Consumers" u="1"/>
        <s v="Vehicle Fuel Sales Revenue" u="1"/>
        <s v="Vehicle Fuel Sales Volume" u="1"/>
      </sharedItems>
    </cacheField>
    <cacheField name="Transport" numFmtId="0">
      <sharedItems containsString="0" containsBlank="1" containsNumber="1" containsInteger="1" minValue="1" maxValue="1"/>
    </cacheField>
    <cacheField name="Sector" numFmtId="0">
      <sharedItems containsBlank="1" count="8">
        <s v="C - C&amp;I"/>
        <s v="A - RES"/>
        <s v="Power" u="1"/>
        <s v="Vehicle" u="1"/>
        <m u="1"/>
        <s v="Com" u="1"/>
        <s v="Ind" u="1"/>
        <s v="Res" u="1"/>
      </sharedItems>
    </cacheField>
    <cacheField name="Metric" numFmtId="0">
      <sharedItems containsBlank="1" count="4">
        <s v="Revenue"/>
        <s v="Volume"/>
        <s v="Consumers"/>
        <m u="1"/>
      </sharedItems>
    </cacheField>
    <cacheField name="2021" numFmtId="0">
      <sharedItems containsSemiMixedTypes="0" containsString="0" containsNumber="1" containsInteger="1" minValue="1" maxValue="3382995627"/>
    </cacheField>
    <cacheField name="Field1" numFmtId="0" formula="'2021'*10.36/10^9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328.374416666666" createdVersion="8" refreshedVersion="8" minRefreshableVersion="3" recordCount="674" xr:uid="{72BB9A9C-54BE-4843-9031-DACB2F9737AF}">
  <cacheSource type="worksheet">
    <worksheetSource ref="A1:J675" sheet="EIAwtransport"/>
  </cacheSource>
  <cacheFields count="12">
    <cacheField name="Included" numFmtId="0">
      <sharedItems count="24">
        <s v="Ameren-IL"/>
        <s v=""/>
        <s v="Ngrid-MA"/>
        <s v="CtPt-MN"/>
        <s v="CNG-CT"/>
        <s v="ConEd-NY"/>
        <s v="CMS-MI"/>
        <s v="DTE-MI"/>
        <s v="Ngrid-NY"/>
        <s v="FOE-WI"/>
        <s v="Nicor-IL"/>
        <s v="Xcel-MN"/>
        <s v="NW Natural-OR"/>
        <s v="Eversource-MA"/>
        <s v="Peoples-IL"/>
        <s v="Xcel-CO"/>
        <s v="PSEG-NJ"/>
        <s v="PSE-WA"/>
        <s v="QUESTAR-UT"/>
        <s v="SoCTGas-CT"/>
        <s v="Eversource-CT"/>
        <s v="FortisBC-CAN"/>
        <s v="Avista-WA"/>
        <s v="Enbridge-CAN"/>
      </sharedItems>
    </cacheField>
    <cacheField name="State Abbrev" numFmtId="0">
      <sharedItems/>
    </cacheField>
    <cacheField name="Area" numFmtId="0">
      <sharedItems/>
    </cacheField>
    <cacheField name="Company" numFmtId="0">
      <sharedItems/>
    </cacheField>
    <cacheField name="Full_Comp" numFmtId="0">
      <sharedItems count="38">
        <s v="Ameren-IL"/>
        <s v="Atmos-CO"/>
        <s v="Avista-OR"/>
        <s v="BGE-MD"/>
        <s v="Black Hills-CO"/>
        <s v="Ngrid-MA"/>
        <s v="CtPt-MN"/>
        <s v="Keyspan-MA-MA"/>
        <s v="CNG-CT"/>
        <s v="ConEd-NY"/>
        <s v="CMS-MI"/>
        <s v="DTE-MI"/>
        <s v="Eversource-MA-MA"/>
        <s v="Ngrid-NY"/>
        <s v="FOE-WI"/>
        <s v="RI Energy-RI"/>
        <s v="NMGCo-NM"/>
        <s v="Nicor-IL"/>
        <s v="North Shore-IL"/>
        <s v="Xcel-MN"/>
        <s v="NW Natural-OR"/>
        <s v="Eversource-MA"/>
        <s v="PG&amp;E-CA"/>
        <s v="Peoples-IL"/>
        <s v="Xcel-CO"/>
        <s v="PSEG-NJ"/>
        <s v="PSE-WA"/>
        <s v="QUESTAR-UT"/>
        <s v="SDG&amp;E-CA"/>
        <s v="SCG-CA"/>
        <s v="SoCTGas-CT"/>
        <s v="Brooklyn Gas-NY"/>
        <s v="Washington Gas-MD"/>
        <s v="Eversource-CT"/>
        <s v="Keyspan-MA"/>
        <s v="FortisBC-CAN"/>
        <s v="AVISTA-WA"/>
        <s v="Enbridge-CAN"/>
      </sharedItems>
    </cacheField>
    <cacheField name="Item" numFmtId="0">
      <sharedItems count="18">
        <s v="Commercial Transport Revenue"/>
        <s v="Commercial Transport Volume"/>
        <s v="Commercial Transport Consumers"/>
        <s v="Industrial Transport Consumers"/>
        <s v="Industrial Transport Revenue"/>
        <s v="Industrial Transport Volume"/>
        <s v="Residential Transport Revenue"/>
        <s v="Residential Transport Volume"/>
        <s v="Residential Transport Consumers"/>
        <s v="Residential Sales Revenue"/>
        <s v="Residential Sales Consumers"/>
        <s v="Residential Sales Volume"/>
        <s v="Commercial Sales Volume"/>
        <s v="Commercial Sales Revenue"/>
        <s v="Commercial Sales Consumers"/>
        <s v="Industrial Sales Volume"/>
        <s v="Industrial Sales Consumers"/>
        <s v="Industrial Sales Revenue"/>
      </sharedItems>
    </cacheField>
    <cacheField name="Transport" numFmtId="0">
      <sharedItems containsString="0" containsBlank="1" containsNumber="1" containsInteger="1" minValue="1" maxValue="1"/>
    </cacheField>
    <cacheField name="Sector" numFmtId="0">
      <sharedItems/>
    </cacheField>
    <cacheField name="Metric" numFmtId="0">
      <sharedItems count="3">
        <s v="Revenue"/>
        <s v="Volume"/>
        <s v="Consumers"/>
      </sharedItems>
    </cacheField>
    <cacheField name="2021" numFmtId="0">
      <sharedItems containsSemiMixedTypes="0" containsString="0" containsNumber="1" minValue="1" maxValue="3382995627"/>
    </cacheField>
    <cacheField name="Field1" numFmtId="0" formula="'2021'*10.36/10^9" databaseField="0"/>
    <cacheField name="Field2" numFmtId="0" formula="'2021'/10^9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377.71145289352" createdVersion="8" refreshedVersion="8" minRefreshableVersion="3" recordCount="1490" xr:uid="{82121138-D60B-4825-ADD7-BC33E3B02094}">
  <cacheSource type="worksheet">
    <worksheetSource ref="A2:AB1492" sheet="Program_data"/>
  </cacheSource>
  <cacheFields count="31">
    <cacheField name="Old Filter" numFmtId="0">
      <sharedItems containsNonDate="0" containsString="0" containsBlank="1" count="1">
        <m/>
      </sharedItems>
    </cacheField>
    <cacheField name="Exclude" numFmtId="0">
      <sharedItems containsBlank="1" count="2">
        <m/>
        <s v="X"/>
      </sharedItems>
    </cacheField>
    <cacheField name="Year" numFmtId="0">
      <sharedItems containsBlank="1" containsMixedTypes="1" containsNumber="1" containsInteger="1" minValue="2022" maxValue="2027" count="8">
        <n v="2022"/>
        <n v="2023"/>
        <n v="2024"/>
        <n v="2025"/>
        <n v="2026"/>
        <n v="2027"/>
        <m/>
        <s v="FY2026"/>
      </sharedItems>
    </cacheField>
    <cacheField name="State" numFmtId="0">
      <sharedItems containsBlank="1" count="14">
        <s v="MA"/>
        <s v="IL"/>
        <s v="MI"/>
        <s v="MN"/>
        <s v="CT"/>
        <s v="CAN"/>
        <s v="WI"/>
        <s v="NY"/>
        <s v="OR"/>
        <m/>
        <s v="WA"/>
        <s v="UT"/>
        <s v="NJ"/>
        <s v="CO"/>
      </sharedItems>
    </cacheField>
    <cacheField name="Utility" numFmtId="0">
      <sharedItems containsBlank="1"/>
    </cacheField>
    <cacheField name="Utility_Final" numFmtId="0">
      <sharedItems containsBlank="1" count="25">
        <s v="Eversource-MA"/>
        <s v="Ngrid-MA"/>
        <s v="Ameren-IL"/>
        <s v="DTE-MI"/>
        <s v="Xcel-MN"/>
        <s v="Eversource-CT"/>
        <s v="CNG-CT"/>
        <s v="SoCTGas-CT"/>
        <s v="FortisBC-CAN"/>
        <s v="Enbridge-CAN"/>
        <s v="North Shore-IL"/>
        <s v="FOE-WI"/>
        <s v="ConEd-NY"/>
        <s v="Ngrid-NY"/>
        <s v="NW Natural-OR"/>
        <m/>
        <s v="PSE-WA"/>
        <s v="QUESTAR-UT"/>
        <s v="PSEG-NJ"/>
        <s v="Avista-WA"/>
        <s v="Xcel-CO"/>
        <s v="CtPt-MN"/>
        <s v="Nicor-IL"/>
        <s v="Peoples-IL"/>
        <s v="CMS-MI"/>
      </sharedItems>
    </cacheField>
    <cacheField name="Sector" numFmtId="0">
      <sharedItems containsBlank="1" count="6">
        <s v="A - RES"/>
        <s v="B - IQ"/>
        <s v="C - C&amp;I"/>
        <s v="Overhead"/>
        <s v="D - Overhead"/>
        <m/>
      </sharedItems>
    </cacheField>
    <cacheField name="IQ" numFmtId="0">
      <sharedItems containsString="0" containsBlank="1" containsNumber="1" containsInteger="1" minValue="1" maxValue="1"/>
    </cacheField>
    <cacheField name="Program" numFmtId="0">
      <sharedItems containsBlank="1"/>
    </cacheField>
    <cacheField name="Initiative" numFmtId="0">
      <sharedItems containsBlank="1"/>
    </cacheField>
    <cacheField name="Apex_Category" numFmtId="0">
      <sharedItems containsBlank="1" count="22">
        <s v="NC"/>
        <s v="Wx"/>
        <s v="Equip-all else"/>
        <s v="IQ"/>
        <s v="Overhead"/>
        <s v="Behave "/>
        <s v="Other"/>
        <s v="Furnace "/>
        <m/>
        <s v="Equip-furnace"/>
        <s v="Small Biz"/>
        <s v="Custom "/>
        <s v="Rcx"/>
        <s v="Kits"/>
        <s v="SEM"/>
        <s v="Custom"/>
        <s v="Other-Res"/>
        <s v="Equip-boiler"/>
        <s v="Small Biz "/>
        <s v="Behave"/>
        <s v="Equip - furnace"/>
        <s v="Behavior" u="1"/>
      </sharedItems>
    </cacheField>
    <cacheField name="NetSavings" numFmtId="0">
      <sharedItems containsString="0" containsBlank="1" containsNumber="1" minValue="0" maxValue="18146251.296999998"/>
    </cacheField>
    <cacheField name="GrossSavings" numFmtId="0">
      <sharedItems containsString="0" containsBlank="1" containsNumber="1" minValue="0" maxValue="41524602.510297477"/>
    </cacheField>
    <cacheField name="Total_Costs" numFmtId="0">
      <sharedItems containsString="0" containsBlank="1" containsNumber="1" minValue="0" maxValue="254148733"/>
    </cacheField>
    <cacheField name="Incentive_Costs" numFmtId="0">
      <sharedItems containsString="0" containsBlank="1" containsNumber="1" minValue="0" maxValue="316673692.92170405"/>
    </cacheField>
    <cacheField name="Revenue" numFmtId="165">
      <sharedItems containsString="0" containsBlank="1" containsNumber="1" minValue="0" maxValue="2377068394.8298411"/>
    </cacheField>
    <cacheField name="Volume" numFmtId="3">
      <sharedItems containsString="0" containsBlank="1" containsNumber="1" minValue="0" maxValue="614176841.51999986"/>
    </cacheField>
    <cacheField name="Consumers" numFmtId="3">
      <sharedItems containsString="0" containsBlank="1" containsNumber="1" containsInteger="1" minValue="0" maxValue="3711979"/>
    </cacheField>
    <cacheField name="Revenue2" numFmtId="165">
      <sharedItems containsString="0" containsBlank="1" containsNumber="1" minValue="0" maxValue="3425062807.5999999"/>
    </cacheField>
    <cacheField name="Volume2" numFmtId="3">
      <sharedItems containsString="0" containsBlank="1" containsNumber="1" minValue="0" maxValue="884953189.29599977"/>
    </cacheField>
    <cacheField name="Consumers2" numFmtId="3">
      <sharedItems containsString="0" containsBlank="1" containsNumber="1" containsInteger="1" minValue="0" maxValue="3728492"/>
    </cacheField>
    <cacheField name="Net Savings as % of Sales Volume" numFmtId="0">
      <sharedItems containsBlank="1" containsMixedTypes="1" containsNumber="1" minValue="0" maxValue="4.4663603338316229E-3"/>
    </cacheField>
    <cacheField name="Gross Savings as % of Sales Volume" numFmtId="0">
      <sharedItems containsBlank="1" containsMixedTypes="1" containsNumber="1" minValue="0" maxValue="2.8242130646794372E-2"/>
    </cacheField>
    <cacheField name="EE Spending as % of Revenue" numFmtId="0">
      <sharedItems containsBlank="1" containsMixedTypes="1" containsNumber="1" minValue="0" maxValue="0.13986091206230178"/>
    </cacheField>
    <cacheField name="EE Spending per Sales Volume ($/thm)" numFmtId="0">
      <sharedItems containsBlank="1" containsMixedTypes="1" containsNumber="1" minValue="0" maxValue="9.2527105425024486E-2"/>
    </cacheField>
    <cacheField name="EE Spending per EE Savings ($/thm)" numFmtId="165">
      <sharedItems containsMixedTypes="1" containsNumber="1" minValue="0" maxValue="172.29971240210253"/>
    </cacheField>
    <cacheField name="EE Spending per EE Savings ($/thm) V2" numFmtId="165">
      <sharedItems containsMixedTypes="1" containsNumber="1" minValue="0" maxValue="152.60876703332787"/>
    </cacheField>
    <cacheField name="Notes" numFmtId="0">
      <sharedItems containsBlank="1"/>
    </cacheField>
    <cacheField name="Source" numFmtId="0">
      <sharedItems containsBlank="1" containsMixedTypes="1" containsNumber="1" containsInteger="1" minValue="61" maxValue="283328"/>
    </cacheField>
    <cacheField name="Field1" numFmtId="0" formula="Total_Costs/1000000" databaseField="0"/>
    <cacheField name="Volume (billions)" numFmtId="0" formula="Volume/1000000000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4">
  <r>
    <s v="Illinois"/>
    <s v="Ameren"/>
    <x v="0"/>
    <x v="0"/>
    <n v="1"/>
    <x v="0"/>
    <x v="0"/>
    <n v="45318198"/>
  </r>
  <r>
    <s v="Illinois"/>
    <s v="Ameren"/>
    <x v="0"/>
    <x v="1"/>
    <n v="1"/>
    <x v="0"/>
    <x v="1"/>
    <n v="30049707"/>
  </r>
  <r>
    <s v="Illinois"/>
    <s v="Ameren"/>
    <x v="0"/>
    <x v="2"/>
    <n v="1"/>
    <x v="0"/>
    <x v="2"/>
    <n v="8038"/>
  </r>
  <r>
    <s v="Illinois"/>
    <s v="Ameren"/>
    <x v="0"/>
    <x v="3"/>
    <n v="1"/>
    <x v="0"/>
    <x v="2"/>
    <n v="796"/>
  </r>
  <r>
    <s v="Illinois"/>
    <s v="Ameren"/>
    <x v="0"/>
    <x v="4"/>
    <n v="1"/>
    <x v="0"/>
    <x v="0"/>
    <n v="28425180"/>
  </r>
  <r>
    <s v="Illinois"/>
    <s v="Ameren"/>
    <x v="0"/>
    <x v="5"/>
    <n v="1"/>
    <x v="0"/>
    <x v="1"/>
    <n v="54252757"/>
  </r>
  <r>
    <s v="Colorado"/>
    <s v="Atmos"/>
    <x v="1"/>
    <x v="5"/>
    <n v="1"/>
    <x v="0"/>
    <x v="1"/>
    <n v="6068715"/>
  </r>
  <r>
    <s v="Colorado"/>
    <s v="Atmos"/>
    <x v="1"/>
    <x v="3"/>
    <n v="1"/>
    <x v="0"/>
    <x v="2"/>
    <n v="357"/>
  </r>
  <r>
    <s v="Colorado"/>
    <s v="Atmos"/>
    <x v="1"/>
    <x v="4"/>
    <n v="1"/>
    <x v="0"/>
    <x v="0"/>
    <n v="3230733"/>
  </r>
  <r>
    <s v="Oregon"/>
    <s v="Avista"/>
    <x v="2"/>
    <x v="1"/>
    <n v="1"/>
    <x v="0"/>
    <x v="1"/>
    <n v="476902"/>
  </r>
  <r>
    <s v="Oregon"/>
    <s v="Avista"/>
    <x v="2"/>
    <x v="0"/>
    <n v="1"/>
    <x v="0"/>
    <x v="0"/>
    <n v="530966"/>
  </r>
  <r>
    <s v="Oregon"/>
    <s v="Avista"/>
    <x v="2"/>
    <x v="2"/>
    <n v="1"/>
    <x v="0"/>
    <x v="2"/>
    <n v="9"/>
  </r>
  <r>
    <s v="Oregon"/>
    <s v="Avista"/>
    <x v="2"/>
    <x v="3"/>
    <n v="1"/>
    <x v="0"/>
    <x v="2"/>
    <n v="24"/>
  </r>
  <r>
    <s v="Oregon"/>
    <s v="Avista"/>
    <x v="2"/>
    <x v="4"/>
    <n v="1"/>
    <x v="0"/>
    <x v="0"/>
    <n v="2454021"/>
  </r>
  <r>
    <s v="Oregon"/>
    <s v="Avista"/>
    <x v="2"/>
    <x v="5"/>
    <n v="1"/>
    <x v="0"/>
    <x v="1"/>
    <n v="3337687"/>
  </r>
  <r>
    <s v="Maryland"/>
    <s v="BGE"/>
    <x v="3"/>
    <x v="6"/>
    <n v="1"/>
    <x v="1"/>
    <x v="0"/>
    <n v="77311175"/>
  </r>
  <r>
    <s v="Maryland"/>
    <s v="BGE"/>
    <x v="3"/>
    <x v="7"/>
    <n v="1"/>
    <x v="1"/>
    <x v="1"/>
    <n v="7036628"/>
  </r>
  <r>
    <s v="Maryland"/>
    <s v="BGE"/>
    <x v="3"/>
    <x v="8"/>
    <n v="1"/>
    <x v="1"/>
    <x v="2"/>
    <n v="124562"/>
  </r>
  <r>
    <s v="Maryland"/>
    <s v="BGE"/>
    <x v="3"/>
    <x v="2"/>
    <n v="1"/>
    <x v="0"/>
    <x v="2"/>
    <n v="13840"/>
  </r>
  <r>
    <s v="Maryland"/>
    <s v="BGE"/>
    <x v="3"/>
    <x v="0"/>
    <n v="1"/>
    <x v="0"/>
    <x v="0"/>
    <n v="86400631"/>
  </r>
  <r>
    <s v="Maryland"/>
    <s v="BGE"/>
    <x v="3"/>
    <x v="1"/>
    <n v="1"/>
    <x v="0"/>
    <x v="1"/>
    <n v="21910316"/>
  </r>
  <r>
    <s v="Maryland"/>
    <s v="BGE"/>
    <x v="3"/>
    <x v="4"/>
    <n v="1"/>
    <x v="0"/>
    <x v="0"/>
    <n v="24552991"/>
  </r>
  <r>
    <s v="Maryland"/>
    <s v="BGE"/>
    <x v="3"/>
    <x v="3"/>
    <n v="1"/>
    <x v="0"/>
    <x v="2"/>
    <n v="341"/>
  </r>
  <r>
    <s v="Maryland"/>
    <s v="BGE"/>
    <x v="3"/>
    <x v="5"/>
    <n v="1"/>
    <x v="0"/>
    <x v="1"/>
    <n v="13193520"/>
  </r>
  <r>
    <s v="Colorado"/>
    <s v="Black Hills"/>
    <x v="4"/>
    <x v="8"/>
    <n v="1"/>
    <x v="1"/>
    <x v="2"/>
    <n v="1"/>
  </r>
  <r>
    <s v="Colorado"/>
    <s v="Black Hills"/>
    <x v="4"/>
    <x v="6"/>
    <n v="1"/>
    <x v="1"/>
    <x v="0"/>
    <n v="8550"/>
  </r>
  <r>
    <s v="Colorado"/>
    <s v="Black Hills"/>
    <x v="4"/>
    <x v="7"/>
    <n v="1"/>
    <x v="1"/>
    <x v="1"/>
    <n v="3046"/>
  </r>
  <r>
    <s v="Colorado"/>
    <s v="Black Hills"/>
    <x v="4"/>
    <x v="2"/>
    <n v="1"/>
    <x v="0"/>
    <x v="2"/>
    <n v="189"/>
  </r>
  <r>
    <s v="Colorado"/>
    <s v="Black Hills"/>
    <x v="4"/>
    <x v="1"/>
    <n v="1"/>
    <x v="0"/>
    <x v="1"/>
    <n v="2150654"/>
  </r>
  <r>
    <s v="Colorado"/>
    <s v="Black Hills"/>
    <x v="4"/>
    <x v="0"/>
    <n v="1"/>
    <x v="0"/>
    <x v="0"/>
    <n v="3659721"/>
  </r>
  <r>
    <s v="Colorado"/>
    <s v="Black Hills"/>
    <x v="4"/>
    <x v="3"/>
    <n v="1"/>
    <x v="0"/>
    <x v="2"/>
    <n v="12"/>
  </r>
  <r>
    <s v="Colorado"/>
    <s v="Black Hills"/>
    <x v="4"/>
    <x v="5"/>
    <n v="1"/>
    <x v="0"/>
    <x v="1"/>
    <n v="1721598"/>
  </r>
  <r>
    <s v="Colorado"/>
    <s v="Black Hills"/>
    <x v="4"/>
    <x v="4"/>
    <n v="1"/>
    <x v="0"/>
    <x v="0"/>
    <n v="950134"/>
  </r>
  <r>
    <s v="Massachusetts"/>
    <s v="Ngrid"/>
    <x v="5"/>
    <x v="7"/>
    <n v="1"/>
    <x v="1"/>
    <x v="1"/>
    <n v="1326659"/>
  </r>
  <r>
    <s v="Massachusetts"/>
    <s v="Ngrid"/>
    <x v="5"/>
    <x v="8"/>
    <n v="1"/>
    <x v="1"/>
    <x v="2"/>
    <n v="16086"/>
  </r>
  <r>
    <s v="Massachusetts"/>
    <s v="Ngrid"/>
    <x v="5"/>
    <x v="6"/>
    <n v="1"/>
    <x v="1"/>
    <x v="0"/>
    <n v="13503438"/>
  </r>
  <r>
    <s v="Massachusetts"/>
    <s v="Ngrid"/>
    <x v="5"/>
    <x v="1"/>
    <n v="1"/>
    <x v="0"/>
    <x v="1"/>
    <n v="39633504"/>
  </r>
  <r>
    <s v="Massachusetts"/>
    <s v="Ngrid"/>
    <x v="5"/>
    <x v="0"/>
    <n v="1"/>
    <x v="0"/>
    <x v="0"/>
    <n v="135289842"/>
  </r>
  <r>
    <s v="Massachusetts"/>
    <s v="Ngrid"/>
    <x v="5"/>
    <x v="2"/>
    <n v="1"/>
    <x v="0"/>
    <x v="2"/>
    <n v="9544"/>
  </r>
  <r>
    <s v="Massachusetts"/>
    <s v="Ngrid"/>
    <x v="5"/>
    <x v="5"/>
    <n v="1"/>
    <x v="0"/>
    <x v="1"/>
    <n v="11528556"/>
  </r>
  <r>
    <s v="Massachusetts"/>
    <s v="Ngrid"/>
    <x v="5"/>
    <x v="4"/>
    <n v="1"/>
    <x v="0"/>
    <x v="0"/>
    <n v="39937480"/>
  </r>
  <r>
    <s v="Massachusetts"/>
    <s v="Ngrid"/>
    <x v="5"/>
    <x v="3"/>
    <n v="1"/>
    <x v="0"/>
    <x v="2"/>
    <n v="2488"/>
  </r>
  <r>
    <s v="Minnesota"/>
    <s v="CtPt"/>
    <x v="6"/>
    <x v="2"/>
    <n v="1"/>
    <x v="0"/>
    <x v="2"/>
    <n v="477"/>
  </r>
  <r>
    <s v="Minnesota"/>
    <s v="CtPt"/>
    <x v="6"/>
    <x v="0"/>
    <n v="1"/>
    <x v="0"/>
    <x v="0"/>
    <n v="14467802"/>
  </r>
  <r>
    <s v="Minnesota"/>
    <s v="CtPt"/>
    <x v="6"/>
    <x v="1"/>
    <n v="1"/>
    <x v="0"/>
    <x v="1"/>
    <n v="9695950"/>
  </r>
  <r>
    <s v="Minnesota"/>
    <s v="CtPt"/>
    <x v="6"/>
    <x v="5"/>
    <n v="1"/>
    <x v="0"/>
    <x v="1"/>
    <n v="23932275"/>
  </r>
  <r>
    <s v="Minnesota"/>
    <s v="CtPt"/>
    <x v="6"/>
    <x v="4"/>
    <n v="1"/>
    <x v="0"/>
    <x v="0"/>
    <n v="10608382"/>
  </r>
  <r>
    <s v="Minnesota"/>
    <s v="CtPt"/>
    <x v="6"/>
    <x v="3"/>
    <n v="1"/>
    <x v="0"/>
    <x v="2"/>
    <n v="127"/>
  </r>
  <r>
    <s v="Massachusetts"/>
    <s v="Keyspan-MA"/>
    <x v="7"/>
    <x v="8"/>
    <n v="1"/>
    <x v="1"/>
    <x v="2"/>
    <n v="2912"/>
  </r>
  <r>
    <s v="Massachusetts"/>
    <s v="Keyspan-MA"/>
    <x v="7"/>
    <x v="7"/>
    <n v="1"/>
    <x v="1"/>
    <x v="1"/>
    <n v="240423"/>
  </r>
  <r>
    <s v="Massachusetts"/>
    <s v="Keyspan-MA"/>
    <x v="7"/>
    <x v="6"/>
    <n v="1"/>
    <x v="1"/>
    <x v="0"/>
    <n v="2070253"/>
  </r>
  <r>
    <s v="Massachusetts"/>
    <s v="Keyspan-MA"/>
    <x v="7"/>
    <x v="2"/>
    <n v="1"/>
    <x v="0"/>
    <x v="2"/>
    <n v="2070"/>
  </r>
  <r>
    <s v="Massachusetts"/>
    <s v="Keyspan-MA"/>
    <x v="7"/>
    <x v="0"/>
    <n v="1"/>
    <x v="0"/>
    <x v="0"/>
    <n v="14563135"/>
  </r>
  <r>
    <s v="Massachusetts"/>
    <s v="Keyspan-MA"/>
    <x v="7"/>
    <x v="1"/>
    <n v="1"/>
    <x v="0"/>
    <x v="1"/>
    <n v="3697044"/>
  </r>
  <r>
    <s v="Massachusetts"/>
    <s v="Keyspan-MA"/>
    <x v="7"/>
    <x v="3"/>
    <n v="1"/>
    <x v="0"/>
    <x v="2"/>
    <n v="734"/>
  </r>
  <r>
    <s v="Massachusetts"/>
    <s v="Keyspan-MA"/>
    <x v="7"/>
    <x v="4"/>
    <n v="1"/>
    <x v="0"/>
    <x v="0"/>
    <n v="7364533"/>
  </r>
  <r>
    <s v="Massachusetts"/>
    <s v="Keyspan-MA"/>
    <x v="7"/>
    <x v="5"/>
    <n v="1"/>
    <x v="0"/>
    <x v="1"/>
    <n v="2078558"/>
  </r>
  <r>
    <s v="Connecticut"/>
    <s v="CNG"/>
    <x v="8"/>
    <x v="7"/>
    <n v="1"/>
    <x v="1"/>
    <x v="1"/>
    <n v="587128"/>
  </r>
  <r>
    <s v="Connecticut"/>
    <s v="CNG"/>
    <x v="8"/>
    <x v="8"/>
    <n v="1"/>
    <x v="1"/>
    <x v="2"/>
    <n v="457"/>
  </r>
  <r>
    <s v="Connecticut"/>
    <s v="CNG"/>
    <x v="8"/>
    <x v="6"/>
    <n v="1"/>
    <x v="1"/>
    <x v="0"/>
    <n v="2640430"/>
  </r>
  <r>
    <s v="Connecticut"/>
    <s v="CNG"/>
    <x v="8"/>
    <x v="2"/>
    <n v="1"/>
    <x v="0"/>
    <x v="2"/>
    <n v="568"/>
  </r>
  <r>
    <s v="Connecticut"/>
    <s v="CNG"/>
    <x v="8"/>
    <x v="0"/>
    <n v="1"/>
    <x v="0"/>
    <x v="0"/>
    <n v="8443361"/>
  </r>
  <r>
    <s v="Connecticut"/>
    <s v="CNG"/>
    <x v="8"/>
    <x v="1"/>
    <n v="1"/>
    <x v="0"/>
    <x v="1"/>
    <n v="2793644"/>
  </r>
  <r>
    <s v="Connecticut"/>
    <s v="CNG"/>
    <x v="8"/>
    <x v="4"/>
    <n v="1"/>
    <x v="0"/>
    <x v="0"/>
    <n v="1682725"/>
  </r>
  <r>
    <s v="Connecticut"/>
    <s v="CNG"/>
    <x v="8"/>
    <x v="3"/>
    <n v="1"/>
    <x v="0"/>
    <x v="2"/>
    <n v="69"/>
  </r>
  <r>
    <s v="Connecticut"/>
    <s v="CNG"/>
    <x v="8"/>
    <x v="5"/>
    <n v="1"/>
    <x v="0"/>
    <x v="1"/>
    <n v="545742"/>
  </r>
  <r>
    <s v="New York"/>
    <s v="ConEd"/>
    <x v="9"/>
    <x v="7"/>
    <n v="1"/>
    <x v="1"/>
    <x v="1"/>
    <n v="47832569"/>
  </r>
  <r>
    <s v="New York"/>
    <s v="ConEd"/>
    <x v="9"/>
    <x v="6"/>
    <n v="1"/>
    <x v="1"/>
    <x v="0"/>
    <n v="445840802"/>
  </r>
  <r>
    <s v="New York"/>
    <s v="ConEd"/>
    <x v="9"/>
    <x v="8"/>
    <n v="1"/>
    <x v="1"/>
    <x v="2"/>
    <n v="76692"/>
  </r>
  <r>
    <s v="New York"/>
    <s v="ConEd"/>
    <x v="9"/>
    <x v="2"/>
    <n v="1"/>
    <x v="0"/>
    <x v="2"/>
    <n v="28684"/>
  </r>
  <r>
    <s v="New York"/>
    <s v="ConEd"/>
    <x v="9"/>
    <x v="1"/>
    <n v="1"/>
    <x v="0"/>
    <x v="1"/>
    <n v="69339539"/>
  </r>
  <r>
    <s v="New York"/>
    <s v="ConEd"/>
    <x v="9"/>
    <x v="0"/>
    <n v="1"/>
    <x v="0"/>
    <x v="0"/>
    <n v="158216812"/>
  </r>
  <r>
    <s v="New York"/>
    <s v="ConEd"/>
    <x v="9"/>
    <x v="3"/>
    <n v="1"/>
    <x v="0"/>
    <x v="2"/>
    <n v="33"/>
  </r>
  <r>
    <s v="New York"/>
    <s v="ConEd"/>
    <x v="9"/>
    <x v="4"/>
    <n v="1"/>
    <x v="0"/>
    <x v="0"/>
    <n v="3517642"/>
  </r>
  <r>
    <s v="New York"/>
    <s v="ConEd"/>
    <x v="9"/>
    <x v="5"/>
    <n v="1"/>
    <x v="0"/>
    <x v="1"/>
    <n v="554928"/>
  </r>
  <r>
    <s v="Michigan"/>
    <s v="CMS"/>
    <x v="10"/>
    <x v="6"/>
    <n v="1"/>
    <x v="1"/>
    <x v="0"/>
    <n v="2669555"/>
  </r>
  <r>
    <s v="Michigan"/>
    <s v="CMS"/>
    <x v="10"/>
    <x v="8"/>
    <n v="1"/>
    <x v="1"/>
    <x v="2"/>
    <n v="202"/>
  </r>
  <r>
    <s v="Michigan"/>
    <s v="CMS"/>
    <x v="10"/>
    <x v="7"/>
    <n v="1"/>
    <x v="1"/>
    <x v="1"/>
    <n v="1102155"/>
  </r>
  <r>
    <s v="Michigan"/>
    <s v="CMS"/>
    <x v="10"/>
    <x v="1"/>
    <n v="1"/>
    <x v="0"/>
    <x v="1"/>
    <n v="25682332"/>
  </r>
  <r>
    <s v="Michigan"/>
    <s v="CMS"/>
    <x v="10"/>
    <x v="0"/>
    <n v="1"/>
    <x v="0"/>
    <x v="0"/>
    <n v="42458328"/>
  </r>
  <r>
    <s v="Michigan"/>
    <s v="CMS"/>
    <x v="10"/>
    <x v="2"/>
    <n v="1"/>
    <x v="0"/>
    <x v="2"/>
    <n v="2722"/>
  </r>
  <r>
    <s v="Michigan"/>
    <s v="CMS"/>
    <x v="10"/>
    <x v="3"/>
    <n v="1"/>
    <x v="0"/>
    <x v="2"/>
    <n v="534"/>
  </r>
  <r>
    <s v="Michigan"/>
    <s v="CMS"/>
    <x v="10"/>
    <x v="5"/>
    <n v="1"/>
    <x v="0"/>
    <x v="1"/>
    <n v="49086744"/>
  </r>
  <r>
    <s v="Michigan"/>
    <s v="CMS"/>
    <x v="10"/>
    <x v="4"/>
    <n v="1"/>
    <x v="0"/>
    <x v="0"/>
    <n v="57470439"/>
  </r>
  <r>
    <s v="Michigan"/>
    <s v="DTE"/>
    <x v="11"/>
    <x v="7"/>
    <n v="1"/>
    <x v="1"/>
    <x v="1"/>
    <n v="10673826"/>
  </r>
  <r>
    <s v="Michigan"/>
    <s v="DTE"/>
    <x v="11"/>
    <x v="8"/>
    <n v="1"/>
    <x v="1"/>
    <x v="2"/>
    <n v="108189"/>
  </r>
  <r>
    <s v="Michigan"/>
    <s v="DTE"/>
    <x v="11"/>
    <x v="6"/>
    <n v="1"/>
    <x v="1"/>
    <x v="0"/>
    <n v="58868225"/>
  </r>
  <r>
    <s v="Michigan"/>
    <s v="DTE"/>
    <x v="11"/>
    <x v="1"/>
    <n v="1"/>
    <x v="0"/>
    <x v="1"/>
    <n v="38388972"/>
  </r>
  <r>
    <s v="Michigan"/>
    <s v="DTE"/>
    <x v="11"/>
    <x v="2"/>
    <n v="1"/>
    <x v="0"/>
    <x v="2"/>
    <n v="16047"/>
  </r>
  <r>
    <s v="Michigan"/>
    <s v="DTE"/>
    <x v="11"/>
    <x v="0"/>
    <n v="1"/>
    <x v="0"/>
    <x v="0"/>
    <n v="75406311"/>
  </r>
  <r>
    <s v="Michigan"/>
    <s v="DTE"/>
    <x v="11"/>
    <x v="5"/>
    <n v="1"/>
    <x v="0"/>
    <x v="1"/>
    <n v="59979897"/>
  </r>
  <r>
    <s v="Michigan"/>
    <s v="DTE"/>
    <x v="11"/>
    <x v="4"/>
    <n v="1"/>
    <x v="0"/>
    <x v="0"/>
    <n v="55047062"/>
  </r>
  <r>
    <s v="Michigan"/>
    <s v="DTE"/>
    <x v="11"/>
    <x v="3"/>
    <n v="1"/>
    <x v="0"/>
    <x v="2"/>
    <n v="419"/>
  </r>
  <r>
    <s v="Massachusetts"/>
    <s v="Eversource-MA"/>
    <x v="12"/>
    <x v="8"/>
    <n v="1"/>
    <x v="1"/>
    <x v="2"/>
    <n v="285"/>
  </r>
  <r>
    <s v="Massachusetts"/>
    <s v="Eversource-MA"/>
    <x v="12"/>
    <x v="6"/>
    <n v="1"/>
    <x v="1"/>
    <x v="0"/>
    <n v="327330"/>
  </r>
  <r>
    <s v="Massachusetts"/>
    <s v="Eversource-MA"/>
    <x v="12"/>
    <x v="7"/>
    <n v="1"/>
    <x v="1"/>
    <x v="1"/>
    <n v="40305"/>
  </r>
  <r>
    <s v="Massachusetts"/>
    <s v="Eversource-MA"/>
    <x v="12"/>
    <x v="2"/>
    <n v="1"/>
    <x v="0"/>
    <x v="2"/>
    <n v="4557"/>
  </r>
  <r>
    <s v="Massachusetts"/>
    <s v="Eversource-MA"/>
    <x v="12"/>
    <x v="0"/>
    <n v="1"/>
    <x v="0"/>
    <x v="0"/>
    <n v="15278535"/>
  </r>
  <r>
    <s v="Massachusetts"/>
    <s v="Eversource-MA"/>
    <x v="12"/>
    <x v="1"/>
    <n v="1"/>
    <x v="0"/>
    <x v="1"/>
    <n v="3532023"/>
  </r>
  <r>
    <s v="Massachusetts"/>
    <s v="Eversource-MA"/>
    <x v="12"/>
    <x v="3"/>
    <n v="1"/>
    <x v="0"/>
    <x v="2"/>
    <n v="653"/>
  </r>
  <r>
    <s v="Massachusetts"/>
    <s v="Eversource-MA"/>
    <x v="12"/>
    <x v="5"/>
    <n v="1"/>
    <x v="0"/>
    <x v="1"/>
    <n v="11895656"/>
  </r>
  <r>
    <s v="Massachusetts"/>
    <s v="Eversource-MA"/>
    <x v="12"/>
    <x v="4"/>
    <n v="1"/>
    <x v="0"/>
    <x v="0"/>
    <n v="31707582"/>
  </r>
  <r>
    <s v="New York"/>
    <s v="Ngrid"/>
    <x v="13"/>
    <x v="7"/>
    <n v="1"/>
    <x v="1"/>
    <x v="1"/>
    <n v="2333109"/>
  </r>
  <r>
    <s v="New York"/>
    <s v="Ngrid"/>
    <x v="13"/>
    <x v="6"/>
    <n v="1"/>
    <x v="1"/>
    <x v="0"/>
    <n v="19057593"/>
  </r>
  <r>
    <s v="New York"/>
    <s v="Ngrid"/>
    <x v="13"/>
    <x v="8"/>
    <n v="1"/>
    <x v="1"/>
    <x v="2"/>
    <n v="18814"/>
  </r>
  <r>
    <s v="New York"/>
    <s v="Ngrid"/>
    <x v="13"/>
    <x v="0"/>
    <n v="1"/>
    <x v="0"/>
    <x v="0"/>
    <n v="81313121"/>
  </r>
  <r>
    <s v="New York"/>
    <s v="Ngrid"/>
    <x v="13"/>
    <x v="1"/>
    <n v="1"/>
    <x v="0"/>
    <x v="1"/>
    <n v="19010093"/>
  </r>
  <r>
    <s v="New York"/>
    <s v="Ngrid"/>
    <x v="13"/>
    <x v="2"/>
    <n v="1"/>
    <x v="0"/>
    <x v="2"/>
    <n v="12023"/>
  </r>
  <r>
    <s v="Wisconsin"/>
    <s v="Madison Gas"/>
    <x v="14"/>
    <x v="0"/>
    <n v="1"/>
    <x v="0"/>
    <x v="0"/>
    <n v="4108182"/>
  </r>
  <r>
    <s v="Wisconsin"/>
    <s v="Madison Gas"/>
    <x v="14"/>
    <x v="1"/>
    <n v="1"/>
    <x v="0"/>
    <x v="1"/>
    <n v="5096991"/>
  </r>
  <r>
    <s v="Wisconsin"/>
    <s v="Madison Gas"/>
    <x v="14"/>
    <x v="2"/>
    <n v="1"/>
    <x v="0"/>
    <x v="2"/>
    <n v="141"/>
  </r>
  <r>
    <s v="Wisconsin"/>
    <s v="Madison Gas"/>
    <x v="14"/>
    <x v="4"/>
    <n v="1"/>
    <x v="0"/>
    <x v="0"/>
    <n v="1386877"/>
  </r>
  <r>
    <s v="Wisconsin"/>
    <s v="Madison Gas"/>
    <x v="14"/>
    <x v="3"/>
    <n v="1"/>
    <x v="0"/>
    <x v="2"/>
    <n v="20"/>
  </r>
  <r>
    <s v="Wisconsin"/>
    <s v="Madison Gas"/>
    <x v="14"/>
    <x v="5"/>
    <n v="1"/>
    <x v="0"/>
    <x v="1"/>
    <n v="1328917"/>
  </r>
  <r>
    <s v="Rhode Island"/>
    <s v="RI Energy"/>
    <x v="15"/>
    <x v="2"/>
    <n v="1"/>
    <x v="0"/>
    <x v="2"/>
    <n v="3069"/>
  </r>
  <r>
    <s v="Rhode Island"/>
    <s v="RI Energy"/>
    <x v="15"/>
    <x v="1"/>
    <n v="1"/>
    <x v="0"/>
    <x v="1"/>
    <n v="5374364"/>
  </r>
  <r>
    <s v="Rhode Island"/>
    <s v="RI Energy"/>
    <x v="15"/>
    <x v="0"/>
    <n v="1"/>
    <x v="0"/>
    <x v="0"/>
    <n v="28759876"/>
  </r>
  <r>
    <s v="Rhode Island"/>
    <s v="RI Energy"/>
    <x v="15"/>
    <x v="3"/>
    <n v="1"/>
    <x v="0"/>
    <x v="2"/>
    <n v="214"/>
  </r>
  <r>
    <s v="Rhode Island"/>
    <s v="RI Energy"/>
    <x v="15"/>
    <x v="4"/>
    <n v="1"/>
    <x v="0"/>
    <x v="0"/>
    <n v="19536362"/>
  </r>
  <r>
    <s v="Rhode Island"/>
    <s v="RI Energy"/>
    <x v="15"/>
    <x v="5"/>
    <n v="1"/>
    <x v="0"/>
    <x v="1"/>
    <n v="8138539"/>
  </r>
  <r>
    <s v="New Mexico"/>
    <s v="NMGCo"/>
    <x v="16"/>
    <x v="7"/>
    <n v="1"/>
    <x v="1"/>
    <x v="1"/>
    <n v="9180"/>
  </r>
  <r>
    <s v="New Mexico"/>
    <s v="NMGCo"/>
    <x v="16"/>
    <x v="6"/>
    <n v="1"/>
    <x v="1"/>
    <x v="0"/>
    <n v="37790"/>
  </r>
  <r>
    <s v="New Mexico"/>
    <s v="NMGCo"/>
    <x v="16"/>
    <x v="8"/>
    <n v="1"/>
    <x v="1"/>
    <x v="2"/>
    <n v="106"/>
  </r>
  <r>
    <s v="New Mexico"/>
    <s v="NMGCo"/>
    <x v="16"/>
    <x v="0"/>
    <n v="1"/>
    <x v="0"/>
    <x v="0"/>
    <n v="14075241"/>
  </r>
  <r>
    <s v="New Mexico"/>
    <s v="NMGCo"/>
    <x v="16"/>
    <x v="2"/>
    <n v="1"/>
    <x v="0"/>
    <x v="2"/>
    <n v="3645"/>
  </r>
  <r>
    <s v="New Mexico"/>
    <s v="NMGCo"/>
    <x v="16"/>
    <x v="1"/>
    <n v="1"/>
    <x v="0"/>
    <x v="1"/>
    <n v="11571227"/>
  </r>
  <r>
    <s v="New Mexico"/>
    <s v="NMGCo"/>
    <x v="16"/>
    <x v="3"/>
    <n v="1"/>
    <x v="0"/>
    <x v="2"/>
    <n v="37"/>
  </r>
  <r>
    <s v="New Mexico"/>
    <s v="NMGCo"/>
    <x v="16"/>
    <x v="4"/>
    <n v="1"/>
    <x v="0"/>
    <x v="0"/>
    <n v="2430818"/>
  </r>
  <r>
    <s v="New Mexico"/>
    <s v="NMGCo"/>
    <x v="16"/>
    <x v="5"/>
    <n v="1"/>
    <x v="0"/>
    <x v="1"/>
    <n v="10402967"/>
  </r>
  <r>
    <s v="New York"/>
    <s v="Ngrid"/>
    <x v="13"/>
    <x v="6"/>
    <n v="1"/>
    <x v="1"/>
    <x v="0"/>
    <n v="32697616"/>
  </r>
  <r>
    <s v="New York"/>
    <s v="Ngrid"/>
    <x v="13"/>
    <x v="7"/>
    <n v="1"/>
    <x v="1"/>
    <x v="1"/>
    <n v="6210025"/>
  </r>
  <r>
    <s v="New York"/>
    <s v="Ngrid"/>
    <x v="13"/>
    <x v="8"/>
    <n v="1"/>
    <x v="1"/>
    <x v="2"/>
    <n v="61437"/>
  </r>
  <r>
    <s v="New York"/>
    <s v="Ngrid"/>
    <x v="13"/>
    <x v="1"/>
    <n v="1"/>
    <x v="0"/>
    <x v="1"/>
    <n v="22500798"/>
  </r>
  <r>
    <s v="New York"/>
    <s v="Ngrid"/>
    <x v="13"/>
    <x v="0"/>
    <n v="1"/>
    <x v="0"/>
    <x v="0"/>
    <n v="43356969"/>
  </r>
  <r>
    <s v="New York"/>
    <s v="Ngrid"/>
    <x v="13"/>
    <x v="2"/>
    <n v="1"/>
    <x v="0"/>
    <x v="2"/>
    <n v="14242"/>
  </r>
  <r>
    <s v="New York"/>
    <s v="Ngrid"/>
    <x v="13"/>
    <x v="4"/>
    <n v="1"/>
    <x v="0"/>
    <x v="0"/>
    <n v="23583170"/>
  </r>
  <r>
    <s v="New York"/>
    <s v="Ngrid"/>
    <x v="13"/>
    <x v="5"/>
    <n v="1"/>
    <x v="0"/>
    <x v="1"/>
    <n v="24650263"/>
  </r>
  <r>
    <s v="New York"/>
    <s v="Ngrid"/>
    <x v="13"/>
    <x v="3"/>
    <n v="1"/>
    <x v="0"/>
    <x v="2"/>
    <n v="145"/>
  </r>
  <r>
    <s v="Illinois"/>
    <s v="Nicor"/>
    <x v="17"/>
    <x v="8"/>
    <n v="1"/>
    <x v="1"/>
    <x v="2"/>
    <n v="182480"/>
  </r>
  <r>
    <s v="Illinois"/>
    <s v="Nicor"/>
    <x v="17"/>
    <x v="7"/>
    <n v="1"/>
    <x v="1"/>
    <x v="1"/>
    <n v="23502135"/>
  </r>
  <r>
    <s v="Illinois"/>
    <s v="Nicor"/>
    <x v="17"/>
    <x v="6"/>
    <n v="1"/>
    <x v="1"/>
    <x v="0"/>
    <n v="76106892"/>
  </r>
  <r>
    <s v="Illinois"/>
    <s v="Nicor"/>
    <x v="17"/>
    <x v="1"/>
    <n v="1"/>
    <x v="0"/>
    <x v="1"/>
    <n v="73123485"/>
  </r>
  <r>
    <s v="Illinois"/>
    <s v="Nicor"/>
    <x v="17"/>
    <x v="0"/>
    <n v="1"/>
    <x v="0"/>
    <x v="0"/>
    <n v="96138065"/>
  </r>
  <r>
    <s v="Illinois"/>
    <s v="Nicor"/>
    <x v="17"/>
    <x v="2"/>
    <n v="1"/>
    <x v="0"/>
    <x v="2"/>
    <n v="39526"/>
  </r>
  <r>
    <s v="Illinois"/>
    <s v="Nicor"/>
    <x v="17"/>
    <x v="4"/>
    <n v="1"/>
    <x v="0"/>
    <x v="0"/>
    <n v="50166922"/>
  </r>
  <r>
    <s v="Illinois"/>
    <s v="Nicor"/>
    <x v="17"/>
    <x v="5"/>
    <n v="1"/>
    <x v="0"/>
    <x v="1"/>
    <n v="107882333"/>
  </r>
  <r>
    <s v="Illinois"/>
    <s v="Nicor"/>
    <x v="17"/>
    <x v="3"/>
    <n v="1"/>
    <x v="0"/>
    <x v="2"/>
    <n v="5654"/>
  </r>
  <r>
    <s v="Illinois"/>
    <s v="North Shore"/>
    <x v="18"/>
    <x v="6"/>
    <n v="1"/>
    <x v="1"/>
    <x v="0"/>
    <n v="7000563"/>
  </r>
  <r>
    <s v="Illinois"/>
    <s v="North Shore"/>
    <x v="18"/>
    <x v="7"/>
    <n v="1"/>
    <x v="1"/>
    <x v="1"/>
    <n v="1458762"/>
  </r>
  <r>
    <s v="Illinois"/>
    <s v="North Shore"/>
    <x v="18"/>
    <x v="8"/>
    <n v="1"/>
    <x v="1"/>
    <x v="2"/>
    <n v="10401"/>
  </r>
  <r>
    <s v="Illinois"/>
    <s v="North Shore"/>
    <x v="18"/>
    <x v="2"/>
    <n v="1"/>
    <x v="0"/>
    <x v="2"/>
    <n v="2841"/>
  </r>
  <r>
    <s v="Illinois"/>
    <s v="North Shore"/>
    <x v="18"/>
    <x v="1"/>
    <n v="1"/>
    <x v="0"/>
    <x v="1"/>
    <n v="6092622"/>
  </r>
  <r>
    <s v="Illinois"/>
    <s v="North Shore"/>
    <x v="18"/>
    <x v="0"/>
    <n v="1"/>
    <x v="0"/>
    <x v="0"/>
    <n v="14960362"/>
  </r>
  <r>
    <s v="Illinois"/>
    <s v="North Shore"/>
    <x v="18"/>
    <x v="4"/>
    <n v="1"/>
    <x v="0"/>
    <x v="0"/>
    <n v="7879843"/>
  </r>
  <r>
    <s v="Illinois"/>
    <s v="North Shore"/>
    <x v="18"/>
    <x v="3"/>
    <n v="1"/>
    <x v="0"/>
    <x v="2"/>
    <n v="282"/>
  </r>
  <r>
    <s v="Illinois"/>
    <s v="North Shore"/>
    <x v="18"/>
    <x v="5"/>
    <n v="1"/>
    <x v="0"/>
    <x v="1"/>
    <n v="4971363"/>
  </r>
  <r>
    <s v="Wisconsin"/>
    <s v="Northern NG"/>
    <x v="14"/>
    <x v="3"/>
    <n v="1"/>
    <x v="0"/>
    <x v="2"/>
    <n v="2"/>
  </r>
  <r>
    <s v="Wisconsin"/>
    <s v="Northern NG"/>
    <x v="14"/>
    <x v="5"/>
    <n v="1"/>
    <x v="0"/>
    <x v="1"/>
    <n v="1819914"/>
  </r>
  <r>
    <s v="Minnesota"/>
    <s v="Xcel"/>
    <x v="19"/>
    <x v="5"/>
    <n v="1"/>
    <x v="0"/>
    <x v="1"/>
    <n v="12849790"/>
  </r>
  <r>
    <s v="Minnesota"/>
    <s v="Xcel"/>
    <x v="19"/>
    <x v="3"/>
    <n v="1"/>
    <x v="0"/>
    <x v="2"/>
    <n v="26"/>
  </r>
  <r>
    <s v="Minnesota"/>
    <s v="Xcel"/>
    <x v="19"/>
    <x v="4"/>
    <n v="1"/>
    <x v="0"/>
    <x v="0"/>
    <n v="5603940"/>
  </r>
  <r>
    <s v="Wisconsin"/>
    <s v="Xcel-WI"/>
    <x v="14"/>
    <x v="3"/>
    <n v="1"/>
    <x v="0"/>
    <x v="2"/>
    <n v="44"/>
  </r>
  <r>
    <s v="Wisconsin"/>
    <s v="Xcel-WI"/>
    <x v="14"/>
    <x v="5"/>
    <n v="1"/>
    <x v="0"/>
    <x v="1"/>
    <n v="5096277"/>
  </r>
  <r>
    <s v="Wisconsin"/>
    <s v="Xcel-WI"/>
    <x v="14"/>
    <x v="4"/>
    <n v="1"/>
    <x v="0"/>
    <x v="0"/>
    <n v="4221899"/>
  </r>
  <r>
    <s v="Oregon"/>
    <s v="NW Natural"/>
    <x v="20"/>
    <x v="1"/>
    <n v="1"/>
    <x v="0"/>
    <x v="1"/>
    <n v="851558"/>
  </r>
  <r>
    <s v="Oregon"/>
    <s v="NW Natural"/>
    <x v="20"/>
    <x v="2"/>
    <n v="1"/>
    <x v="0"/>
    <x v="2"/>
    <n v="88"/>
  </r>
  <r>
    <s v="Oregon"/>
    <s v="NW Natural"/>
    <x v="20"/>
    <x v="0"/>
    <n v="1"/>
    <x v="0"/>
    <x v="0"/>
    <n v="1986029"/>
  </r>
  <r>
    <s v="Oregon"/>
    <s v="NW Natural"/>
    <x v="20"/>
    <x v="5"/>
    <n v="1"/>
    <x v="0"/>
    <x v="1"/>
    <n v="34040048"/>
  </r>
  <r>
    <s v="Oregon"/>
    <s v="NW Natural"/>
    <x v="20"/>
    <x v="3"/>
    <n v="1"/>
    <x v="0"/>
    <x v="2"/>
    <n v="200"/>
  </r>
  <r>
    <s v="Oregon"/>
    <s v="NW Natural"/>
    <x v="20"/>
    <x v="4"/>
    <n v="1"/>
    <x v="0"/>
    <x v="0"/>
    <n v="15725073"/>
  </r>
  <r>
    <s v="Massachusetts"/>
    <s v="Eversource"/>
    <x v="21"/>
    <x v="7"/>
    <n v="1"/>
    <x v="1"/>
    <x v="1"/>
    <n v="334137"/>
  </r>
  <r>
    <s v="Massachusetts"/>
    <s v="Eversource"/>
    <x v="21"/>
    <x v="6"/>
    <n v="1"/>
    <x v="1"/>
    <x v="0"/>
    <n v="3039325"/>
  </r>
  <r>
    <s v="Massachusetts"/>
    <s v="Eversource"/>
    <x v="21"/>
    <x v="8"/>
    <n v="1"/>
    <x v="1"/>
    <x v="2"/>
    <n v="3890"/>
  </r>
  <r>
    <s v="Massachusetts"/>
    <s v="Eversource"/>
    <x v="21"/>
    <x v="2"/>
    <n v="1"/>
    <x v="0"/>
    <x v="2"/>
    <n v="4299"/>
  </r>
  <r>
    <s v="Massachusetts"/>
    <s v="Eversource"/>
    <x v="21"/>
    <x v="0"/>
    <n v="1"/>
    <x v="0"/>
    <x v="0"/>
    <n v="66523998"/>
  </r>
  <r>
    <s v="Massachusetts"/>
    <s v="Eversource"/>
    <x v="21"/>
    <x v="1"/>
    <n v="1"/>
    <x v="0"/>
    <x v="1"/>
    <n v="14791329"/>
  </r>
  <r>
    <s v="Massachusetts"/>
    <s v="Eversource"/>
    <x v="21"/>
    <x v="4"/>
    <n v="1"/>
    <x v="0"/>
    <x v="0"/>
    <n v="10741785"/>
  </r>
  <r>
    <s v="Massachusetts"/>
    <s v="Eversource"/>
    <x v="21"/>
    <x v="5"/>
    <n v="1"/>
    <x v="0"/>
    <x v="1"/>
    <n v="4175371"/>
  </r>
  <r>
    <s v="Massachusetts"/>
    <s v="Eversource"/>
    <x v="21"/>
    <x v="3"/>
    <n v="1"/>
    <x v="0"/>
    <x v="2"/>
    <n v="201"/>
  </r>
  <r>
    <s v="California"/>
    <s v="PG&amp;E"/>
    <x v="22"/>
    <x v="8"/>
    <n v="1"/>
    <x v="1"/>
    <x v="2"/>
    <n v="362606"/>
  </r>
  <r>
    <s v="California"/>
    <s v="PG&amp;E"/>
    <x v="22"/>
    <x v="7"/>
    <n v="1"/>
    <x v="1"/>
    <x v="1"/>
    <n v="16786819"/>
  </r>
  <r>
    <s v="California"/>
    <s v="PG&amp;E"/>
    <x v="22"/>
    <x v="6"/>
    <n v="1"/>
    <x v="1"/>
    <x v="0"/>
    <n v="202312895"/>
  </r>
  <r>
    <s v="California"/>
    <s v="PG&amp;E"/>
    <x v="22"/>
    <x v="1"/>
    <n v="1"/>
    <x v="0"/>
    <x v="1"/>
    <n v="79162545"/>
  </r>
  <r>
    <s v="California"/>
    <s v="PG&amp;E"/>
    <x v="22"/>
    <x v="2"/>
    <n v="1"/>
    <x v="0"/>
    <x v="2"/>
    <n v="31271"/>
  </r>
  <r>
    <s v="California"/>
    <s v="PG&amp;E"/>
    <x v="22"/>
    <x v="0"/>
    <n v="1"/>
    <x v="0"/>
    <x v="0"/>
    <n v="274778569"/>
  </r>
  <r>
    <s v="California"/>
    <s v="PG&amp;E"/>
    <x v="22"/>
    <x v="3"/>
    <n v="1"/>
    <x v="0"/>
    <x v="2"/>
    <n v="3216"/>
  </r>
  <r>
    <s v="California"/>
    <s v="PG&amp;E"/>
    <x v="22"/>
    <x v="5"/>
    <n v="1"/>
    <x v="0"/>
    <x v="1"/>
    <n v="199448715"/>
  </r>
  <r>
    <s v="California"/>
    <s v="PG&amp;E"/>
    <x v="22"/>
    <x v="4"/>
    <n v="1"/>
    <x v="0"/>
    <x v="0"/>
    <n v="351571468"/>
  </r>
  <r>
    <s v="Illinois"/>
    <s v="Peoples"/>
    <x v="23"/>
    <x v="8"/>
    <n v="1"/>
    <x v="1"/>
    <x v="2"/>
    <n v="45265"/>
  </r>
  <r>
    <s v="Illinois"/>
    <s v="Peoples"/>
    <x v="23"/>
    <x v="6"/>
    <n v="1"/>
    <x v="1"/>
    <x v="0"/>
    <n v="96200346"/>
  </r>
  <r>
    <s v="Illinois"/>
    <s v="Peoples"/>
    <x v="23"/>
    <x v="7"/>
    <n v="1"/>
    <x v="1"/>
    <x v="1"/>
    <n v="16937806"/>
  </r>
  <r>
    <s v="Illinois"/>
    <s v="Peoples"/>
    <x v="23"/>
    <x v="1"/>
    <n v="1"/>
    <x v="0"/>
    <x v="1"/>
    <n v="32787600"/>
  </r>
  <r>
    <s v="Illinois"/>
    <s v="Peoples"/>
    <x v="23"/>
    <x v="2"/>
    <n v="1"/>
    <x v="0"/>
    <x v="2"/>
    <n v="10788"/>
  </r>
  <r>
    <s v="Illinois"/>
    <s v="Peoples"/>
    <x v="23"/>
    <x v="0"/>
    <n v="1"/>
    <x v="0"/>
    <x v="0"/>
    <n v="127530290"/>
  </r>
  <r>
    <s v="Illinois"/>
    <s v="Peoples"/>
    <x v="23"/>
    <x v="4"/>
    <n v="1"/>
    <x v="0"/>
    <x v="0"/>
    <n v="37142171"/>
  </r>
  <r>
    <s v="Illinois"/>
    <s v="Peoples"/>
    <x v="23"/>
    <x v="5"/>
    <n v="1"/>
    <x v="0"/>
    <x v="1"/>
    <n v="10828638"/>
  </r>
  <r>
    <s v="Illinois"/>
    <s v="Peoples"/>
    <x v="23"/>
    <x v="3"/>
    <n v="1"/>
    <x v="0"/>
    <x v="2"/>
    <n v="773"/>
  </r>
  <r>
    <s v="Colorado"/>
    <s v="Xcel"/>
    <x v="24"/>
    <x v="4"/>
    <n v="1"/>
    <x v="0"/>
    <x v="0"/>
    <n v="70128528"/>
  </r>
  <r>
    <s v="Colorado"/>
    <s v="Xcel"/>
    <x v="24"/>
    <x v="5"/>
    <n v="1"/>
    <x v="0"/>
    <x v="1"/>
    <n v="49224655"/>
  </r>
  <r>
    <s v="Colorado"/>
    <s v="Xcel"/>
    <x v="24"/>
    <x v="3"/>
    <n v="1"/>
    <x v="0"/>
    <x v="2"/>
    <n v="8097"/>
  </r>
  <r>
    <s v="New Jersey"/>
    <s v="PSEG"/>
    <x v="25"/>
    <x v="7"/>
    <n v="1"/>
    <x v="1"/>
    <x v="1"/>
    <n v="3572433"/>
  </r>
  <r>
    <s v="New Jersey"/>
    <s v="PSEG"/>
    <x v="25"/>
    <x v="8"/>
    <n v="1"/>
    <x v="1"/>
    <x v="2"/>
    <n v="48137"/>
  </r>
  <r>
    <s v="New Jersey"/>
    <s v="PSEG"/>
    <x v="25"/>
    <x v="6"/>
    <n v="1"/>
    <x v="1"/>
    <x v="0"/>
    <n v="19459915"/>
  </r>
  <r>
    <s v="New Jersey"/>
    <s v="PSEG"/>
    <x v="25"/>
    <x v="0"/>
    <n v="1"/>
    <x v="0"/>
    <x v="0"/>
    <n v="175364134"/>
  </r>
  <r>
    <s v="New Jersey"/>
    <s v="PSEG"/>
    <x v="25"/>
    <x v="1"/>
    <n v="1"/>
    <x v="0"/>
    <x v="1"/>
    <n v="62015714"/>
  </r>
  <r>
    <s v="New Jersey"/>
    <s v="PSEG"/>
    <x v="25"/>
    <x v="2"/>
    <n v="1"/>
    <x v="0"/>
    <x v="2"/>
    <n v="26248"/>
  </r>
  <r>
    <s v="New Jersey"/>
    <s v="PSEG"/>
    <x v="25"/>
    <x v="3"/>
    <n v="1"/>
    <x v="0"/>
    <x v="2"/>
    <n v="1093"/>
  </r>
  <r>
    <s v="New Jersey"/>
    <s v="PSEG"/>
    <x v="25"/>
    <x v="5"/>
    <n v="1"/>
    <x v="0"/>
    <x v="1"/>
    <n v="15719084"/>
  </r>
  <r>
    <s v="New Jersey"/>
    <s v="PSEG"/>
    <x v="25"/>
    <x v="4"/>
    <n v="1"/>
    <x v="0"/>
    <x v="0"/>
    <n v="27128209"/>
  </r>
  <r>
    <s v="Washington"/>
    <s v="PSE"/>
    <x v="26"/>
    <x v="1"/>
    <n v="1"/>
    <x v="0"/>
    <x v="1"/>
    <n v="5118500"/>
  </r>
  <r>
    <s v="Washington"/>
    <s v="PSE"/>
    <x v="26"/>
    <x v="2"/>
    <n v="1"/>
    <x v="0"/>
    <x v="2"/>
    <n v="111"/>
  </r>
  <r>
    <s v="Washington"/>
    <s v="PSE"/>
    <x v="26"/>
    <x v="0"/>
    <n v="1"/>
    <x v="0"/>
    <x v="0"/>
    <n v="6875000"/>
  </r>
  <r>
    <s v="Washington"/>
    <s v="PSE"/>
    <x v="26"/>
    <x v="4"/>
    <n v="1"/>
    <x v="0"/>
    <x v="0"/>
    <n v="13229000"/>
  </r>
  <r>
    <s v="Washington"/>
    <s v="PSE"/>
    <x v="26"/>
    <x v="3"/>
    <n v="1"/>
    <x v="0"/>
    <x v="2"/>
    <n v="109"/>
  </r>
  <r>
    <s v="Washington"/>
    <s v="PSE"/>
    <x v="26"/>
    <x v="5"/>
    <n v="1"/>
    <x v="0"/>
    <x v="1"/>
    <n v="16862000"/>
  </r>
  <r>
    <s v="Utah"/>
    <s v="QUESTAR"/>
    <x v="27"/>
    <x v="1"/>
    <n v="1"/>
    <x v="0"/>
    <x v="1"/>
    <n v="15705288"/>
  </r>
  <r>
    <s v="Utah"/>
    <s v="QUESTAR"/>
    <x v="27"/>
    <x v="2"/>
    <n v="1"/>
    <x v="0"/>
    <x v="2"/>
    <n v="804"/>
  </r>
  <r>
    <s v="Utah"/>
    <s v="QUESTAR"/>
    <x v="27"/>
    <x v="0"/>
    <n v="1"/>
    <x v="0"/>
    <x v="0"/>
    <n v="18339599"/>
  </r>
  <r>
    <s v="Utah"/>
    <s v="QUESTAR"/>
    <x v="27"/>
    <x v="4"/>
    <n v="1"/>
    <x v="0"/>
    <x v="0"/>
    <n v="19022956"/>
  </r>
  <r>
    <s v="Utah"/>
    <s v="QUESTAR"/>
    <x v="27"/>
    <x v="5"/>
    <n v="1"/>
    <x v="0"/>
    <x v="1"/>
    <n v="34520582"/>
  </r>
  <r>
    <s v="Utah"/>
    <s v="QUESTAR"/>
    <x v="27"/>
    <x v="3"/>
    <n v="1"/>
    <x v="0"/>
    <x v="2"/>
    <n v="309"/>
  </r>
  <r>
    <s v="California"/>
    <s v="SDG&amp;E"/>
    <x v="28"/>
    <x v="6"/>
    <n v="1"/>
    <x v="1"/>
    <x v="0"/>
    <n v="2133518"/>
  </r>
  <r>
    <s v="California"/>
    <s v="SDG&amp;E"/>
    <x v="28"/>
    <x v="7"/>
    <n v="1"/>
    <x v="1"/>
    <x v="1"/>
    <n v="141512"/>
  </r>
  <r>
    <s v="California"/>
    <s v="SDG&amp;E"/>
    <x v="28"/>
    <x v="8"/>
    <n v="1"/>
    <x v="1"/>
    <x v="2"/>
    <n v="1250"/>
  </r>
  <r>
    <s v="California"/>
    <s v="SDG&amp;E"/>
    <x v="28"/>
    <x v="2"/>
    <n v="1"/>
    <x v="0"/>
    <x v="2"/>
    <n v="1312"/>
  </r>
  <r>
    <s v="California"/>
    <s v="SDG&amp;E"/>
    <x v="28"/>
    <x v="1"/>
    <n v="1"/>
    <x v="0"/>
    <x v="1"/>
    <n v="4192525"/>
  </r>
  <r>
    <s v="California"/>
    <s v="SDG&amp;E"/>
    <x v="28"/>
    <x v="0"/>
    <n v="1"/>
    <x v="0"/>
    <x v="0"/>
    <n v="18409348"/>
  </r>
  <r>
    <s v="California"/>
    <s v="SDG&amp;E"/>
    <x v="28"/>
    <x v="4"/>
    <n v="1"/>
    <x v="0"/>
    <x v="0"/>
    <n v="17245036"/>
  </r>
  <r>
    <s v="California"/>
    <s v="SDG&amp;E"/>
    <x v="28"/>
    <x v="3"/>
    <n v="1"/>
    <x v="0"/>
    <x v="2"/>
    <n v="131"/>
  </r>
  <r>
    <s v="California"/>
    <s v="SDG&amp;E"/>
    <x v="28"/>
    <x v="5"/>
    <n v="1"/>
    <x v="0"/>
    <x v="1"/>
    <n v="11886610"/>
  </r>
  <r>
    <s v="California"/>
    <s v="SCG"/>
    <x v="29"/>
    <x v="7"/>
    <n v="1"/>
    <x v="1"/>
    <x v="1"/>
    <n v="2394190"/>
  </r>
  <r>
    <s v="California"/>
    <s v="SCG"/>
    <x v="29"/>
    <x v="6"/>
    <n v="1"/>
    <x v="1"/>
    <x v="0"/>
    <n v="21842925"/>
  </r>
  <r>
    <s v="California"/>
    <s v="SCG"/>
    <x v="29"/>
    <x v="8"/>
    <n v="1"/>
    <x v="1"/>
    <x v="2"/>
    <n v="44751"/>
  </r>
  <r>
    <s v="California"/>
    <s v="SCG"/>
    <x v="29"/>
    <x v="1"/>
    <n v="1"/>
    <x v="0"/>
    <x v="1"/>
    <n v="28129350"/>
  </r>
  <r>
    <s v="California"/>
    <s v="SCG"/>
    <x v="29"/>
    <x v="0"/>
    <n v="1"/>
    <x v="0"/>
    <x v="0"/>
    <n v="321549126"/>
  </r>
  <r>
    <s v="California"/>
    <s v="SCG"/>
    <x v="29"/>
    <x v="2"/>
    <n v="1"/>
    <x v="0"/>
    <x v="2"/>
    <n v="8222"/>
  </r>
  <r>
    <s v="California"/>
    <s v="SCG"/>
    <x v="29"/>
    <x v="3"/>
    <n v="1"/>
    <x v="0"/>
    <x v="2"/>
    <n v="860"/>
  </r>
  <r>
    <s v="California"/>
    <s v="SCG"/>
    <x v="29"/>
    <x v="4"/>
    <n v="1"/>
    <x v="0"/>
    <x v="0"/>
    <n v="244741115"/>
  </r>
  <r>
    <s v="California"/>
    <s v="SCG"/>
    <x v="29"/>
    <x v="5"/>
    <n v="1"/>
    <x v="0"/>
    <x v="1"/>
    <n v="240823491"/>
  </r>
  <r>
    <s v="Connecticut"/>
    <s v="SoCTGas"/>
    <x v="30"/>
    <x v="7"/>
    <n v="1"/>
    <x v="1"/>
    <x v="1"/>
    <n v="535819"/>
  </r>
  <r>
    <s v="Connecticut"/>
    <s v="SoCTGas"/>
    <x v="30"/>
    <x v="6"/>
    <n v="1"/>
    <x v="1"/>
    <x v="0"/>
    <n v="2065571"/>
  </r>
  <r>
    <s v="Connecticut"/>
    <s v="SoCTGas"/>
    <x v="30"/>
    <x v="8"/>
    <n v="1"/>
    <x v="1"/>
    <x v="2"/>
    <n v="349"/>
  </r>
  <r>
    <s v="Connecticut"/>
    <s v="SoCTGas"/>
    <x v="30"/>
    <x v="0"/>
    <n v="1"/>
    <x v="0"/>
    <x v="0"/>
    <n v="10332518"/>
  </r>
  <r>
    <s v="Connecticut"/>
    <s v="SoCTGas"/>
    <x v="30"/>
    <x v="1"/>
    <n v="1"/>
    <x v="0"/>
    <x v="1"/>
    <n v="3166759"/>
  </r>
  <r>
    <s v="Connecticut"/>
    <s v="SoCTGas"/>
    <x v="30"/>
    <x v="2"/>
    <n v="1"/>
    <x v="0"/>
    <x v="2"/>
    <n v="1006"/>
  </r>
  <r>
    <s v="Connecticut"/>
    <s v="SoCTGas"/>
    <x v="30"/>
    <x v="5"/>
    <n v="1"/>
    <x v="0"/>
    <x v="1"/>
    <n v="30985"/>
  </r>
  <r>
    <s v="Connecticut"/>
    <s v="SoCTGas"/>
    <x v="30"/>
    <x v="4"/>
    <n v="1"/>
    <x v="0"/>
    <x v="0"/>
    <n v="125447"/>
  </r>
  <r>
    <s v="Connecticut"/>
    <s v="SoCTGas"/>
    <x v="30"/>
    <x v="3"/>
    <n v="1"/>
    <x v="0"/>
    <x v="2"/>
    <n v="12"/>
  </r>
  <r>
    <s v="New York"/>
    <s v="Brooklyn Gas"/>
    <x v="31"/>
    <x v="6"/>
    <n v="1"/>
    <x v="1"/>
    <x v="0"/>
    <n v="195238831"/>
  </r>
  <r>
    <s v="New York"/>
    <s v="Brooklyn Gas"/>
    <x v="31"/>
    <x v="7"/>
    <n v="1"/>
    <x v="1"/>
    <x v="1"/>
    <n v="32292537"/>
  </r>
  <r>
    <s v="New York"/>
    <s v="Brooklyn Gas"/>
    <x v="31"/>
    <x v="8"/>
    <n v="1"/>
    <x v="1"/>
    <x v="2"/>
    <n v="118094"/>
  </r>
  <r>
    <s v="New York"/>
    <s v="Brooklyn Gas"/>
    <x v="31"/>
    <x v="2"/>
    <n v="1"/>
    <x v="0"/>
    <x v="2"/>
    <n v="10426"/>
  </r>
  <r>
    <s v="New York"/>
    <s v="Brooklyn Gas"/>
    <x v="31"/>
    <x v="0"/>
    <n v="1"/>
    <x v="0"/>
    <x v="0"/>
    <n v="55768286"/>
  </r>
  <r>
    <s v="New York"/>
    <s v="Brooklyn Gas"/>
    <x v="31"/>
    <x v="1"/>
    <n v="1"/>
    <x v="0"/>
    <x v="1"/>
    <n v="12621028"/>
  </r>
  <r>
    <s v="New York"/>
    <s v="Brooklyn Gas"/>
    <x v="31"/>
    <x v="4"/>
    <n v="1"/>
    <x v="0"/>
    <x v="0"/>
    <n v="8461740"/>
  </r>
  <r>
    <s v="New York"/>
    <s v="Brooklyn Gas"/>
    <x v="31"/>
    <x v="3"/>
    <n v="1"/>
    <x v="0"/>
    <x v="2"/>
    <n v="801"/>
  </r>
  <r>
    <s v="New York"/>
    <s v="Brooklyn Gas"/>
    <x v="31"/>
    <x v="5"/>
    <n v="1"/>
    <x v="0"/>
    <x v="1"/>
    <n v="3418875"/>
  </r>
  <r>
    <s v="Maryland"/>
    <s v="Washington Gas"/>
    <x v="32"/>
    <x v="8"/>
    <n v="1"/>
    <x v="1"/>
    <x v="2"/>
    <n v="81259"/>
  </r>
  <r>
    <s v="Maryland"/>
    <s v="Washington Gas"/>
    <x v="32"/>
    <x v="7"/>
    <n v="1"/>
    <x v="1"/>
    <x v="1"/>
    <n v="9534388"/>
  </r>
  <r>
    <s v="Maryland"/>
    <s v="Washington Gas"/>
    <x v="32"/>
    <x v="6"/>
    <n v="1"/>
    <x v="1"/>
    <x v="0"/>
    <n v="54566113"/>
  </r>
  <r>
    <s v="Maryland"/>
    <s v="Washington Gas"/>
    <x v="32"/>
    <x v="1"/>
    <n v="1"/>
    <x v="0"/>
    <x v="1"/>
    <n v="24627530"/>
  </r>
  <r>
    <s v="Maryland"/>
    <s v="Washington Gas"/>
    <x v="32"/>
    <x v="0"/>
    <n v="1"/>
    <x v="0"/>
    <x v="0"/>
    <n v="76705062"/>
  </r>
  <r>
    <s v="Maryland"/>
    <s v="Washington Gas"/>
    <x v="32"/>
    <x v="2"/>
    <n v="1"/>
    <x v="0"/>
    <x v="2"/>
    <n v="9887"/>
  </r>
  <r>
    <s v="Wisconsin"/>
    <s v="WEPCO"/>
    <x v="14"/>
    <x v="0"/>
    <n v="1"/>
    <x v="0"/>
    <x v="0"/>
    <n v="1246682"/>
  </r>
  <r>
    <s v="Wisconsin"/>
    <s v="WEPCO"/>
    <x v="14"/>
    <x v="1"/>
    <n v="1"/>
    <x v="0"/>
    <x v="1"/>
    <n v="1417893"/>
  </r>
  <r>
    <s v="Wisconsin"/>
    <s v="WEPCO"/>
    <x v="14"/>
    <x v="2"/>
    <n v="1"/>
    <x v="0"/>
    <x v="2"/>
    <n v="91"/>
  </r>
  <r>
    <s v="Wisconsin"/>
    <s v="WEPCO"/>
    <x v="14"/>
    <x v="5"/>
    <n v="1"/>
    <x v="0"/>
    <x v="1"/>
    <n v="20846628"/>
  </r>
  <r>
    <s v="Wisconsin"/>
    <s v="WEPCO"/>
    <x v="14"/>
    <x v="4"/>
    <n v="1"/>
    <x v="0"/>
    <x v="0"/>
    <n v="15543849"/>
  </r>
  <r>
    <s v="Wisconsin"/>
    <s v="WEPCO"/>
    <x v="14"/>
    <x v="3"/>
    <n v="1"/>
    <x v="0"/>
    <x v="2"/>
    <n v="843"/>
  </r>
  <r>
    <s v="Wisconsin"/>
    <s v="WE Energy"/>
    <x v="14"/>
    <x v="1"/>
    <n v="1"/>
    <x v="0"/>
    <x v="1"/>
    <n v="2209508"/>
  </r>
  <r>
    <s v="Wisconsin"/>
    <s v="WE Energy"/>
    <x v="14"/>
    <x v="0"/>
    <n v="1"/>
    <x v="0"/>
    <x v="0"/>
    <n v="3271605"/>
  </r>
  <r>
    <s v="Wisconsin"/>
    <s v="WE Energy"/>
    <x v="14"/>
    <x v="2"/>
    <n v="1"/>
    <x v="0"/>
    <x v="2"/>
    <n v="295"/>
  </r>
  <r>
    <s v="Wisconsin"/>
    <s v="WE Energy"/>
    <x v="14"/>
    <x v="4"/>
    <n v="1"/>
    <x v="0"/>
    <x v="0"/>
    <n v="38505327"/>
  </r>
  <r>
    <s v="Wisconsin"/>
    <s v="WE Energy"/>
    <x v="14"/>
    <x v="5"/>
    <n v="1"/>
    <x v="0"/>
    <x v="1"/>
    <n v="55202309"/>
  </r>
  <r>
    <s v="Wisconsin"/>
    <s v="WE Energy"/>
    <x v="14"/>
    <x v="3"/>
    <n v="1"/>
    <x v="0"/>
    <x v="2"/>
    <n v="1230"/>
  </r>
  <r>
    <s v="Wisconsin"/>
    <s v="WPL"/>
    <x v="14"/>
    <x v="5"/>
    <n v="1"/>
    <x v="0"/>
    <x v="1"/>
    <n v="20046420"/>
  </r>
  <r>
    <s v="Wisconsin"/>
    <s v="WPL"/>
    <x v="14"/>
    <x v="4"/>
    <n v="1"/>
    <x v="0"/>
    <x v="0"/>
    <n v="11882452"/>
  </r>
  <r>
    <s v="Wisconsin"/>
    <s v="WPL"/>
    <x v="14"/>
    <x v="3"/>
    <n v="1"/>
    <x v="0"/>
    <x v="2"/>
    <n v="287"/>
  </r>
  <r>
    <s v="Wisconsin"/>
    <s v="WPS"/>
    <x v="14"/>
    <x v="2"/>
    <n v="1"/>
    <x v="0"/>
    <x v="2"/>
    <n v="900"/>
  </r>
  <r>
    <s v="Wisconsin"/>
    <s v="WPS"/>
    <x v="14"/>
    <x v="1"/>
    <n v="1"/>
    <x v="0"/>
    <x v="1"/>
    <n v="27238890"/>
  </r>
  <r>
    <s v="Wisconsin"/>
    <s v="WPS"/>
    <x v="14"/>
    <x v="0"/>
    <n v="1"/>
    <x v="0"/>
    <x v="0"/>
    <n v="12524797"/>
  </r>
  <r>
    <s v="Wisconsin"/>
    <s v="WPS"/>
    <x v="14"/>
    <x v="5"/>
    <n v="1"/>
    <x v="0"/>
    <x v="1"/>
    <n v="18089029"/>
  </r>
  <r>
    <s v="Wisconsin"/>
    <s v="WPS"/>
    <x v="14"/>
    <x v="4"/>
    <n v="1"/>
    <x v="0"/>
    <x v="0"/>
    <n v="10505549"/>
  </r>
  <r>
    <s v="Wisconsin"/>
    <s v="WPS"/>
    <x v="14"/>
    <x v="3"/>
    <n v="1"/>
    <x v="0"/>
    <x v="2"/>
    <n v="43"/>
  </r>
  <r>
    <s v="Connecticut"/>
    <s v="Eversource"/>
    <x v="33"/>
    <x v="6"/>
    <n v="1"/>
    <x v="1"/>
    <x v="0"/>
    <n v="4199523"/>
  </r>
  <r>
    <s v="Connecticut"/>
    <s v="Eversource"/>
    <x v="33"/>
    <x v="8"/>
    <n v="1"/>
    <x v="1"/>
    <x v="2"/>
    <n v="510"/>
  </r>
  <r>
    <s v="Connecticut"/>
    <s v="Eversource"/>
    <x v="33"/>
    <x v="7"/>
    <n v="1"/>
    <x v="1"/>
    <x v="1"/>
    <n v="723275"/>
  </r>
  <r>
    <s v="Connecticut"/>
    <s v="Eversource"/>
    <x v="33"/>
    <x v="2"/>
    <n v="1"/>
    <x v="0"/>
    <x v="2"/>
    <n v="1369"/>
  </r>
  <r>
    <s v="Connecticut"/>
    <s v="Eversource"/>
    <x v="33"/>
    <x v="0"/>
    <n v="1"/>
    <x v="0"/>
    <x v="0"/>
    <n v="29299359"/>
  </r>
  <r>
    <s v="Connecticut"/>
    <s v="Eversource"/>
    <x v="33"/>
    <x v="1"/>
    <n v="1"/>
    <x v="0"/>
    <x v="1"/>
    <n v="6819486"/>
  </r>
  <r>
    <s v="Connecticut"/>
    <s v="Eversource"/>
    <x v="33"/>
    <x v="4"/>
    <n v="1"/>
    <x v="0"/>
    <x v="0"/>
    <n v="30464644"/>
  </r>
  <r>
    <s v="Connecticut"/>
    <s v="Eversource"/>
    <x v="33"/>
    <x v="3"/>
    <n v="1"/>
    <x v="0"/>
    <x v="2"/>
    <n v="193"/>
  </r>
  <r>
    <s v="Connecticut"/>
    <s v="Eversource"/>
    <x v="33"/>
    <x v="5"/>
    <n v="1"/>
    <x v="0"/>
    <x v="1"/>
    <n v="11026067"/>
  </r>
  <r>
    <s v="Illinois"/>
    <s v="Ameren"/>
    <x v="0"/>
    <x v="9"/>
    <m/>
    <x v="1"/>
    <x v="0"/>
    <n v="656607163"/>
  </r>
  <r>
    <s v="Illinois"/>
    <s v="Ameren"/>
    <x v="0"/>
    <x v="10"/>
    <m/>
    <x v="1"/>
    <x v="2"/>
    <n v="746102"/>
  </r>
  <r>
    <s v="Illinois"/>
    <s v="Ameren"/>
    <x v="0"/>
    <x v="11"/>
    <m/>
    <x v="1"/>
    <x v="1"/>
    <n v="52227229"/>
  </r>
  <r>
    <s v="Illinois"/>
    <s v="Ameren"/>
    <x v="0"/>
    <x v="12"/>
    <m/>
    <x v="0"/>
    <x v="1"/>
    <n v="15107351"/>
  </r>
  <r>
    <s v="Illinois"/>
    <s v="Ameren"/>
    <x v="0"/>
    <x v="13"/>
    <m/>
    <x v="0"/>
    <x v="0"/>
    <n v="170730621"/>
  </r>
  <r>
    <s v="Illinois"/>
    <s v="Ameren"/>
    <x v="0"/>
    <x v="14"/>
    <m/>
    <x v="0"/>
    <x v="2"/>
    <n v="59672"/>
  </r>
  <r>
    <s v="Illinois"/>
    <s v="Ameren"/>
    <x v="0"/>
    <x v="15"/>
    <m/>
    <x v="0"/>
    <x v="1"/>
    <n v="3993456"/>
  </r>
  <r>
    <s v="Illinois"/>
    <s v="Ameren"/>
    <x v="0"/>
    <x v="16"/>
    <m/>
    <x v="0"/>
    <x v="2"/>
    <n v="245"/>
  </r>
  <r>
    <s v="Illinois"/>
    <s v="Ameren"/>
    <x v="0"/>
    <x v="17"/>
    <m/>
    <x v="0"/>
    <x v="0"/>
    <n v="33800545"/>
  </r>
  <r>
    <s v="Colorado"/>
    <s v="Atmos"/>
    <x v="1"/>
    <x v="10"/>
    <m/>
    <x v="1"/>
    <x v="2"/>
    <n v="113699"/>
  </r>
  <r>
    <s v="Colorado"/>
    <s v="Atmos"/>
    <x v="1"/>
    <x v="11"/>
    <m/>
    <x v="1"/>
    <x v="1"/>
    <n v="7886246"/>
  </r>
  <r>
    <s v="Colorado"/>
    <s v="Atmos"/>
    <x v="1"/>
    <x v="9"/>
    <m/>
    <x v="1"/>
    <x v="0"/>
    <n v="71843748"/>
  </r>
  <r>
    <s v="Colorado"/>
    <s v="Atmos"/>
    <x v="1"/>
    <x v="12"/>
    <m/>
    <x v="0"/>
    <x v="1"/>
    <n v="5006878"/>
  </r>
  <r>
    <s v="Colorado"/>
    <s v="Atmos"/>
    <x v="1"/>
    <x v="14"/>
    <m/>
    <x v="0"/>
    <x v="2"/>
    <n v="12474"/>
  </r>
  <r>
    <s v="Colorado"/>
    <s v="Atmos"/>
    <x v="1"/>
    <x v="13"/>
    <m/>
    <x v="0"/>
    <x v="0"/>
    <n v="34496668"/>
  </r>
  <r>
    <s v="Colorado"/>
    <s v="Atmos"/>
    <x v="1"/>
    <x v="17"/>
    <m/>
    <x v="0"/>
    <x v="0"/>
    <n v="40545"/>
  </r>
  <r>
    <s v="Colorado"/>
    <s v="Atmos"/>
    <x v="1"/>
    <x v="15"/>
    <m/>
    <x v="0"/>
    <x v="1"/>
    <n v="6267"/>
  </r>
  <r>
    <s v="Colorado"/>
    <s v="Atmos"/>
    <x v="1"/>
    <x v="16"/>
    <m/>
    <x v="0"/>
    <x v="2"/>
    <n v="12"/>
  </r>
  <r>
    <s v="Oregon"/>
    <s v="Avista"/>
    <x v="2"/>
    <x v="11"/>
    <m/>
    <x v="1"/>
    <x v="1"/>
    <n v="4833721"/>
  </r>
  <r>
    <s v="Oregon"/>
    <s v="Avista"/>
    <x v="2"/>
    <x v="9"/>
    <m/>
    <x v="1"/>
    <x v="0"/>
    <n v="66871276"/>
  </r>
  <r>
    <s v="Oregon"/>
    <s v="Avista"/>
    <x v="2"/>
    <x v="10"/>
    <m/>
    <x v="1"/>
    <x v="2"/>
    <n v="92971"/>
  </r>
  <r>
    <s v="Oregon"/>
    <s v="Avista"/>
    <x v="2"/>
    <x v="13"/>
    <m/>
    <x v="0"/>
    <x v="0"/>
    <n v="33463224"/>
  </r>
  <r>
    <s v="Oregon"/>
    <s v="Avista"/>
    <x v="2"/>
    <x v="14"/>
    <m/>
    <x v="0"/>
    <x v="2"/>
    <n v="11966"/>
  </r>
  <r>
    <s v="Oregon"/>
    <s v="Avista"/>
    <x v="2"/>
    <x v="12"/>
    <m/>
    <x v="0"/>
    <x v="1"/>
    <n v="3390109"/>
  </r>
  <r>
    <s v="Oregon"/>
    <s v="Avista"/>
    <x v="2"/>
    <x v="17"/>
    <m/>
    <x v="0"/>
    <x v="0"/>
    <n v="3508814"/>
  </r>
  <r>
    <s v="Oregon"/>
    <s v="Avista"/>
    <x v="2"/>
    <x v="15"/>
    <m/>
    <x v="0"/>
    <x v="1"/>
    <n v="1129524"/>
  </r>
  <r>
    <s v="Oregon"/>
    <s v="Avista"/>
    <x v="2"/>
    <x v="16"/>
    <m/>
    <x v="0"/>
    <x v="2"/>
    <n v="47"/>
  </r>
  <r>
    <s v="Maryland"/>
    <s v="BGE"/>
    <x v="3"/>
    <x v="10"/>
    <m/>
    <x v="1"/>
    <x v="2"/>
    <n v="527027"/>
  </r>
  <r>
    <s v="Maryland"/>
    <s v="BGE"/>
    <x v="3"/>
    <x v="9"/>
    <m/>
    <x v="1"/>
    <x v="0"/>
    <n v="457650865"/>
  </r>
  <r>
    <s v="Maryland"/>
    <s v="BGE"/>
    <x v="3"/>
    <x v="11"/>
    <m/>
    <x v="1"/>
    <x v="1"/>
    <n v="28166210"/>
  </r>
  <r>
    <s v="Maryland"/>
    <s v="BGE"/>
    <x v="3"/>
    <x v="12"/>
    <m/>
    <x v="0"/>
    <x v="1"/>
    <n v="8853006"/>
  </r>
  <r>
    <s v="Maryland"/>
    <s v="BGE"/>
    <x v="3"/>
    <x v="13"/>
    <m/>
    <x v="0"/>
    <x v="0"/>
    <n v="107247231"/>
  </r>
  <r>
    <s v="Maryland"/>
    <s v="BGE"/>
    <x v="3"/>
    <x v="14"/>
    <m/>
    <x v="0"/>
    <x v="2"/>
    <n v="29635"/>
  </r>
  <r>
    <s v="Maryland"/>
    <s v="BGE"/>
    <x v="3"/>
    <x v="16"/>
    <m/>
    <x v="0"/>
    <x v="2"/>
    <n v="661"/>
  </r>
  <r>
    <s v="Maryland"/>
    <s v="BGE"/>
    <x v="3"/>
    <x v="15"/>
    <m/>
    <x v="0"/>
    <x v="1"/>
    <n v="676827"/>
  </r>
  <r>
    <s v="Maryland"/>
    <s v="BGE"/>
    <x v="3"/>
    <x v="17"/>
    <m/>
    <x v="0"/>
    <x v="0"/>
    <n v="6060549"/>
  </r>
  <r>
    <s v="Colorado"/>
    <s v="Black Hills"/>
    <x v="4"/>
    <x v="10"/>
    <m/>
    <x v="1"/>
    <x v="2"/>
    <n v="183660"/>
  </r>
  <r>
    <s v="Colorado"/>
    <s v="Black Hills"/>
    <x v="4"/>
    <x v="9"/>
    <m/>
    <x v="1"/>
    <x v="0"/>
    <n v="146827646"/>
  </r>
  <r>
    <s v="Colorado"/>
    <s v="Black Hills"/>
    <x v="4"/>
    <x v="11"/>
    <m/>
    <x v="1"/>
    <x v="1"/>
    <n v="16490603"/>
  </r>
  <r>
    <s v="Colorado"/>
    <s v="Black Hills"/>
    <x v="4"/>
    <x v="12"/>
    <m/>
    <x v="0"/>
    <x v="1"/>
    <n v="5625073"/>
  </r>
  <r>
    <s v="Colorado"/>
    <s v="Black Hills"/>
    <x v="4"/>
    <x v="13"/>
    <m/>
    <x v="0"/>
    <x v="0"/>
    <n v="49986926"/>
  </r>
  <r>
    <s v="Colorado"/>
    <s v="Black Hills"/>
    <x v="4"/>
    <x v="14"/>
    <m/>
    <x v="0"/>
    <x v="2"/>
    <n v="14975"/>
  </r>
  <r>
    <s v="Colorado"/>
    <s v="Black Hills"/>
    <x v="4"/>
    <x v="15"/>
    <m/>
    <x v="0"/>
    <x v="1"/>
    <n v="552541"/>
  </r>
  <r>
    <s v="Colorado"/>
    <s v="Black Hills"/>
    <x v="4"/>
    <x v="16"/>
    <m/>
    <x v="0"/>
    <x v="2"/>
    <n v="319"/>
  </r>
  <r>
    <s v="Colorado"/>
    <s v="Black Hills"/>
    <x v="4"/>
    <x v="17"/>
    <m/>
    <x v="0"/>
    <x v="0"/>
    <n v="3202342"/>
  </r>
  <r>
    <s v="Massachusetts"/>
    <s v="Ngrid"/>
    <x v="5"/>
    <x v="11"/>
    <m/>
    <x v="1"/>
    <x v="1"/>
    <n v="47351823"/>
  </r>
  <r>
    <s v="Massachusetts"/>
    <s v="Ngrid"/>
    <x v="5"/>
    <x v="10"/>
    <m/>
    <x v="1"/>
    <x v="2"/>
    <n v="654116"/>
  </r>
  <r>
    <s v="Massachusetts"/>
    <s v="Ngrid"/>
    <x v="5"/>
    <x v="9"/>
    <m/>
    <x v="1"/>
    <x v="0"/>
    <n v="790488482"/>
  </r>
  <r>
    <s v="Massachusetts"/>
    <s v="Ngrid"/>
    <x v="5"/>
    <x v="14"/>
    <m/>
    <x v="0"/>
    <x v="2"/>
    <n v="43647"/>
  </r>
  <r>
    <s v="Massachusetts"/>
    <s v="Ngrid"/>
    <x v="5"/>
    <x v="12"/>
    <m/>
    <x v="0"/>
    <x v="1"/>
    <n v="14928586"/>
  </r>
  <r>
    <s v="Massachusetts"/>
    <s v="Ngrid"/>
    <x v="5"/>
    <x v="13"/>
    <m/>
    <x v="0"/>
    <x v="0"/>
    <n v="188853437"/>
  </r>
  <r>
    <s v="Massachusetts"/>
    <s v="Ngrid"/>
    <x v="5"/>
    <x v="17"/>
    <m/>
    <x v="0"/>
    <x v="0"/>
    <n v="62934453"/>
  </r>
  <r>
    <s v="Massachusetts"/>
    <s v="Ngrid"/>
    <x v="5"/>
    <x v="16"/>
    <m/>
    <x v="0"/>
    <x v="2"/>
    <n v="5912"/>
  </r>
  <r>
    <s v="Massachusetts"/>
    <s v="Ngrid"/>
    <x v="5"/>
    <x v="15"/>
    <m/>
    <x v="0"/>
    <x v="1"/>
    <n v="5423515"/>
  </r>
  <r>
    <s v="Minnesota"/>
    <s v="CtPt"/>
    <x v="6"/>
    <x v="9"/>
    <m/>
    <x v="1"/>
    <x v="0"/>
    <n v="671522278"/>
  </r>
  <r>
    <s v="Minnesota"/>
    <s v="CtPt"/>
    <x v="6"/>
    <x v="11"/>
    <m/>
    <x v="1"/>
    <x v="1"/>
    <n v="68242994"/>
  </r>
  <r>
    <s v="Minnesota"/>
    <s v="CtPt"/>
    <x v="6"/>
    <x v="10"/>
    <m/>
    <x v="1"/>
    <x v="2"/>
    <n v="821309"/>
  </r>
  <r>
    <s v="Minnesota"/>
    <s v="CtPt"/>
    <x v="6"/>
    <x v="14"/>
    <m/>
    <x v="0"/>
    <x v="2"/>
    <n v="70419"/>
  </r>
  <r>
    <s v="Minnesota"/>
    <s v="CtPt"/>
    <x v="6"/>
    <x v="12"/>
    <m/>
    <x v="0"/>
    <x v="1"/>
    <n v="49545653"/>
  </r>
  <r>
    <s v="Minnesota"/>
    <s v="CtPt"/>
    <x v="6"/>
    <x v="13"/>
    <m/>
    <x v="0"/>
    <x v="0"/>
    <n v="401599092"/>
  </r>
  <r>
    <s v="Minnesota"/>
    <s v="CtPt"/>
    <x v="6"/>
    <x v="17"/>
    <m/>
    <x v="0"/>
    <x v="0"/>
    <n v="24033144"/>
  </r>
  <r>
    <s v="Minnesota"/>
    <s v="CtPt"/>
    <x v="6"/>
    <x v="16"/>
    <m/>
    <x v="0"/>
    <x v="2"/>
    <n v="263"/>
  </r>
  <r>
    <s v="Minnesota"/>
    <s v="CtPt"/>
    <x v="6"/>
    <x v="15"/>
    <m/>
    <x v="0"/>
    <x v="1"/>
    <n v="6188373"/>
  </r>
  <r>
    <s v="Massachusetts"/>
    <s v="Keyspan"/>
    <x v="34"/>
    <x v="9"/>
    <m/>
    <x v="1"/>
    <x v="0"/>
    <n v="215296156"/>
  </r>
  <r>
    <s v="Massachusetts"/>
    <s v="Keyspan"/>
    <x v="34"/>
    <x v="11"/>
    <m/>
    <x v="1"/>
    <x v="1"/>
    <n v="14418048"/>
  </r>
  <r>
    <s v="Massachusetts"/>
    <s v="Keyspan"/>
    <x v="34"/>
    <x v="10"/>
    <m/>
    <x v="1"/>
    <x v="2"/>
    <n v="194492"/>
  </r>
  <r>
    <s v="Massachusetts"/>
    <s v="Keyspan"/>
    <x v="34"/>
    <x v="14"/>
    <m/>
    <x v="0"/>
    <x v="2"/>
    <n v="16669"/>
  </r>
  <r>
    <s v="Massachusetts"/>
    <s v="Keyspan"/>
    <x v="34"/>
    <x v="12"/>
    <m/>
    <x v="0"/>
    <x v="1"/>
    <n v="3094594"/>
  </r>
  <r>
    <s v="Massachusetts"/>
    <s v="Keyspan"/>
    <x v="34"/>
    <x v="13"/>
    <m/>
    <x v="0"/>
    <x v="0"/>
    <n v="35711447"/>
  </r>
  <r>
    <s v="Massachusetts"/>
    <s v="Keyspan"/>
    <x v="34"/>
    <x v="16"/>
    <m/>
    <x v="0"/>
    <x v="2"/>
    <n v="35"/>
  </r>
  <r>
    <s v="Massachusetts"/>
    <s v="Keyspan"/>
    <x v="34"/>
    <x v="17"/>
    <m/>
    <x v="0"/>
    <x v="0"/>
    <n v="13539215"/>
  </r>
  <r>
    <s v="Massachusetts"/>
    <s v="Keyspan"/>
    <x v="34"/>
    <x v="15"/>
    <m/>
    <x v="0"/>
    <x v="1"/>
    <n v="1294602"/>
  </r>
  <r>
    <s v="Connecticut"/>
    <s v="CNG"/>
    <x v="8"/>
    <x v="9"/>
    <m/>
    <x v="1"/>
    <x v="0"/>
    <n v="241523184"/>
  </r>
  <r>
    <s v="Connecticut"/>
    <s v="CNG"/>
    <x v="8"/>
    <x v="10"/>
    <m/>
    <x v="1"/>
    <x v="2"/>
    <n v="168543"/>
  </r>
  <r>
    <s v="Connecticut"/>
    <s v="CNG"/>
    <x v="8"/>
    <x v="11"/>
    <m/>
    <x v="1"/>
    <x v="1"/>
    <n v="16639021"/>
  </r>
  <r>
    <s v="Connecticut"/>
    <s v="CNG"/>
    <x v="8"/>
    <x v="12"/>
    <m/>
    <x v="0"/>
    <x v="1"/>
    <n v="12375539"/>
  </r>
  <r>
    <s v="Connecticut"/>
    <s v="CNG"/>
    <x v="8"/>
    <x v="13"/>
    <m/>
    <x v="0"/>
    <x v="0"/>
    <n v="114968797"/>
  </r>
  <r>
    <s v="Connecticut"/>
    <s v="CNG"/>
    <x v="8"/>
    <x v="14"/>
    <m/>
    <x v="0"/>
    <x v="2"/>
    <n v="14355"/>
  </r>
  <r>
    <s v="Connecticut"/>
    <s v="CNG"/>
    <x v="8"/>
    <x v="16"/>
    <m/>
    <x v="0"/>
    <x v="2"/>
    <n v="900"/>
  </r>
  <r>
    <s v="Connecticut"/>
    <s v="CNG"/>
    <x v="8"/>
    <x v="15"/>
    <m/>
    <x v="0"/>
    <x v="1"/>
    <n v="3468946"/>
  </r>
  <r>
    <s v="Connecticut"/>
    <s v="CNG"/>
    <x v="8"/>
    <x v="17"/>
    <m/>
    <x v="0"/>
    <x v="0"/>
    <n v="19954753"/>
  </r>
  <r>
    <s v="New York"/>
    <s v="ConEd"/>
    <x v="9"/>
    <x v="10"/>
    <m/>
    <x v="1"/>
    <x v="2"/>
    <n v="846207"/>
  </r>
  <r>
    <s v="New York"/>
    <s v="ConEd"/>
    <x v="9"/>
    <x v="9"/>
    <m/>
    <x v="1"/>
    <x v="0"/>
    <n v="1085672681"/>
  </r>
  <r>
    <s v="New York"/>
    <s v="ConEd"/>
    <x v="9"/>
    <x v="11"/>
    <m/>
    <x v="1"/>
    <x v="1"/>
    <n v="52194015"/>
  </r>
  <r>
    <s v="New York"/>
    <s v="ConEd"/>
    <x v="9"/>
    <x v="14"/>
    <m/>
    <x v="0"/>
    <x v="2"/>
    <n v="123143"/>
  </r>
  <r>
    <s v="New York"/>
    <s v="ConEd"/>
    <x v="9"/>
    <x v="12"/>
    <m/>
    <x v="0"/>
    <x v="1"/>
    <n v="50131541"/>
  </r>
  <r>
    <s v="New York"/>
    <s v="ConEd"/>
    <x v="9"/>
    <x v="13"/>
    <m/>
    <x v="0"/>
    <x v="0"/>
    <n v="435146877"/>
  </r>
  <r>
    <s v="New York"/>
    <s v="ConEd"/>
    <x v="9"/>
    <x v="16"/>
    <m/>
    <x v="0"/>
    <x v="2"/>
    <n v="15"/>
  </r>
  <r>
    <s v="New York"/>
    <s v="ConEd"/>
    <x v="9"/>
    <x v="17"/>
    <m/>
    <x v="0"/>
    <x v="0"/>
    <n v="9680435"/>
  </r>
  <r>
    <s v="New York"/>
    <s v="ConEd"/>
    <x v="9"/>
    <x v="15"/>
    <m/>
    <x v="0"/>
    <x v="1"/>
    <n v="1182467"/>
  </r>
  <r>
    <s v="Michigan"/>
    <s v="CMS"/>
    <x v="10"/>
    <x v="9"/>
    <m/>
    <x v="1"/>
    <x v="0"/>
    <n v="1410907104"/>
  </r>
  <r>
    <s v="Michigan"/>
    <s v="CMS"/>
    <x v="10"/>
    <x v="11"/>
    <m/>
    <x v="1"/>
    <x v="1"/>
    <n v="145465071"/>
  </r>
  <r>
    <s v="Michigan"/>
    <s v="CMS"/>
    <x v="10"/>
    <x v="10"/>
    <m/>
    <x v="1"/>
    <x v="2"/>
    <n v="1670761"/>
  </r>
  <r>
    <s v="Michigan"/>
    <s v="CMS"/>
    <x v="10"/>
    <x v="13"/>
    <m/>
    <x v="0"/>
    <x v="0"/>
    <n v="408307501"/>
  </r>
  <r>
    <s v="Michigan"/>
    <s v="CMS"/>
    <x v="10"/>
    <x v="12"/>
    <m/>
    <x v="0"/>
    <x v="1"/>
    <n v="50746737"/>
  </r>
  <r>
    <s v="Michigan"/>
    <s v="CMS"/>
    <x v="10"/>
    <x v="14"/>
    <m/>
    <x v="0"/>
    <x v="2"/>
    <n v="127175"/>
  </r>
  <r>
    <s v="Michigan"/>
    <s v="CMS"/>
    <x v="10"/>
    <x v="15"/>
    <m/>
    <x v="0"/>
    <x v="1"/>
    <n v="7660770"/>
  </r>
  <r>
    <s v="Michigan"/>
    <s v="CMS"/>
    <x v="10"/>
    <x v="16"/>
    <m/>
    <x v="0"/>
    <x v="2"/>
    <n v="4161"/>
  </r>
  <r>
    <s v="Michigan"/>
    <s v="CMS"/>
    <x v="10"/>
    <x v="17"/>
    <m/>
    <x v="0"/>
    <x v="0"/>
    <n v="54348536"/>
  </r>
  <r>
    <s v="Michigan"/>
    <s v="DTE"/>
    <x v="11"/>
    <x v="10"/>
    <m/>
    <x v="1"/>
    <x v="2"/>
    <n v="1106580"/>
  </r>
  <r>
    <s v="Michigan"/>
    <s v="DTE"/>
    <x v="11"/>
    <x v="9"/>
    <m/>
    <x v="1"/>
    <x v="0"/>
    <n v="873100354"/>
  </r>
  <r>
    <s v="Michigan"/>
    <s v="DTE"/>
    <x v="11"/>
    <x v="11"/>
    <m/>
    <x v="1"/>
    <x v="1"/>
    <n v="98118896"/>
  </r>
  <r>
    <s v="Michigan"/>
    <s v="DTE"/>
    <x v="11"/>
    <x v="13"/>
    <m/>
    <x v="0"/>
    <x v="0"/>
    <n v="213904459"/>
  </r>
  <r>
    <s v="Michigan"/>
    <s v="DTE"/>
    <x v="11"/>
    <x v="12"/>
    <m/>
    <x v="0"/>
    <x v="1"/>
    <n v="25672673"/>
  </r>
  <r>
    <s v="Michigan"/>
    <s v="DTE"/>
    <x v="11"/>
    <x v="14"/>
    <m/>
    <x v="0"/>
    <x v="2"/>
    <n v="73605"/>
  </r>
  <r>
    <s v="Michigan"/>
    <s v="DTE"/>
    <x v="11"/>
    <x v="15"/>
    <m/>
    <x v="0"/>
    <x v="1"/>
    <n v="594449"/>
  </r>
  <r>
    <s v="Michigan"/>
    <s v="DTE"/>
    <x v="11"/>
    <x v="16"/>
    <m/>
    <x v="0"/>
    <x v="2"/>
    <n v="315"/>
  </r>
  <r>
    <s v="Michigan"/>
    <s v="DTE"/>
    <x v="11"/>
    <x v="17"/>
    <m/>
    <x v="0"/>
    <x v="0"/>
    <n v="3995963"/>
  </r>
  <r>
    <s v="Massachusetts"/>
    <s v="Eversource"/>
    <x v="21"/>
    <x v="11"/>
    <m/>
    <x v="1"/>
    <x v="1"/>
    <n v="24056409"/>
  </r>
  <r>
    <s v="Massachusetts"/>
    <s v="Eversource"/>
    <x v="21"/>
    <x v="9"/>
    <m/>
    <x v="1"/>
    <x v="0"/>
    <n v="341883398"/>
  </r>
  <r>
    <s v="Massachusetts"/>
    <s v="Eversource"/>
    <x v="21"/>
    <x v="10"/>
    <m/>
    <x v="1"/>
    <x v="2"/>
    <n v="302787"/>
  </r>
  <r>
    <s v="Massachusetts"/>
    <s v="Eversource"/>
    <x v="21"/>
    <x v="12"/>
    <m/>
    <x v="0"/>
    <x v="1"/>
    <n v="7250513"/>
  </r>
  <r>
    <s v="Massachusetts"/>
    <s v="Eversource"/>
    <x v="21"/>
    <x v="14"/>
    <m/>
    <x v="0"/>
    <x v="2"/>
    <n v="26284"/>
  </r>
  <r>
    <s v="Massachusetts"/>
    <s v="Eversource"/>
    <x v="21"/>
    <x v="13"/>
    <m/>
    <x v="0"/>
    <x v="0"/>
    <n v="76066617"/>
  </r>
  <r>
    <s v="Massachusetts"/>
    <s v="Eversource"/>
    <x v="21"/>
    <x v="15"/>
    <m/>
    <x v="0"/>
    <x v="1"/>
    <n v="2596082"/>
  </r>
  <r>
    <s v="Massachusetts"/>
    <s v="Eversource"/>
    <x v="21"/>
    <x v="17"/>
    <m/>
    <x v="0"/>
    <x v="0"/>
    <n v="21054516"/>
  </r>
  <r>
    <s v="Massachusetts"/>
    <s v="Eversource"/>
    <x v="21"/>
    <x v="16"/>
    <m/>
    <x v="0"/>
    <x v="2"/>
    <n v="277"/>
  </r>
  <r>
    <s v="New York"/>
    <s v="Ngrid"/>
    <x v="13"/>
    <x v="11"/>
    <m/>
    <x v="1"/>
    <x v="1"/>
    <n v="53452175"/>
  </r>
  <r>
    <s v="New York"/>
    <s v="Ngrid"/>
    <x v="13"/>
    <x v="9"/>
    <m/>
    <x v="1"/>
    <x v="0"/>
    <n v="764931463"/>
  </r>
  <r>
    <s v="New York"/>
    <s v="Ngrid"/>
    <x v="13"/>
    <x v="10"/>
    <m/>
    <x v="1"/>
    <x v="2"/>
    <n v="537093"/>
  </r>
  <r>
    <s v="New York"/>
    <s v="Ngrid"/>
    <x v="13"/>
    <x v="13"/>
    <m/>
    <x v="0"/>
    <x v="0"/>
    <n v="270998095"/>
  </r>
  <r>
    <s v="New York"/>
    <s v="Ngrid"/>
    <x v="13"/>
    <x v="12"/>
    <m/>
    <x v="0"/>
    <x v="1"/>
    <n v="25128809"/>
  </r>
  <r>
    <s v="New York"/>
    <s v="Ngrid"/>
    <x v="13"/>
    <x v="14"/>
    <m/>
    <x v="0"/>
    <x v="2"/>
    <n v="51197"/>
  </r>
  <r>
    <s v="Wisconsin"/>
    <s v="Madison Gas"/>
    <x v="14"/>
    <x v="9"/>
    <m/>
    <x v="1"/>
    <x v="0"/>
    <n v="121788963"/>
  </r>
  <r>
    <s v="Wisconsin"/>
    <s v="Madison Gas"/>
    <x v="14"/>
    <x v="11"/>
    <m/>
    <x v="1"/>
    <x v="1"/>
    <n v="11266862"/>
  </r>
  <r>
    <s v="Wisconsin"/>
    <s v="Madison Gas"/>
    <x v="14"/>
    <x v="10"/>
    <m/>
    <x v="1"/>
    <x v="2"/>
    <n v="154282"/>
  </r>
  <r>
    <s v="Wisconsin"/>
    <s v="Madison Gas"/>
    <x v="14"/>
    <x v="14"/>
    <m/>
    <x v="0"/>
    <x v="2"/>
    <n v="13249"/>
  </r>
  <r>
    <s v="Wisconsin"/>
    <s v="Madison Gas"/>
    <x v="14"/>
    <x v="12"/>
    <m/>
    <x v="0"/>
    <x v="1"/>
    <n v="6510164"/>
  </r>
  <r>
    <s v="Wisconsin"/>
    <s v="Madison Gas"/>
    <x v="14"/>
    <x v="13"/>
    <m/>
    <x v="0"/>
    <x v="0"/>
    <n v="50143780"/>
  </r>
  <r>
    <s v="Wisconsin"/>
    <s v="Madison Gas"/>
    <x v="14"/>
    <x v="15"/>
    <m/>
    <x v="0"/>
    <x v="1"/>
    <n v="279539"/>
  </r>
  <r>
    <s v="Wisconsin"/>
    <s v="Madison Gas"/>
    <x v="14"/>
    <x v="16"/>
    <m/>
    <x v="0"/>
    <x v="2"/>
    <n v="48"/>
  </r>
  <r>
    <s v="Wisconsin"/>
    <s v="Madison Gas"/>
    <x v="14"/>
    <x v="17"/>
    <m/>
    <x v="0"/>
    <x v="0"/>
    <n v="1799389"/>
  </r>
  <r>
    <s v="Rhode Island"/>
    <s v="RI Energy"/>
    <x v="15"/>
    <x v="10"/>
    <m/>
    <x v="1"/>
    <x v="2"/>
    <n v="247368"/>
  </r>
  <r>
    <s v="Rhode Island"/>
    <s v="RI Energy"/>
    <x v="15"/>
    <x v="9"/>
    <m/>
    <x v="1"/>
    <x v="0"/>
    <n v="300715413"/>
  </r>
  <r>
    <s v="Rhode Island"/>
    <s v="RI Energy"/>
    <x v="15"/>
    <x v="11"/>
    <m/>
    <x v="1"/>
    <x v="1"/>
    <n v="18580888"/>
  </r>
  <r>
    <s v="Rhode Island"/>
    <s v="RI Energy"/>
    <x v="15"/>
    <x v="12"/>
    <m/>
    <x v="0"/>
    <x v="1"/>
    <n v="5862063"/>
  </r>
  <r>
    <s v="Rhode Island"/>
    <s v="RI Energy"/>
    <x v="15"/>
    <x v="14"/>
    <m/>
    <x v="0"/>
    <x v="2"/>
    <n v="21768"/>
  </r>
  <r>
    <s v="Rhode Island"/>
    <s v="RI Energy"/>
    <x v="15"/>
    <x v="13"/>
    <m/>
    <x v="0"/>
    <x v="0"/>
    <n v="77415702"/>
  </r>
  <r>
    <s v="Rhode Island"/>
    <s v="RI Energy"/>
    <x v="15"/>
    <x v="15"/>
    <m/>
    <x v="0"/>
    <x v="1"/>
    <n v="319931"/>
  </r>
  <r>
    <s v="Rhode Island"/>
    <s v="RI Energy"/>
    <x v="15"/>
    <x v="16"/>
    <m/>
    <x v="0"/>
    <x v="2"/>
    <n v="59"/>
  </r>
  <r>
    <s v="Rhode Island"/>
    <s v="RI Energy"/>
    <x v="15"/>
    <x v="17"/>
    <m/>
    <x v="0"/>
    <x v="0"/>
    <n v="3138722"/>
  </r>
  <r>
    <s v="New Mexico"/>
    <s v="NMGCo"/>
    <x v="16"/>
    <x v="10"/>
    <m/>
    <x v="1"/>
    <x v="2"/>
    <n v="500559"/>
  </r>
  <r>
    <s v="New Mexico"/>
    <s v="NMGCo"/>
    <x v="16"/>
    <x v="11"/>
    <m/>
    <x v="1"/>
    <x v="1"/>
    <n v="30120575"/>
  </r>
  <r>
    <s v="New Mexico"/>
    <s v="NMGCo"/>
    <x v="16"/>
    <x v="9"/>
    <m/>
    <x v="1"/>
    <x v="0"/>
    <n v="287928578"/>
  </r>
  <r>
    <s v="New Mexico"/>
    <s v="NMGCo"/>
    <x v="16"/>
    <x v="12"/>
    <m/>
    <x v="0"/>
    <x v="1"/>
    <n v="11315085"/>
  </r>
  <r>
    <s v="New Mexico"/>
    <s v="NMGCo"/>
    <x v="16"/>
    <x v="14"/>
    <m/>
    <x v="0"/>
    <x v="2"/>
    <n v="37554"/>
  </r>
  <r>
    <s v="New Mexico"/>
    <s v="NMGCo"/>
    <x v="16"/>
    <x v="13"/>
    <m/>
    <x v="0"/>
    <x v="0"/>
    <n v="80227516"/>
  </r>
  <r>
    <s v="New Mexico"/>
    <s v="NMGCo"/>
    <x v="16"/>
    <x v="16"/>
    <m/>
    <x v="0"/>
    <x v="2"/>
    <n v="452"/>
  </r>
  <r>
    <s v="New Mexico"/>
    <s v="NMGCo"/>
    <x v="16"/>
    <x v="15"/>
    <m/>
    <x v="0"/>
    <x v="1"/>
    <n v="1940204"/>
  </r>
  <r>
    <s v="New Mexico"/>
    <s v="NMGCo"/>
    <x v="16"/>
    <x v="17"/>
    <m/>
    <x v="0"/>
    <x v="0"/>
    <n v="10996698"/>
  </r>
  <r>
    <s v="New York"/>
    <s v="Ngrid"/>
    <x v="13"/>
    <x v="10"/>
    <m/>
    <x v="1"/>
    <x v="2"/>
    <n v="525210"/>
  </r>
  <r>
    <s v="New York"/>
    <s v="Ngrid"/>
    <x v="13"/>
    <x v="9"/>
    <m/>
    <x v="1"/>
    <x v="0"/>
    <n v="427656808"/>
  </r>
  <r>
    <s v="New York"/>
    <s v="Ngrid"/>
    <x v="13"/>
    <x v="11"/>
    <m/>
    <x v="1"/>
    <x v="1"/>
    <n v="43003998"/>
  </r>
  <r>
    <s v="New York"/>
    <s v="Ngrid"/>
    <x v="13"/>
    <x v="14"/>
    <m/>
    <x v="0"/>
    <x v="2"/>
    <n v="32571"/>
  </r>
  <r>
    <s v="New York"/>
    <s v="Ngrid"/>
    <x v="13"/>
    <x v="12"/>
    <m/>
    <x v="0"/>
    <x v="1"/>
    <n v="11786812"/>
  </r>
  <r>
    <s v="New York"/>
    <s v="Ngrid"/>
    <x v="13"/>
    <x v="13"/>
    <m/>
    <x v="0"/>
    <x v="0"/>
    <n v="86381983"/>
  </r>
  <r>
    <s v="New York"/>
    <s v="Ngrid"/>
    <x v="13"/>
    <x v="16"/>
    <m/>
    <x v="0"/>
    <x v="2"/>
    <n v="84"/>
  </r>
  <r>
    <s v="New York"/>
    <s v="Ngrid"/>
    <x v="13"/>
    <x v="17"/>
    <m/>
    <x v="0"/>
    <x v="0"/>
    <n v="681080"/>
  </r>
  <r>
    <s v="New York"/>
    <s v="Ngrid"/>
    <x v="13"/>
    <x v="15"/>
    <m/>
    <x v="0"/>
    <x v="1"/>
    <n v="109321"/>
  </r>
  <r>
    <s v="Illinois"/>
    <s v="Nicor"/>
    <x v="17"/>
    <x v="10"/>
    <m/>
    <x v="1"/>
    <x v="2"/>
    <n v="1899588"/>
  </r>
  <r>
    <s v="Illinois"/>
    <s v="Nicor"/>
    <x v="17"/>
    <x v="11"/>
    <m/>
    <x v="1"/>
    <x v="1"/>
    <n v="190703631"/>
  </r>
  <r>
    <s v="Illinois"/>
    <s v="Nicor"/>
    <x v="17"/>
    <x v="9"/>
    <m/>
    <x v="1"/>
    <x v="0"/>
    <n v="1633276337"/>
  </r>
  <r>
    <s v="Illinois"/>
    <s v="Nicor"/>
    <x v="17"/>
    <x v="14"/>
    <m/>
    <x v="0"/>
    <x v="2"/>
    <n v="112517"/>
  </r>
  <r>
    <s v="Illinois"/>
    <s v="Nicor"/>
    <x v="17"/>
    <x v="13"/>
    <m/>
    <x v="0"/>
    <x v="0"/>
    <n v="290292435"/>
  </r>
  <r>
    <s v="Illinois"/>
    <s v="Nicor"/>
    <x v="17"/>
    <x v="12"/>
    <m/>
    <x v="0"/>
    <x v="1"/>
    <n v="38323796"/>
  </r>
  <r>
    <s v="Illinois"/>
    <s v="Nicor"/>
    <x v="17"/>
    <x v="16"/>
    <m/>
    <x v="0"/>
    <x v="2"/>
    <n v="12654"/>
  </r>
  <r>
    <s v="Illinois"/>
    <s v="Nicor"/>
    <x v="17"/>
    <x v="15"/>
    <m/>
    <x v="0"/>
    <x v="1"/>
    <n v="7627386"/>
  </r>
  <r>
    <s v="Illinois"/>
    <s v="Nicor"/>
    <x v="17"/>
    <x v="17"/>
    <m/>
    <x v="0"/>
    <x v="0"/>
    <n v="50931767"/>
  </r>
  <r>
    <s v="Illinois"/>
    <s v="North Shore"/>
    <x v="18"/>
    <x v="9"/>
    <m/>
    <x v="1"/>
    <x v="0"/>
    <n v="160543995"/>
  </r>
  <r>
    <s v="Illinois"/>
    <s v="North Shore"/>
    <x v="18"/>
    <x v="10"/>
    <m/>
    <x v="1"/>
    <x v="2"/>
    <n v="140819"/>
  </r>
  <r>
    <s v="Illinois"/>
    <s v="North Shore"/>
    <x v="18"/>
    <x v="11"/>
    <m/>
    <x v="1"/>
    <x v="1"/>
    <n v="17055164"/>
  </r>
  <r>
    <s v="Illinois"/>
    <s v="North Shore"/>
    <x v="18"/>
    <x v="14"/>
    <m/>
    <x v="0"/>
    <x v="2"/>
    <n v="8751"/>
  </r>
  <r>
    <s v="Illinois"/>
    <s v="North Shore"/>
    <x v="18"/>
    <x v="13"/>
    <m/>
    <x v="0"/>
    <x v="0"/>
    <n v="23405362"/>
  </r>
  <r>
    <s v="Illinois"/>
    <s v="North Shore"/>
    <x v="18"/>
    <x v="12"/>
    <m/>
    <x v="0"/>
    <x v="1"/>
    <n v="2889426"/>
  </r>
  <r>
    <s v="Illinois"/>
    <s v="North Shore"/>
    <x v="18"/>
    <x v="17"/>
    <m/>
    <x v="0"/>
    <x v="0"/>
    <n v="3544356"/>
  </r>
  <r>
    <s v="Illinois"/>
    <s v="North Shore"/>
    <x v="18"/>
    <x v="16"/>
    <m/>
    <x v="0"/>
    <x v="2"/>
    <n v="575"/>
  </r>
  <r>
    <s v="Illinois"/>
    <s v="North Shore"/>
    <x v="18"/>
    <x v="15"/>
    <m/>
    <x v="0"/>
    <x v="1"/>
    <n v="464104"/>
  </r>
  <r>
    <s v="Minnesota"/>
    <s v="Xcel"/>
    <x v="19"/>
    <x v="10"/>
    <m/>
    <x v="1"/>
    <x v="2"/>
    <n v="438247"/>
  </r>
  <r>
    <s v="Minnesota"/>
    <s v="Xcel"/>
    <x v="19"/>
    <x v="11"/>
    <m/>
    <x v="1"/>
    <x v="1"/>
    <n v="35286911"/>
  </r>
  <r>
    <s v="Minnesota"/>
    <s v="Xcel"/>
    <x v="19"/>
    <x v="9"/>
    <m/>
    <x v="1"/>
    <x v="0"/>
    <n v="306619750"/>
  </r>
  <r>
    <s v="Minnesota"/>
    <s v="Xcel"/>
    <x v="19"/>
    <x v="12"/>
    <m/>
    <x v="0"/>
    <x v="1"/>
    <n v="20733036"/>
  </r>
  <r>
    <s v="Minnesota"/>
    <s v="Xcel"/>
    <x v="19"/>
    <x v="14"/>
    <m/>
    <x v="0"/>
    <x v="2"/>
    <n v="35631"/>
  </r>
  <r>
    <s v="Minnesota"/>
    <s v="Xcel"/>
    <x v="19"/>
    <x v="13"/>
    <m/>
    <x v="0"/>
    <x v="0"/>
    <n v="150723548"/>
  </r>
  <r>
    <s v="Minnesota"/>
    <s v="Xcel"/>
    <x v="19"/>
    <x v="17"/>
    <m/>
    <x v="0"/>
    <x v="0"/>
    <n v="63162235"/>
  </r>
  <r>
    <s v="Minnesota"/>
    <s v="Xcel"/>
    <x v="19"/>
    <x v="15"/>
    <m/>
    <x v="0"/>
    <x v="1"/>
    <n v="11466496"/>
  </r>
  <r>
    <s v="Minnesota"/>
    <s v="Xcel"/>
    <x v="19"/>
    <x v="16"/>
    <m/>
    <x v="0"/>
    <x v="2"/>
    <n v="450"/>
  </r>
  <r>
    <s v="Wisconsin"/>
    <s v="Xcel-WI"/>
    <x v="14"/>
    <x v="11"/>
    <m/>
    <x v="1"/>
    <x v="1"/>
    <n v="6574671"/>
  </r>
  <r>
    <s v="Wisconsin"/>
    <s v="Xcel-WI"/>
    <x v="14"/>
    <x v="10"/>
    <m/>
    <x v="1"/>
    <x v="2"/>
    <n v="100442"/>
  </r>
  <r>
    <s v="Wisconsin"/>
    <s v="Xcel-WI"/>
    <x v="14"/>
    <x v="9"/>
    <m/>
    <x v="1"/>
    <x v="0"/>
    <n v="85330358"/>
  </r>
  <r>
    <s v="Wisconsin"/>
    <s v="Xcel-WI"/>
    <x v="14"/>
    <x v="13"/>
    <m/>
    <x v="0"/>
    <x v="0"/>
    <n v="60846467"/>
  </r>
  <r>
    <s v="Wisconsin"/>
    <s v="Xcel-WI"/>
    <x v="14"/>
    <x v="12"/>
    <m/>
    <x v="0"/>
    <x v="1"/>
    <n v="5900098"/>
  </r>
  <r>
    <s v="Wisconsin"/>
    <s v="Xcel-WI"/>
    <x v="14"/>
    <x v="14"/>
    <m/>
    <x v="0"/>
    <x v="2"/>
    <n v="12610"/>
  </r>
  <r>
    <s v="Wisconsin"/>
    <s v="Xcel-WI"/>
    <x v="14"/>
    <x v="16"/>
    <m/>
    <x v="0"/>
    <x v="2"/>
    <n v="168"/>
  </r>
  <r>
    <s v="Wisconsin"/>
    <s v="Xcel-WI"/>
    <x v="14"/>
    <x v="17"/>
    <m/>
    <x v="0"/>
    <x v="0"/>
    <n v="21401819"/>
  </r>
  <r>
    <s v="Wisconsin"/>
    <s v="Xcel-WI"/>
    <x v="14"/>
    <x v="15"/>
    <m/>
    <x v="0"/>
    <x v="1"/>
    <n v="2531248"/>
  </r>
  <r>
    <s v="Oregon"/>
    <s v="NW Natural"/>
    <x v="20"/>
    <x v="10"/>
    <m/>
    <x v="1"/>
    <x v="2"/>
    <n v="625778"/>
  </r>
  <r>
    <s v="Oregon"/>
    <s v="NW Natural"/>
    <x v="20"/>
    <x v="11"/>
    <m/>
    <x v="1"/>
    <x v="1"/>
    <n v="36872033"/>
  </r>
  <r>
    <s v="Oregon"/>
    <s v="NW Natural"/>
    <x v="20"/>
    <x v="9"/>
    <m/>
    <x v="1"/>
    <x v="0"/>
    <n v="431664393"/>
  </r>
  <r>
    <s v="Oregon"/>
    <s v="NW Natural"/>
    <x v="20"/>
    <x v="13"/>
    <m/>
    <x v="0"/>
    <x v="0"/>
    <n v="195484820"/>
  </r>
  <r>
    <s v="Oregon"/>
    <s v="NW Natural"/>
    <x v="20"/>
    <x v="14"/>
    <m/>
    <x v="0"/>
    <x v="2"/>
    <n v="61301"/>
  </r>
  <r>
    <s v="Oregon"/>
    <s v="NW Natural"/>
    <x v="20"/>
    <x v="12"/>
    <m/>
    <x v="0"/>
    <x v="1"/>
    <n v="21976251"/>
  </r>
  <r>
    <s v="Oregon"/>
    <s v="NW Natural"/>
    <x v="20"/>
    <x v="15"/>
    <m/>
    <x v="0"/>
    <x v="1"/>
    <n v="8117996"/>
  </r>
  <r>
    <s v="Oregon"/>
    <s v="NW Natural"/>
    <x v="20"/>
    <x v="17"/>
    <m/>
    <x v="0"/>
    <x v="0"/>
    <n v="42324231"/>
  </r>
  <r>
    <s v="Oregon"/>
    <s v="NW Natural"/>
    <x v="20"/>
    <x v="16"/>
    <m/>
    <x v="0"/>
    <x v="2"/>
    <n v="711"/>
  </r>
  <r>
    <s v="Massachusetts"/>
    <s v="Eversource"/>
    <x v="21"/>
    <x v="11"/>
    <m/>
    <x v="1"/>
    <x v="1"/>
    <n v="20125025"/>
  </r>
  <r>
    <s v="Massachusetts"/>
    <s v="Eversource"/>
    <x v="21"/>
    <x v="10"/>
    <m/>
    <x v="1"/>
    <x v="2"/>
    <n v="269645"/>
  </r>
  <r>
    <s v="Massachusetts"/>
    <s v="Eversource"/>
    <x v="21"/>
    <x v="9"/>
    <m/>
    <x v="1"/>
    <x v="0"/>
    <n v="339280625"/>
  </r>
  <r>
    <s v="Massachusetts"/>
    <s v="Eversource"/>
    <x v="21"/>
    <x v="14"/>
    <m/>
    <x v="0"/>
    <x v="2"/>
    <n v="23549"/>
  </r>
  <r>
    <s v="Massachusetts"/>
    <s v="Eversource"/>
    <x v="21"/>
    <x v="13"/>
    <m/>
    <x v="0"/>
    <x v="0"/>
    <n v="115552426"/>
  </r>
  <r>
    <s v="Massachusetts"/>
    <s v="Eversource"/>
    <x v="21"/>
    <x v="12"/>
    <m/>
    <x v="0"/>
    <x v="1"/>
    <n v="9625894"/>
  </r>
  <r>
    <s v="Massachusetts"/>
    <s v="Eversource"/>
    <x v="21"/>
    <x v="16"/>
    <m/>
    <x v="0"/>
    <x v="2"/>
    <n v="597"/>
  </r>
  <r>
    <s v="Massachusetts"/>
    <s v="Eversource"/>
    <x v="21"/>
    <x v="15"/>
    <m/>
    <x v="0"/>
    <x v="1"/>
    <n v="1108179"/>
  </r>
  <r>
    <s v="Massachusetts"/>
    <s v="Eversource"/>
    <x v="21"/>
    <x v="17"/>
    <m/>
    <x v="0"/>
    <x v="0"/>
    <n v="11497307"/>
  </r>
  <r>
    <s v="California"/>
    <s v="PG&amp;E"/>
    <x v="22"/>
    <x v="11"/>
    <m/>
    <x v="1"/>
    <x v="1"/>
    <n v="162205045"/>
  </r>
  <r>
    <s v="California"/>
    <s v="PG&amp;E"/>
    <x v="22"/>
    <x v="10"/>
    <m/>
    <x v="1"/>
    <x v="2"/>
    <n v="3970046"/>
  </r>
  <r>
    <s v="California"/>
    <s v="PG&amp;E"/>
    <x v="22"/>
    <x v="9"/>
    <m/>
    <x v="1"/>
    <x v="0"/>
    <n v="2877447328"/>
  </r>
  <r>
    <s v="California"/>
    <s v="PG&amp;E"/>
    <x v="22"/>
    <x v="12"/>
    <m/>
    <x v="0"/>
    <x v="1"/>
    <n v="41579359"/>
  </r>
  <r>
    <s v="California"/>
    <s v="PG&amp;E"/>
    <x v="22"/>
    <x v="14"/>
    <m/>
    <x v="0"/>
    <x v="2"/>
    <n v="180924"/>
  </r>
  <r>
    <s v="California"/>
    <s v="PG&amp;E"/>
    <x v="22"/>
    <x v="13"/>
    <m/>
    <x v="0"/>
    <x v="0"/>
    <n v="568972461"/>
  </r>
  <r>
    <s v="California"/>
    <s v="PG&amp;E"/>
    <x v="22"/>
    <x v="17"/>
    <m/>
    <x v="0"/>
    <x v="0"/>
    <n v="121585679"/>
  </r>
  <r>
    <s v="California"/>
    <s v="PG&amp;E"/>
    <x v="22"/>
    <x v="15"/>
    <m/>
    <x v="0"/>
    <x v="1"/>
    <n v="10432919"/>
  </r>
  <r>
    <s v="California"/>
    <s v="PG&amp;E"/>
    <x v="22"/>
    <x v="16"/>
    <m/>
    <x v="0"/>
    <x v="2"/>
    <n v="15165"/>
  </r>
  <r>
    <s v="Illinois"/>
    <s v="Peoples"/>
    <x v="23"/>
    <x v="10"/>
    <m/>
    <x v="1"/>
    <x v="2"/>
    <n v="780655"/>
  </r>
  <r>
    <s v="Illinois"/>
    <s v="Peoples"/>
    <x v="23"/>
    <x v="9"/>
    <m/>
    <x v="1"/>
    <x v="0"/>
    <n v="1066897450"/>
  </r>
  <r>
    <s v="Illinois"/>
    <s v="Peoples"/>
    <x v="23"/>
    <x v="11"/>
    <m/>
    <x v="1"/>
    <x v="1"/>
    <n v="74437466"/>
  </r>
  <r>
    <s v="Illinois"/>
    <s v="Peoples"/>
    <x v="23"/>
    <x v="14"/>
    <m/>
    <x v="0"/>
    <x v="2"/>
    <n v="38412"/>
  </r>
  <r>
    <s v="Illinois"/>
    <s v="Peoples"/>
    <x v="23"/>
    <x v="12"/>
    <m/>
    <x v="0"/>
    <x v="1"/>
    <n v="13613233"/>
  </r>
  <r>
    <s v="Illinois"/>
    <s v="Peoples"/>
    <x v="23"/>
    <x v="13"/>
    <m/>
    <x v="0"/>
    <x v="0"/>
    <n v="155669940"/>
  </r>
  <r>
    <s v="Illinois"/>
    <s v="Peoples"/>
    <x v="23"/>
    <x v="15"/>
    <m/>
    <x v="0"/>
    <x v="1"/>
    <n v="1995157"/>
  </r>
  <r>
    <s v="Illinois"/>
    <s v="Peoples"/>
    <x v="23"/>
    <x v="17"/>
    <m/>
    <x v="0"/>
    <x v="0"/>
    <n v="19223502"/>
  </r>
  <r>
    <s v="Illinois"/>
    <s v="Peoples"/>
    <x v="23"/>
    <x v="16"/>
    <m/>
    <x v="0"/>
    <x v="2"/>
    <n v="1449"/>
  </r>
  <r>
    <s v="Colorado"/>
    <s v="Xcel"/>
    <x v="24"/>
    <x v="11"/>
    <m/>
    <x v="1"/>
    <x v="1"/>
    <n v="95416268"/>
  </r>
  <r>
    <s v="Colorado"/>
    <s v="Xcel"/>
    <x v="24"/>
    <x v="10"/>
    <m/>
    <x v="1"/>
    <x v="2"/>
    <n v="1341725"/>
  </r>
  <r>
    <s v="Colorado"/>
    <s v="Xcel"/>
    <x v="24"/>
    <x v="9"/>
    <m/>
    <x v="1"/>
    <x v="0"/>
    <n v="838583100"/>
  </r>
  <r>
    <s v="Colorado"/>
    <s v="Xcel"/>
    <x v="24"/>
    <x v="14"/>
    <m/>
    <x v="0"/>
    <x v="2"/>
    <n v="101058"/>
  </r>
  <r>
    <s v="Colorado"/>
    <s v="Xcel"/>
    <x v="24"/>
    <x v="12"/>
    <m/>
    <x v="0"/>
    <x v="1"/>
    <n v="33530423"/>
  </r>
  <r>
    <s v="Colorado"/>
    <s v="Xcel"/>
    <x v="24"/>
    <x v="13"/>
    <m/>
    <x v="0"/>
    <x v="0"/>
    <n v="263667549"/>
  </r>
  <r>
    <s v="Colorado"/>
    <s v="Xcel"/>
    <x v="24"/>
    <x v="17"/>
    <m/>
    <x v="0"/>
    <x v="0"/>
    <n v="52609559"/>
  </r>
  <r>
    <s v="Colorado"/>
    <s v="Xcel"/>
    <x v="24"/>
    <x v="16"/>
    <m/>
    <x v="0"/>
    <x v="2"/>
    <n v="941"/>
  </r>
  <r>
    <s v="Colorado"/>
    <s v="Xcel"/>
    <x v="24"/>
    <x v="15"/>
    <m/>
    <x v="0"/>
    <x v="1"/>
    <n v="7288760"/>
  </r>
  <r>
    <s v="New Jersey"/>
    <s v="PSEG"/>
    <x v="25"/>
    <x v="11"/>
    <m/>
    <x v="1"/>
    <x v="1"/>
    <n v="136983749"/>
  </r>
  <r>
    <s v="New Jersey"/>
    <s v="PSEG"/>
    <x v="25"/>
    <x v="9"/>
    <m/>
    <x v="1"/>
    <x v="0"/>
    <n v="1180478826"/>
  </r>
  <r>
    <s v="New Jersey"/>
    <s v="PSEG"/>
    <x v="25"/>
    <x v="10"/>
    <m/>
    <x v="1"/>
    <x v="2"/>
    <n v="1667243"/>
  </r>
  <r>
    <s v="New Jersey"/>
    <s v="PSEG"/>
    <x v="25"/>
    <x v="13"/>
    <m/>
    <x v="0"/>
    <x v="0"/>
    <n v="393389117"/>
  </r>
  <r>
    <s v="New Jersey"/>
    <s v="PSEG"/>
    <x v="25"/>
    <x v="14"/>
    <m/>
    <x v="0"/>
    <x v="2"/>
    <n v="132852"/>
  </r>
  <r>
    <s v="New Jersey"/>
    <s v="PSEG"/>
    <x v="25"/>
    <x v="12"/>
    <m/>
    <x v="0"/>
    <x v="1"/>
    <n v="44158856"/>
  </r>
  <r>
    <s v="New Jersey"/>
    <s v="PSEG"/>
    <x v="25"/>
    <x v="15"/>
    <m/>
    <x v="0"/>
    <x v="1"/>
    <n v="2680375"/>
  </r>
  <r>
    <s v="New Jersey"/>
    <s v="PSEG"/>
    <x v="25"/>
    <x v="16"/>
    <m/>
    <x v="0"/>
    <x v="2"/>
    <n v="5080"/>
  </r>
  <r>
    <s v="New Jersey"/>
    <s v="PSEG"/>
    <x v="25"/>
    <x v="17"/>
    <m/>
    <x v="0"/>
    <x v="0"/>
    <n v="21333207"/>
  </r>
  <r>
    <s v="Washington"/>
    <s v="PSE"/>
    <x v="26"/>
    <x v="11"/>
    <m/>
    <x v="1"/>
    <x v="1"/>
    <n v="61102800"/>
  </r>
  <r>
    <s v="Washington"/>
    <s v="PSE"/>
    <x v="26"/>
    <x v="9"/>
    <m/>
    <x v="1"/>
    <x v="0"/>
    <n v="722022000"/>
  </r>
  <r>
    <s v="Washington"/>
    <s v="PSE"/>
    <x v="26"/>
    <x v="10"/>
    <m/>
    <x v="1"/>
    <x v="2"/>
    <n v="801186"/>
  </r>
  <r>
    <s v="Washington"/>
    <s v="PSE"/>
    <x v="26"/>
    <x v="14"/>
    <m/>
    <x v="0"/>
    <x v="2"/>
    <n v="56746"/>
  </r>
  <r>
    <s v="Washington"/>
    <s v="PSE"/>
    <x v="26"/>
    <x v="12"/>
    <m/>
    <x v="0"/>
    <x v="1"/>
    <n v="31204800"/>
  </r>
  <r>
    <s v="Washington"/>
    <s v="PSE"/>
    <x v="26"/>
    <x v="13"/>
    <m/>
    <x v="0"/>
    <x v="0"/>
    <n v="292217000"/>
  </r>
  <r>
    <s v="Washington"/>
    <s v="PSE"/>
    <x v="26"/>
    <x v="17"/>
    <m/>
    <x v="0"/>
    <x v="0"/>
    <n v="21726000"/>
  </r>
  <r>
    <s v="Washington"/>
    <s v="PSE"/>
    <x v="26"/>
    <x v="15"/>
    <m/>
    <x v="0"/>
    <x v="1"/>
    <n v="2688300"/>
  </r>
  <r>
    <s v="Washington"/>
    <s v="PSE"/>
    <x v="26"/>
    <x v="16"/>
    <m/>
    <x v="0"/>
    <x v="2"/>
    <n v="2286"/>
  </r>
  <r>
    <s v="Utah"/>
    <s v="QUESTAR"/>
    <x v="27"/>
    <x v="10"/>
    <m/>
    <x v="1"/>
    <x v="2"/>
    <n v="1025383"/>
  </r>
  <r>
    <s v="Utah"/>
    <s v="QUESTAR"/>
    <x v="27"/>
    <x v="11"/>
    <m/>
    <x v="1"/>
    <x v="1"/>
    <n v="71307443"/>
  </r>
  <r>
    <s v="Utah"/>
    <s v="QUESTAR"/>
    <x v="27"/>
    <x v="9"/>
    <m/>
    <x v="1"/>
    <x v="0"/>
    <n v="641200442"/>
  </r>
  <r>
    <s v="Utah"/>
    <s v="QUESTAR"/>
    <x v="27"/>
    <x v="12"/>
    <m/>
    <x v="0"/>
    <x v="1"/>
    <n v="28161054"/>
  </r>
  <r>
    <s v="Utah"/>
    <s v="QUESTAR"/>
    <x v="27"/>
    <x v="14"/>
    <m/>
    <x v="0"/>
    <x v="2"/>
    <n v="70939"/>
  </r>
  <r>
    <s v="Utah"/>
    <s v="QUESTAR"/>
    <x v="27"/>
    <x v="13"/>
    <m/>
    <x v="0"/>
    <x v="0"/>
    <n v="207454350"/>
  </r>
  <r>
    <s v="Utah"/>
    <s v="QUESTAR"/>
    <x v="27"/>
    <x v="15"/>
    <m/>
    <x v="0"/>
    <x v="1"/>
    <n v="707426"/>
  </r>
  <r>
    <s v="Utah"/>
    <s v="QUESTAR"/>
    <x v="27"/>
    <x v="16"/>
    <m/>
    <x v="0"/>
    <x v="2"/>
    <n v="55"/>
  </r>
  <r>
    <s v="Utah"/>
    <s v="QUESTAR"/>
    <x v="27"/>
    <x v="17"/>
    <m/>
    <x v="0"/>
    <x v="0"/>
    <n v="4169472"/>
  </r>
  <r>
    <s v="California"/>
    <s v="SDG&amp;E"/>
    <x v="28"/>
    <x v="10"/>
    <m/>
    <x v="1"/>
    <x v="2"/>
    <n v="864416"/>
  </r>
  <r>
    <s v="California"/>
    <s v="SDG&amp;E"/>
    <x v="28"/>
    <x v="11"/>
    <m/>
    <x v="1"/>
    <x v="1"/>
    <n v="28484545"/>
  </r>
  <r>
    <s v="California"/>
    <s v="SDG&amp;E"/>
    <x v="28"/>
    <x v="9"/>
    <m/>
    <x v="1"/>
    <x v="0"/>
    <n v="517154287"/>
  </r>
  <r>
    <s v="California"/>
    <s v="SDG&amp;E"/>
    <x v="28"/>
    <x v="13"/>
    <m/>
    <x v="0"/>
    <x v="0"/>
    <n v="144523625"/>
  </r>
  <r>
    <s v="California"/>
    <s v="SDG&amp;E"/>
    <x v="28"/>
    <x v="12"/>
    <m/>
    <x v="0"/>
    <x v="1"/>
    <n v="13937824"/>
  </r>
  <r>
    <s v="California"/>
    <s v="SDG&amp;E"/>
    <x v="28"/>
    <x v="14"/>
    <m/>
    <x v="0"/>
    <x v="2"/>
    <n v="28509"/>
  </r>
  <r>
    <s v="California"/>
    <s v="SCG"/>
    <x v="29"/>
    <x v="11"/>
    <m/>
    <x v="1"/>
    <x v="1"/>
    <n v="223627558"/>
  </r>
  <r>
    <s v="California"/>
    <s v="SCG"/>
    <x v="29"/>
    <x v="9"/>
    <m/>
    <x v="1"/>
    <x v="0"/>
    <n v="3382995627"/>
  </r>
  <r>
    <s v="California"/>
    <s v="SCG"/>
    <x v="29"/>
    <x v="10"/>
    <m/>
    <x v="1"/>
    <x v="2"/>
    <n v="5625524"/>
  </r>
  <r>
    <s v="California"/>
    <s v="SCG"/>
    <x v="29"/>
    <x v="13"/>
    <m/>
    <x v="0"/>
    <x v="0"/>
    <n v="753543760"/>
  </r>
  <r>
    <s v="California"/>
    <s v="SCG"/>
    <x v="29"/>
    <x v="12"/>
    <m/>
    <x v="0"/>
    <x v="1"/>
    <n v="66603306"/>
  </r>
  <r>
    <s v="California"/>
    <s v="SCG"/>
    <x v="29"/>
    <x v="14"/>
    <m/>
    <x v="0"/>
    <x v="2"/>
    <n v="178146"/>
  </r>
  <r>
    <s v="California"/>
    <s v="SCG"/>
    <x v="29"/>
    <x v="15"/>
    <m/>
    <x v="0"/>
    <x v="1"/>
    <n v="18910269"/>
  </r>
  <r>
    <s v="California"/>
    <s v="SCG"/>
    <x v="29"/>
    <x v="16"/>
    <m/>
    <x v="0"/>
    <x v="2"/>
    <n v="15850"/>
  </r>
  <r>
    <s v="California"/>
    <s v="SCG"/>
    <x v="29"/>
    <x v="17"/>
    <m/>
    <x v="0"/>
    <x v="0"/>
    <n v="168505094"/>
  </r>
  <r>
    <s v="Connecticut"/>
    <s v="SoCTGas"/>
    <x v="30"/>
    <x v="10"/>
    <m/>
    <x v="1"/>
    <x v="2"/>
    <n v="186498"/>
  </r>
  <r>
    <s v="Connecticut"/>
    <s v="SoCTGas"/>
    <x v="30"/>
    <x v="11"/>
    <m/>
    <x v="1"/>
    <x v="1"/>
    <n v="15700113"/>
  </r>
  <r>
    <s v="Connecticut"/>
    <s v="SoCTGas"/>
    <x v="30"/>
    <x v="9"/>
    <m/>
    <x v="1"/>
    <x v="0"/>
    <n v="233740726"/>
  </r>
  <r>
    <s v="Connecticut"/>
    <s v="SoCTGas"/>
    <x v="30"/>
    <x v="13"/>
    <m/>
    <x v="0"/>
    <x v="0"/>
    <n v="132678666"/>
  </r>
  <r>
    <s v="Connecticut"/>
    <s v="SoCTGas"/>
    <x v="30"/>
    <x v="14"/>
    <m/>
    <x v="0"/>
    <x v="2"/>
    <n v="18668"/>
  </r>
  <r>
    <s v="Connecticut"/>
    <s v="SoCTGas"/>
    <x v="30"/>
    <x v="12"/>
    <m/>
    <x v="0"/>
    <x v="1"/>
    <n v="14134135"/>
  </r>
  <r>
    <s v="Connecticut"/>
    <s v="SoCTGas"/>
    <x v="30"/>
    <x v="15"/>
    <m/>
    <x v="0"/>
    <x v="1"/>
    <n v="2021205"/>
  </r>
  <r>
    <s v="Connecticut"/>
    <s v="SoCTGas"/>
    <x v="30"/>
    <x v="16"/>
    <m/>
    <x v="0"/>
    <x v="2"/>
    <n v="400"/>
  </r>
  <r>
    <s v="Connecticut"/>
    <s v="SoCTGas"/>
    <x v="30"/>
    <x v="17"/>
    <m/>
    <x v="0"/>
    <x v="0"/>
    <n v="13880514"/>
  </r>
  <r>
    <s v="New York"/>
    <s v="Brooklyn Gas"/>
    <x v="31"/>
    <x v="9"/>
    <m/>
    <x v="1"/>
    <x v="0"/>
    <n v="1334661493"/>
  </r>
  <r>
    <s v="New York"/>
    <s v="Brooklyn Gas"/>
    <x v="31"/>
    <x v="11"/>
    <m/>
    <x v="1"/>
    <x v="1"/>
    <n v="90563977"/>
  </r>
  <r>
    <s v="New York"/>
    <s v="Brooklyn Gas"/>
    <x v="31"/>
    <x v="10"/>
    <m/>
    <x v="1"/>
    <x v="2"/>
    <n v="1098074"/>
  </r>
  <r>
    <s v="New York"/>
    <s v="Brooklyn Gas"/>
    <x v="31"/>
    <x v="12"/>
    <m/>
    <x v="0"/>
    <x v="1"/>
    <n v="10734049"/>
  </r>
  <r>
    <s v="New York"/>
    <s v="Brooklyn Gas"/>
    <x v="31"/>
    <x v="14"/>
    <m/>
    <x v="0"/>
    <x v="2"/>
    <n v="35199"/>
  </r>
  <r>
    <s v="New York"/>
    <s v="Brooklyn Gas"/>
    <x v="31"/>
    <x v="13"/>
    <m/>
    <x v="0"/>
    <x v="0"/>
    <n v="132674238"/>
  </r>
  <r>
    <s v="New York"/>
    <s v="Brooklyn Gas"/>
    <x v="31"/>
    <x v="17"/>
    <m/>
    <x v="0"/>
    <x v="0"/>
    <n v="17849205"/>
  </r>
  <r>
    <s v="New York"/>
    <s v="Brooklyn Gas"/>
    <x v="31"/>
    <x v="16"/>
    <m/>
    <x v="0"/>
    <x v="2"/>
    <n v="3048"/>
  </r>
  <r>
    <s v="New York"/>
    <s v="Brooklyn Gas"/>
    <x v="31"/>
    <x v="15"/>
    <m/>
    <x v="0"/>
    <x v="1"/>
    <n v="1731670"/>
  </r>
  <r>
    <s v="Maryland"/>
    <s v="Washington Gas"/>
    <x v="32"/>
    <x v="11"/>
    <m/>
    <x v="1"/>
    <x v="1"/>
    <n v="28579909"/>
  </r>
  <r>
    <s v="Maryland"/>
    <s v="Washington Gas"/>
    <x v="32"/>
    <x v="9"/>
    <m/>
    <x v="1"/>
    <x v="0"/>
    <n v="369720236"/>
  </r>
  <r>
    <s v="Maryland"/>
    <s v="Washington Gas"/>
    <x v="32"/>
    <x v="10"/>
    <m/>
    <x v="1"/>
    <x v="2"/>
    <n v="393162"/>
  </r>
  <r>
    <s v="Maryland"/>
    <s v="Washington Gas"/>
    <x v="32"/>
    <x v="14"/>
    <m/>
    <x v="0"/>
    <x v="2"/>
    <n v="17341"/>
  </r>
  <r>
    <s v="Maryland"/>
    <s v="Washington Gas"/>
    <x v="32"/>
    <x v="13"/>
    <m/>
    <x v="0"/>
    <x v="0"/>
    <n v="68601094"/>
  </r>
  <r>
    <s v="Maryland"/>
    <s v="Washington Gas"/>
    <x v="32"/>
    <x v="12"/>
    <m/>
    <x v="0"/>
    <x v="1"/>
    <n v="6221560"/>
  </r>
  <r>
    <s v="Wisconsin"/>
    <s v="WEPCO"/>
    <x v="14"/>
    <x v="10"/>
    <m/>
    <x v="1"/>
    <x v="2"/>
    <n v="457404"/>
  </r>
  <r>
    <s v="Wisconsin"/>
    <s v="WEPCO"/>
    <x v="14"/>
    <x v="9"/>
    <m/>
    <x v="1"/>
    <x v="0"/>
    <n v="307110174"/>
  </r>
  <r>
    <s v="Wisconsin"/>
    <s v="WEPCO"/>
    <x v="14"/>
    <x v="11"/>
    <m/>
    <x v="1"/>
    <x v="1"/>
    <n v="33310552"/>
  </r>
  <r>
    <s v="Wisconsin"/>
    <s v="WEPCO"/>
    <x v="14"/>
    <x v="14"/>
    <m/>
    <x v="0"/>
    <x v="2"/>
    <n v="38464"/>
  </r>
  <r>
    <s v="Wisconsin"/>
    <s v="WEPCO"/>
    <x v="14"/>
    <x v="13"/>
    <m/>
    <x v="0"/>
    <x v="0"/>
    <n v="104034397"/>
  </r>
  <r>
    <s v="Wisconsin"/>
    <s v="WEPCO"/>
    <x v="14"/>
    <x v="12"/>
    <m/>
    <x v="0"/>
    <x v="1"/>
    <n v="13663538"/>
  </r>
  <r>
    <s v="Wisconsin"/>
    <s v="WEPCO"/>
    <x v="14"/>
    <x v="15"/>
    <m/>
    <x v="0"/>
    <x v="1"/>
    <n v="4454556"/>
  </r>
  <r>
    <s v="Wisconsin"/>
    <s v="WEPCO"/>
    <x v="14"/>
    <x v="16"/>
    <m/>
    <x v="0"/>
    <x v="2"/>
    <n v="1760"/>
  </r>
  <r>
    <s v="Wisconsin"/>
    <s v="WEPCO"/>
    <x v="14"/>
    <x v="17"/>
    <m/>
    <x v="0"/>
    <x v="0"/>
    <n v="32462083"/>
  </r>
  <r>
    <s v="Wisconsin"/>
    <s v="WE Energy"/>
    <x v="14"/>
    <x v="10"/>
    <m/>
    <x v="1"/>
    <x v="2"/>
    <n v="586953"/>
  </r>
  <r>
    <s v="Wisconsin"/>
    <s v="WE Energy"/>
    <x v="14"/>
    <x v="9"/>
    <m/>
    <x v="1"/>
    <x v="0"/>
    <n v="414155797"/>
  </r>
  <r>
    <s v="Wisconsin"/>
    <s v="WE Energy"/>
    <x v="14"/>
    <x v="11"/>
    <m/>
    <x v="1"/>
    <x v="1"/>
    <n v="42066613"/>
  </r>
  <r>
    <s v="Wisconsin"/>
    <s v="WE Energy"/>
    <x v="14"/>
    <x v="12"/>
    <m/>
    <x v="0"/>
    <x v="1"/>
    <n v="19463720"/>
  </r>
  <r>
    <s v="Wisconsin"/>
    <s v="WE Energy"/>
    <x v="14"/>
    <x v="13"/>
    <m/>
    <x v="0"/>
    <x v="0"/>
    <n v="154986366"/>
  </r>
  <r>
    <s v="Wisconsin"/>
    <s v="WE Energy"/>
    <x v="14"/>
    <x v="14"/>
    <m/>
    <x v="0"/>
    <x v="2"/>
    <n v="54642"/>
  </r>
  <r>
    <s v="Wisconsin"/>
    <s v="WE Energy"/>
    <x v="14"/>
    <x v="15"/>
    <m/>
    <x v="0"/>
    <x v="1"/>
    <n v="6197911"/>
  </r>
  <r>
    <s v="Wisconsin"/>
    <s v="WE Energy"/>
    <x v="14"/>
    <x v="17"/>
    <m/>
    <x v="0"/>
    <x v="0"/>
    <n v="43346373"/>
  </r>
  <r>
    <s v="Wisconsin"/>
    <s v="WE Energy"/>
    <x v="14"/>
    <x v="16"/>
    <m/>
    <x v="0"/>
    <x v="2"/>
    <n v="1840"/>
  </r>
  <r>
    <s v="Wisconsin"/>
    <s v="WPL"/>
    <x v="14"/>
    <x v="10"/>
    <m/>
    <x v="1"/>
    <x v="2"/>
    <n v="175637"/>
  </r>
  <r>
    <s v="Wisconsin"/>
    <s v="WPL"/>
    <x v="14"/>
    <x v="9"/>
    <m/>
    <x v="1"/>
    <x v="0"/>
    <n v="111101607"/>
  </r>
  <r>
    <s v="Wisconsin"/>
    <s v="WPL"/>
    <x v="14"/>
    <x v="11"/>
    <m/>
    <x v="1"/>
    <x v="1"/>
    <n v="12252260"/>
  </r>
  <r>
    <s v="Wisconsin"/>
    <s v="WPL"/>
    <x v="14"/>
    <x v="14"/>
    <m/>
    <x v="0"/>
    <x v="2"/>
    <n v="20153"/>
  </r>
  <r>
    <s v="Wisconsin"/>
    <s v="WPL"/>
    <x v="14"/>
    <x v="12"/>
    <m/>
    <x v="0"/>
    <x v="1"/>
    <n v="8959455"/>
  </r>
  <r>
    <s v="Wisconsin"/>
    <s v="WPL"/>
    <x v="14"/>
    <x v="13"/>
    <m/>
    <x v="0"/>
    <x v="0"/>
    <n v="59875216"/>
  </r>
  <r>
    <s v="Wisconsin"/>
    <s v="WPL"/>
    <x v="14"/>
    <x v="16"/>
    <m/>
    <x v="0"/>
    <x v="2"/>
    <n v="168"/>
  </r>
  <r>
    <s v="Wisconsin"/>
    <s v="WPL"/>
    <x v="14"/>
    <x v="15"/>
    <m/>
    <x v="0"/>
    <x v="1"/>
    <n v="876981"/>
  </r>
  <r>
    <s v="Wisconsin"/>
    <s v="WPL"/>
    <x v="14"/>
    <x v="17"/>
    <m/>
    <x v="0"/>
    <x v="0"/>
    <n v="4869933"/>
  </r>
  <r>
    <s v="Wisconsin"/>
    <s v="WPS"/>
    <x v="14"/>
    <x v="10"/>
    <m/>
    <x v="1"/>
    <x v="2"/>
    <n v="305761"/>
  </r>
  <r>
    <s v="Wisconsin"/>
    <s v="WPS"/>
    <x v="14"/>
    <x v="11"/>
    <m/>
    <x v="1"/>
    <x v="1"/>
    <n v="23568371"/>
  </r>
  <r>
    <s v="Wisconsin"/>
    <s v="WPS"/>
    <x v="14"/>
    <x v="9"/>
    <m/>
    <x v="1"/>
    <x v="0"/>
    <n v="212770707"/>
  </r>
  <r>
    <s v="Wisconsin"/>
    <s v="WPS"/>
    <x v="14"/>
    <x v="13"/>
    <m/>
    <x v="0"/>
    <x v="0"/>
    <n v="63976843"/>
  </r>
  <r>
    <s v="Wisconsin"/>
    <s v="WPS"/>
    <x v="14"/>
    <x v="12"/>
    <m/>
    <x v="0"/>
    <x v="1"/>
    <n v="8465988"/>
  </r>
  <r>
    <s v="Wisconsin"/>
    <s v="WPS"/>
    <x v="14"/>
    <x v="14"/>
    <m/>
    <x v="0"/>
    <x v="2"/>
    <n v="28740"/>
  </r>
  <r>
    <s v="Wisconsin"/>
    <s v="WPS"/>
    <x v="14"/>
    <x v="15"/>
    <m/>
    <x v="0"/>
    <x v="1"/>
    <n v="8177403"/>
  </r>
  <r>
    <s v="Wisconsin"/>
    <s v="WPS"/>
    <x v="14"/>
    <x v="16"/>
    <m/>
    <x v="0"/>
    <x v="2"/>
    <n v="1439"/>
  </r>
  <r>
    <s v="Wisconsin"/>
    <s v="WPS"/>
    <x v="14"/>
    <x v="17"/>
    <m/>
    <x v="0"/>
    <x v="0"/>
    <n v="52047109"/>
  </r>
  <r>
    <s v="Connecticut"/>
    <s v="Eversource"/>
    <x v="33"/>
    <x v="9"/>
    <m/>
    <x v="1"/>
    <x v="0"/>
    <n v="283613102"/>
  </r>
  <r>
    <s v="Connecticut"/>
    <s v="Eversource"/>
    <x v="33"/>
    <x v="10"/>
    <m/>
    <x v="1"/>
    <x v="2"/>
    <n v="219032"/>
  </r>
  <r>
    <s v="Connecticut"/>
    <s v="Eversource"/>
    <x v="33"/>
    <x v="11"/>
    <m/>
    <x v="1"/>
    <x v="1"/>
    <n v="15130574"/>
  </r>
  <r>
    <s v="Connecticut"/>
    <s v="Eversource"/>
    <x v="33"/>
    <x v="12"/>
    <m/>
    <x v="0"/>
    <x v="1"/>
    <n v="15456186"/>
  </r>
  <r>
    <s v="Connecticut"/>
    <s v="Eversource"/>
    <x v="33"/>
    <x v="13"/>
    <m/>
    <x v="0"/>
    <x v="0"/>
    <n v="195497148"/>
  </r>
  <r>
    <s v="Connecticut"/>
    <s v="Eversource"/>
    <x v="33"/>
    <x v="14"/>
    <m/>
    <x v="0"/>
    <x v="2"/>
    <n v="26345"/>
  </r>
  <r>
    <s v="Connecticut"/>
    <s v="Eversource"/>
    <x v="33"/>
    <x v="16"/>
    <m/>
    <x v="0"/>
    <x v="2"/>
    <n v="1385"/>
  </r>
  <r>
    <s v="Connecticut"/>
    <s v="Eversource"/>
    <x v="33"/>
    <x v="17"/>
    <m/>
    <x v="0"/>
    <x v="0"/>
    <n v="49527583"/>
  </r>
  <r>
    <s v="Connecticut"/>
    <s v="Eversource"/>
    <x v="33"/>
    <x v="15"/>
    <m/>
    <x v="0"/>
    <x v="1"/>
    <n v="543446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4">
  <r>
    <x v="0"/>
    <s v="IL"/>
    <s v="Illinois"/>
    <s v="Ameren"/>
    <x v="0"/>
    <x v="0"/>
    <n v="1"/>
    <s v="C - C&amp;I"/>
    <x v="0"/>
    <n v="45318198"/>
  </r>
  <r>
    <x v="0"/>
    <s v="IL"/>
    <s v="Illinois"/>
    <s v="Ameren"/>
    <x v="0"/>
    <x v="1"/>
    <n v="1"/>
    <s v="C - C&amp;I"/>
    <x v="1"/>
    <n v="30049707"/>
  </r>
  <r>
    <x v="0"/>
    <s v="IL"/>
    <s v="Illinois"/>
    <s v="Ameren"/>
    <x v="0"/>
    <x v="2"/>
    <n v="1"/>
    <s v="C - C&amp;I"/>
    <x v="2"/>
    <n v="8038"/>
  </r>
  <r>
    <x v="0"/>
    <s v="IL"/>
    <s v="Illinois"/>
    <s v="Ameren"/>
    <x v="0"/>
    <x v="3"/>
    <n v="1"/>
    <s v="C - C&amp;I"/>
    <x v="2"/>
    <n v="796"/>
  </r>
  <r>
    <x v="0"/>
    <s v="IL"/>
    <s v="Illinois"/>
    <s v="Ameren"/>
    <x v="0"/>
    <x v="4"/>
    <n v="1"/>
    <s v="C - C&amp;I"/>
    <x v="0"/>
    <n v="28425180"/>
  </r>
  <r>
    <x v="0"/>
    <s v="IL"/>
    <s v="Illinois"/>
    <s v="Ameren"/>
    <x v="0"/>
    <x v="5"/>
    <n v="1"/>
    <s v="C - C&amp;I"/>
    <x v="1"/>
    <n v="54252757"/>
  </r>
  <r>
    <x v="1"/>
    <s v="CO"/>
    <s v="Colorado"/>
    <s v="Atmos"/>
    <x v="1"/>
    <x v="5"/>
    <n v="1"/>
    <s v="C - C&amp;I"/>
    <x v="1"/>
    <n v="6068715"/>
  </r>
  <r>
    <x v="1"/>
    <s v="CO"/>
    <s v="Colorado"/>
    <s v="Atmos"/>
    <x v="1"/>
    <x v="3"/>
    <n v="1"/>
    <s v="C - C&amp;I"/>
    <x v="2"/>
    <n v="357"/>
  </r>
  <r>
    <x v="1"/>
    <s v="CO"/>
    <s v="Colorado"/>
    <s v="Atmos"/>
    <x v="1"/>
    <x v="4"/>
    <n v="1"/>
    <s v="C - C&amp;I"/>
    <x v="0"/>
    <n v="3230733"/>
  </r>
  <r>
    <x v="1"/>
    <s v="OR"/>
    <s v="Oregon"/>
    <s v="Avista"/>
    <x v="2"/>
    <x v="1"/>
    <n v="1"/>
    <s v="C - C&amp;I"/>
    <x v="1"/>
    <n v="476902"/>
  </r>
  <r>
    <x v="1"/>
    <s v="OR"/>
    <s v="Oregon"/>
    <s v="Avista"/>
    <x v="2"/>
    <x v="0"/>
    <n v="1"/>
    <s v="C - C&amp;I"/>
    <x v="0"/>
    <n v="530966"/>
  </r>
  <r>
    <x v="1"/>
    <s v="OR"/>
    <s v="Oregon"/>
    <s v="Avista"/>
    <x v="2"/>
    <x v="2"/>
    <n v="1"/>
    <s v="C - C&amp;I"/>
    <x v="2"/>
    <n v="9"/>
  </r>
  <r>
    <x v="1"/>
    <s v="OR"/>
    <s v="Oregon"/>
    <s v="Avista"/>
    <x v="2"/>
    <x v="3"/>
    <n v="1"/>
    <s v="C - C&amp;I"/>
    <x v="2"/>
    <n v="24"/>
  </r>
  <r>
    <x v="1"/>
    <s v="OR"/>
    <s v="Oregon"/>
    <s v="Avista"/>
    <x v="2"/>
    <x v="4"/>
    <n v="1"/>
    <s v="C - C&amp;I"/>
    <x v="0"/>
    <n v="2454021"/>
  </r>
  <r>
    <x v="1"/>
    <s v="OR"/>
    <s v="Oregon"/>
    <s v="Avista"/>
    <x v="2"/>
    <x v="5"/>
    <n v="1"/>
    <s v="C - C&amp;I"/>
    <x v="1"/>
    <n v="3337687"/>
  </r>
  <r>
    <x v="1"/>
    <s v="MD"/>
    <s v="Maryland"/>
    <s v="BGE"/>
    <x v="3"/>
    <x v="6"/>
    <n v="1"/>
    <s v="A - RES"/>
    <x v="0"/>
    <n v="77311175"/>
  </r>
  <r>
    <x v="1"/>
    <s v="MD"/>
    <s v="Maryland"/>
    <s v="BGE"/>
    <x v="3"/>
    <x v="7"/>
    <n v="1"/>
    <s v="A - RES"/>
    <x v="1"/>
    <n v="7036628"/>
  </r>
  <r>
    <x v="1"/>
    <s v="MD"/>
    <s v="Maryland"/>
    <s v="BGE"/>
    <x v="3"/>
    <x v="8"/>
    <n v="1"/>
    <s v="A - RES"/>
    <x v="2"/>
    <n v="124562"/>
  </r>
  <r>
    <x v="1"/>
    <s v="MD"/>
    <s v="Maryland"/>
    <s v="BGE"/>
    <x v="3"/>
    <x v="2"/>
    <n v="1"/>
    <s v="C - C&amp;I"/>
    <x v="2"/>
    <n v="13840"/>
  </r>
  <r>
    <x v="1"/>
    <s v="MD"/>
    <s v="Maryland"/>
    <s v="BGE"/>
    <x v="3"/>
    <x v="0"/>
    <n v="1"/>
    <s v="C - C&amp;I"/>
    <x v="0"/>
    <n v="86400631"/>
  </r>
  <r>
    <x v="1"/>
    <s v="MD"/>
    <s v="Maryland"/>
    <s v="BGE"/>
    <x v="3"/>
    <x v="1"/>
    <n v="1"/>
    <s v="C - C&amp;I"/>
    <x v="1"/>
    <n v="21910316"/>
  </r>
  <r>
    <x v="1"/>
    <s v="MD"/>
    <s v="Maryland"/>
    <s v="BGE"/>
    <x v="3"/>
    <x v="4"/>
    <n v="1"/>
    <s v="C - C&amp;I"/>
    <x v="0"/>
    <n v="24552991"/>
  </r>
  <r>
    <x v="1"/>
    <s v="MD"/>
    <s v="Maryland"/>
    <s v="BGE"/>
    <x v="3"/>
    <x v="3"/>
    <n v="1"/>
    <s v="C - C&amp;I"/>
    <x v="2"/>
    <n v="341"/>
  </r>
  <r>
    <x v="1"/>
    <s v="MD"/>
    <s v="Maryland"/>
    <s v="BGE"/>
    <x v="3"/>
    <x v="5"/>
    <n v="1"/>
    <s v="C - C&amp;I"/>
    <x v="1"/>
    <n v="13193520"/>
  </r>
  <r>
    <x v="1"/>
    <s v="CO"/>
    <s v="Colorado"/>
    <s v="Black Hills"/>
    <x v="4"/>
    <x v="8"/>
    <n v="1"/>
    <s v="A - RES"/>
    <x v="2"/>
    <n v="1"/>
  </r>
  <r>
    <x v="1"/>
    <s v="CO"/>
    <s v="Colorado"/>
    <s v="Black Hills"/>
    <x v="4"/>
    <x v="6"/>
    <n v="1"/>
    <s v="A - RES"/>
    <x v="0"/>
    <n v="8550"/>
  </r>
  <r>
    <x v="1"/>
    <s v="CO"/>
    <s v="Colorado"/>
    <s v="Black Hills"/>
    <x v="4"/>
    <x v="7"/>
    <n v="1"/>
    <s v="A - RES"/>
    <x v="1"/>
    <n v="3046"/>
  </r>
  <r>
    <x v="1"/>
    <s v="CO"/>
    <s v="Colorado"/>
    <s v="Black Hills"/>
    <x v="4"/>
    <x v="2"/>
    <n v="1"/>
    <s v="C - C&amp;I"/>
    <x v="2"/>
    <n v="189"/>
  </r>
  <r>
    <x v="1"/>
    <s v="CO"/>
    <s v="Colorado"/>
    <s v="Black Hills"/>
    <x v="4"/>
    <x v="1"/>
    <n v="1"/>
    <s v="C - C&amp;I"/>
    <x v="1"/>
    <n v="2150654"/>
  </r>
  <r>
    <x v="1"/>
    <s v="CO"/>
    <s v="Colorado"/>
    <s v="Black Hills"/>
    <x v="4"/>
    <x v="0"/>
    <n v="1"/>
    <s v="C - C&amp;I"/>
    <x v="0"/>
    <n v="3659721"/>
  </r>
  <r>
    <x v="1"/>
    <s v="CO"/>
    <s v="Colorado"/>
    <s v="Black Hills"/>
    <x v="4"/>
    <x v="3"/>
    <n v="1"/>
    <s v="C - C&amp;I"/>
    <x v="2"/>
    <n v="12"/>
  </r>
  <r>
    <x v="1"/>
    <s v="CO"/>
    <s v="Colorado"/>
    <s v="Black Hills"/>
    <x v="4"/>
    <x v="5"/>
    <n v="1"/>
    <s v="C - C&amp;I"/>
    <x v="1"/>
    <n v="1721598"/>
  </r>
  <r>
    <x v="1"/>
    <s v="CO"/>
    <s v="Colorado"/>
    <s v="Black Hills"/>
    <x v="4"/>
    <x v="4"/>
    <n v="1"/>
    <s v="C - C&amp;I"/>
    <x v="0"/>
    <n v="950134"/>
  </r>
  <r>
    <x v="2"/>
    <s v="MA"/>
    <s v="Massachusetts"/>
    <s v="Ngrid"/>
    <x v="5"/>
    <x v="7"/>
    <n v="1"/>
    <s v="A - RES"/>
    <x v="1"/>
    <n v="1326659"/>
  </r>
  <r>
    <x v="2"/>
    <s v="MA"/>
    <s v="Massachusetts"/>
    <s v="Ngrid"/>
    <x v="5"/>
    <x v="8"/>
    <n v="1"/>
    <s v="A - RES"/>
    <x v="2"/>
    <n v="16086"/>
  </r>
  <r>
    <x v="2"/>
    <s v="MA"/>
    <s v="Massachusetts"/>
    <s v="Ngrid"/>
    <x v="5"/>
    <x v="6"/>
    <n v="1"/>
    <s v="A - RES"/>
    <x v="0"/>
    <n v="13503438"/>
  </r>
  <r>
    <x v="2"/>
    <s v="MA"/>
    <s v="Massachusetts"/>
    <s v="Ngrid"/>
    <x v="5"/>
    <x v="1"/>
    <n v="1"/>
    <s v="C - C&amp;I"/>
    <x v="1"/>
    <n v="39633504"/>
  </r>
  <r>
    <x v="2"/>
    <s v="MA"/>
    <s v="Massachusetts"/>
    <s v="Ngrid"/>
    <x v="5"/>
    <x v="0"/>
    <n v="1"/>
    <s v="C - C&amp;I"/>
    <x v="0"/>
    <n v="135289842"/>
  </r>
  <r>
    <x v="2"/>
    <s v="MA"/>
    <s v="Massachusetts"/>
    <s v="Ngrid"/>
    <x v="5"/>
    <x v="2"/>
    <n v="1"/>
    <s v="C - C&amp;I"/>
    <x v="2"/>
    <n v="9544"/>
  </r>
  <r>
    <x v="2"/>
    <s v="MA"/>
    <s v="Massachusetts"/>
    <s v="Ngrid"/>
    <x v="5"/>
    <x v="5"/>
    <n v="1"/>
    <s v="C - C&amp;I"/>
    <x v="1"/>
    <n v="11528556"/>
  </r>
  <r>
    <x v="2"/>
    <s v="MA"/>
    <s v="Massachusetts"/>
    <s v="Ngrid"/>
    <x v="5"/>
    <x v="4"/>
    <n v="1"/>
    <s v="C - C&amp;I"/>
    <x v="0"/>
    <n v="39937480"/>
  </r>
  <r>
    <x v="2"/>
    <s v="MA"/>
    <s v="Massachusetts"/>
    <s v="Ngrid"/>
    <x v="5"/>
    <x v="3"/>
    <n v="1"/>
    <s v="C - C&amp;I"/>
    <x v="2"/>
    <n v="2488"/>
  </r>
  <r>
    <x v="3"/>
    <s v="MN"/>
    <s v="Minnesota"/>
    <s v="CtPt"/>
    <x v="6"/>
    <x v="2"/>
    <n v="1"/>
    <s v="C - C&amp;I"/>
    <x v="2"/>
    <n v="477"/>
  </r>
  <r>
    <x v="3"/>
    <s v="MN"/>
    <s v="Minnesota"/>
    <s v="CtPt"/>
    <x v="6"/>
    <x v="0"/>
    <n v="1"/>
    <s v="C - C&amp;I"/>
    <x v="0"/>
    <n v="14467802"/>
  </r>
  <r>
    <x v="3"/>
    <s v="MN"/>
    <s v="Minnesota"/>
    <s v="CtPt"/>
    <x v="6"/>
    <x v="1"/>
    <n v="1"/>
    <s v="C - C&amp;I"/>
    <x v="1"/>
    <n v="9695950"/>
  </r>
  <r>
    <x v="3"/>
    <s v="MN"/>
    <s v="Minnesota"/>
    <s v="CtPt"/>
    <x v="6"/>
    <x v="5"/>
    <n v="1"/>
    <s v="C - C&amp;I"/>
    <x v="1"/>
    <n v="23932275"/>
  </r>
  <r>
    <x v="3"/>
    <s v="MN"/>
    <s v="Minnesota"/>
    <s v="CtPt"/>
    <x v="6"/>
    <x v="4"/>
    <n v="1"/>
    <s v="C - C&amp;I"/>
    <x v="0"/>
    <n v="10608382"/>
  </r>
  <r>
    <x v="3"/>
    <s v="MN"/>
    <s v="Minnesota"/>
    <s v="CtPt"/>
    <x v="6"/>
    <x v="3"/>
    <n v="1"/>
    <s v="C - C&amp;I"/>
    <x v="2"/>
    <n v="127"/>
  </r>
  <r>
    <x v="1"/>
    <s v="MA"/>
    <s v="Massachusetts"/>
    <s v="Keyspan-MA"/>
    <x v="7"/>
    <x v="8"/>
    <n v="1"/>
    <s v="A - RES"/>
    <x v="2"/>
    <n v="2912"/>
  </r>
  <r>
    <x v="1"/>
    <s v="MA"/>
    <s v="Massachusetts"/>
    <s v="Keyspan-MA"/>
    <x v="7"/>
    <x v="7"/>
    <n v="1"/>
    <s v="A - RES"/>
    <x v="1"/>
    <n v="240423"/>
  </r>
  <r>
    <x v="1"/>
    <s v="MA"/>
    <s v="Massachusetts"/>
    <s v="Keyspan-MA"/>
    <x v="7"/>
    <x v="6"/>
    <n v="1"/>
    <s v="A - RES"/>
    <x v="0"/>
    <n v="2070253"/>
  </r>
  <r>
    <x v="1"/>
    <s v="MA"/>
    <s v="Massachusetts"/>
    <s v="Keyspan-MA"/>
    <x v="7"/>
    <x v="2"/>
    <n v="1"/>
    <s v="C - C&amp;I"/>
    <x v="2"/>
    <n v="2070"/>
  </r>
  <r>
    <x v="1"/>
    <s v="MA"/>
    <s v="Massachusetts"/>
    <s v="Keyspan-MA"/>
    <x v="7"/>
    <x v="0"/>
    <n v="1"/>
    <s v="C - C&amp;I"/>
    <x v="0"/>
    <n v="14563135"/>
  </r>
  <r>
    <x v="1"/>
    <s v="MA"/>
    <s v="Massachusetts"/>
    <s v="Keyspan-MA"/>
    <x v="7"/>
    <x v="1"/>
    <n v="1"/>
    <s v="C - C&amp;I"/>
    <x v="1"/>
    <n v="3697044"/>
  </r>
  <r>
    <x v="1"/>
    <s v="MA"/>
    <s v="Massachusetts"/>
    <s v="Keyspan-MA"/>
    <x v="7"/>
    <x v="3"/>
    <n v="1"/>
    <s v="C - C&amp;I"/>
    <x v="2"/>
    <n v="734"/>
  </r>
  <r>
    <x v="1"/>
    <s v="MA"/>
    <s v="Massachusetts"/>
    <s v="Keyspan-MA"/>
    <x v="7"/>
    <x v="4"/>
    <n v="1"/>
    <s v="C - C&amp;I"/>
    <x v="0"/>
    <n v="7364533"/>
  </r>
  <r>
    <x v="1"/>
    <s v="MA"/>
    <s v="Massachusetts"/>
    <s v="Keyspan-MA"/>
    <x v="7"/>
    <x v="5"/>
    <n v="1"/>
    <s v="C - C&amp;I"/>
    <x v="1"/>
    <n v="2078558"/>
  </r>
  <r>
    <x v="4"/>
    <s v="CT"/>
    <s v="Connecticut"/>
    <s v="CNG"/>
    <x v="8"/>
    <x v="7"/>
    <n v="1"/>
    <s v="A - RES"/>
    <x v="1"/>
    <n v="587128"/>
  </r>
  <r>
    <x v="4"/>
    <s v="CT"/>
    <s v="Connecticut"/>
    <s v="CNG"/>
    <x v="8"/>
    <x v="8"/>
    <n v="1"/>
    <s v="A - RES"/>
    <x v="2"/>
    <n v="457"/>
  </r>
  <r>
    <x v="4"/>
    <s v="CT"/>
    <s v="Connecticut"/>
    <s v="CNG"/>
    <x v="8"/>
    <x v="6"/>
    <n v="1"/>
    <s v="A - RES"/>
    <x v="0"/>
    <n v="2640430"/>
  </r>
  <r>
    <x v="4"/>
    <s v="CT"/>
    <s v="Connecticut"/>
    <s v="CNG"/>
    <x v="8"/>
    <x v="2"/>
    <n v="1"/>
    <s v="C - C&amp;I"/>
    <x v="2"/>
    <n v="568"/>
  </r>
  <r>
    <x v="4"/>
    <s v="CT"/>
    <s v="Connecticut"/>
    <s v="CNG"/>
    <x v="8"/>
    <x v="0"/>
    <n v="1"/>
    <s v="C - C&amp;I"/>
    <x v="0"/>
    <n v="8443361"/>
  </r>
  <r>
    <x v="4"/>
    <s v="CT"/>
    <s v="Connecticut"/>
    <s v="CNG"/>
    <x v="8"/>
    <x v="1"/>
    <n v="1"/>
    <s v="C - C&amp;I"/>
    <x v="1"/>
    <n v="2793644"/>
  </r>
  <r>
    <x v="4"/>
    <s v="CT"/>
    <s v="Connecticut"/>
    <s v="CNG"/>
    <x v="8"/>
    <x v="4"/>
    <n v="1"/>
    <s v="C - C&amp;I"/>
    <x v="0"/>
    <n v="1682725"/>
  </r>
  <r>
    <x v="4"/>
    <s v="CT"/>
    <s v="Connecticut"/>
    <s v="CNG"/>
    <x v="8"/>
    <x v="3"/>
    <n v="1"/>
    <s v="C - C&amp;I"/>
    <x v="2"/>
    <n v="69"/>
  </r>
  <r>
    <x v="4"/>
    <s v="CT"/>
    <s v="Connecticut"/>
    <s v="CNG"/>
    <x v="8"/>
    <x v="5"/>
    <n v="1"/>
    <s v="C - C&amp;I"/>
    <x v="1"/>
    <n v="545742"/>
  </r>
  <r>
    <x v="5"/>
    <s v="NY"/>
    <s v="New York"/>
    <s v="ConEd"/>
    <x v="9"/>
    <x v="7"/>
    <n v="1"/>
    <s v="A - RES"/>
    <x v="1"/>
    <n v="47832569"/>
  </r>
  <r>
    <x v="5"/>
    <s v="NY"/>
    <s v="New York"/>
    <s v="ConEd"/>
    <x v="9"/>
    <x v="6"/>
    <n v="1"/>
    <s v="A - RES"/>
    <x v="0"/>
    <n v="445840802"/>
  </r>
  <r>
    <x v="5"/>
    <s v="NY"/>
    <s v="New York"/>
    <s v="ConEd"/>
    <x v="9"/>
    <x v="8"/>
    <n v="1"/>
    <s v="A - RES"/>
    <x v="2"/>
    <n v="76692"/>
  </r>
  <r>
    <x v="5"/>
    <s v="NY"/>
    <s v="New York"/>
    <s v="ConEd"/>
    <x v="9"/>
    <x v="2"/>
    <n v="1"/>
    <s v="C - C&amp;I"/>
    <x v="2"/>
    <n v="28684"/>
  </r>
  <r>
    <x v="5"/>
    <s v="NY"/>
    <s v="New York"/>
    <s v="ConEd"/>
    <x v="9"/>
    <x v="1"/>
    <n v="1"/>
    <s v="C - C&amp;I"/>
    <x v="1"/>
    <n v="69339539"/>
  </r>
  <r>
    <x v="5"/>
    <s v="NY"/>
    <s v="New York"/>
    <s v="ConEd"/>
    <x v="9"/>
    <x v="0"/>
    <n v="1"/>
    <s v="C - C&amp;I"/>
    <x v="0"/>
    <n v="158216812"/>
  </r>
  <r>
    <x v="5"/>
    <s v="NY"/>
    <s v="New York"/>
    <s v="ConEd"/>
    <x v="9"/>
    <x v="3"/>
    <n v="1"/>
    <s v="C - C&amp;I"/>
    <x v="2"/>
    <n v="33"/>
  </r>
  <r>
    <x v="5"/>
    <s v="NY"/>
    <s v="New York"/>
    <s v="ConEd"/>
    <x v="9"/>
    <x v="4"/>
    <n v="1"/>
    <s v="C - C&amp;I"/>
    <x v="0"/>
    <n v="3517642"/>
  </r>
  <r>
    <x v="5"/>
    <s v="NY"/>
    <s v="New York"/>
    <s v="ConEd"/>
    <x v="9"/>
    <x v="5"/>
    <n v="1"/>
    <s v="C - C&amp;I"/>
    <x v="1"/>
    <n v="554928"/>
  </r>
  <r>
    <x v="6"/>
    <s v="MI"/>
    <s v="Michigan"/>
    <s v="CMS"/>
    <x v="10"/>
    <x v="6"/>
    <n v="1"/>
    <s v="A - RES"/>
    <x v="0"/>
    <n v="2669555"/>
  </r>
  <r>
    <x v="6"/>
    <s v="MI"/>
    <s v="Michigan"/>
    <s v="CMS"/>
    <x v="10"/>
    <x v="8"/>
    <n v="1"/>
    <s v="A - RES"/>
    <x v="2"/>
    <n v="202"/>
  </r>
  <r>
    <x v="6"/>
    <s v="MI"/>
    <s v="Michigan"/>
    <s v="CMS"/>
    <x v="10"/>
    <x v="7"/>
    <n v="1"/>
    <s v="A - RES"/>
    <x v="1"/>
    <n v="1102155"/>
  </r>
  <r>
    <x v="6"/>
    <s v="MI"/>
    <s v="Michigan"/>
    <s v="CMS"/>
    <x v="10"/>
    <x v="1"/>
    <n v="1"/>
    <s v="C - C&amp;I"/>
    <x v="1"/>
    <n v="25682332"/>
  </r>
  <r>
    <x v="6"/>
    <s v="MI"/>
    <s v="Michigan"/>
    <s v="CMS"/>
    <x v="10"/>
    <x v="0"/>
    <n v="1"/>
    <s v="C - C&amp;I"/>
    <x v="0"/>
    <n v="42458328"/>
  </r>
  <r>
    <x v="6"/>
    <s v="MI"/>
    <s v="Michigan"/>
    <s v="CMS"/>
    <x v="10"/>
    <x v="2"/>
    <n v="1"/>
    <s v="C - C&amp;I"/>
    <x v="2"/>
    <n v="2722"/>
  </r>
  <r>
    <x v="6"/>
    <s v="MI"/>
    <s v="Michigan"/>
    <s v="CMS"/>
    <x v="10"/>
    <x v="3"/>
    <n v="1"/>
    <s v="C - C&amp;I"/>
    <x v="2"/>
    <n v="534"/>
  </r>
  <r>
    <x v="6"/>
    <s v="MI"/>
    <s v="Michigan"/>
    <s v="CMS"/>
    <x v="10"/>
    <x v="5"/>
    <n v="1"/>
    <s v="C - C&amp;I"/>
    <x v="1"/>
    <n v="49086744"/>
  </r>
  <r>
    <x v="6"/>
    <s v="MI"/>
    <s v="Michigan"/>
    <s v="CMS"/>
    <x v="10"/>
    <x v="4"/>
    <n v="1"/>
    <s v="C - C&amp;I"/>
    <x v="0"/>
    <n v="57470439"/>
  </r>
  <r>
    <x v="7"/>
    <s v="MI"/>
    <s v="Michigan"/>
    <s v="DTE"/>
    <x v="11"/>
    <x v="7"/>
    <n v="1"/>
    <s v="A - RES"/>
    <x v="1"/>
    <n v="10673826"/>
  </r>
  <r>
    <x v="7"/>
    <s v="MI"/>
    <s v="Michigan"/>
    <s v="DTE"/>
    <x v="11"/>
    <x v="8"/>
    <n v="1"/>
    <s v="A - RES"/>
    <x v="2"/>
    <n v="108189"/>
  </r>
  <r>
    <x v="7"/>
    <s v="MI"/>
    <s v="Michigan"/>
    <s v="DTE"/>
    <x v="11"/>
    <x v="6"/>
    <n v="1"/>
    <s v="A - RES"/>
    <x v="0"/>
    <n v="58868225"/>
  </r>
  <r>
    <x v="7"/>
    <s v="MI"/>
    <s v="Michigan"/>
    <s v="DTE"/>
    <x v="11"/>
    <x v="1"/>
    <n v="1"/>
    <s v="C - C&amp;I"/>
    <x v="1"/>
    <n v="38388972"/>
  </r>
  <r>
    <x v="7"/>
    <s v="MI"/>
    <s v="Michigan"/>
    <s v="DTE"/>
    <x v="11"/>
    <x v="2"/>
    <n v="1"/>
    <s v="C - C&amp;I"/>
    <x v="2"/>
    <n v="16047"/>
  </r>
  <r>
    <x v="7"/>
    <s v="MI"/>
    <s v="Michigan"/>
    <s v="DTE"/>
    <x v="11"/>
    <x v="0"/>
    <n v="1"/>
    <s v="C - C&amp;I"/>
    <x v="0"/>
    <n v="75406311"/>
  </r>
  <r>
    <x v="7"/>
    <s v="MI"/>
    <s v="Michigan"/>
    <s v="DTE"/>
    <x v="11"/>
    <x v="5"/>
    <n v="1"/>
    <s v="C - C&amp;I"/>
    <x v="1"/>
    <n v="59979897"/>
  </r>
  <r>
    <x v="7"/>
    <s v="MI"/>
    <s v="Michigan"/>
    <s v="DTE"/>
    <x v="11"/>
    <x v="4"/>
    <n v="1"/>
    <s v="C - C&amp;I"/>
    <x v="0"/>
    <n v="55047062"/>
  </r>
  <r>
    <x v="7"/>
    <s v="MI"/>
    <s v="Michigan"/>
    <s v="DTE"/>
    <x v="11"/>
    <x v="3"/>
    <n v="1"/>
    <s v="C - C&amp;I"/>
    <x v="2"/>
    <n v="419"/>
  </r>
  <r>
    <x v="1"/>
    <s v="MA"/>
    <s v="Massachusetts"/>
    <s v="Eversource-MA"/>
    <x v="12"/>
    <x v="8"/>
    <n v="1"/>
    <s v="A - RES"/>
    <x v="2"/>
    <n v="285"/>
  </r>
  <r>
    <x v="1"/>
    <s v="MA"/>
    <s v="Massachusetts"/>
    <s v="Eversource-MA"/>
    <x v="12"/>
    <x v="6"/>
    <n v="1"/>
    <s v="A - RES"/>
    <x v="0"/>
    <n v="327330"/>
  </r>
  <r>
    <x v="1"/>
    <s v="MA"/>
    <s v="Massachusetts"/>
    <s v="Eversource-MA"/>
    <x v="12"/>
    <x v="7"/>
    <n v="1"/>
    <s v="A - RES"/>
    <x v="1"/>
    <n v="40305"/>
  </r>
  <r>
    <x v="1"/>
    <s v="MA"/>
    <s v="Massachusetts"/>
    <s v="Eversource-MA"/>
    <x v="12"/>
    <x v="2"/>
    <n v="1"/>
    <s v="C - C&amp;I"/>
    <x v="2"/>
    <n v="4557"/>
  </r>
  <r>
    <x v="1"/>
    <s v="MA"/>
    <s v="Massachusetts"/>
    <s v="Eversource-MA"/>
    <x v="12"/>
    <x v="0"/>
    <n v="1"/>
    <s v="C - C&amp;I"/>
    <x v="0"/>
    <n v="15278535"/>
  </r>
  <r>
    <x v="1"/>
    <s v="MA"/>
    <s v="Massachusetts"/>
    <s v="Eversource-MA"/>
    <x v="12"/>
    <x v="1"/>
    <n v="1"/>
    <s v="C - C&amp;I"/>
    <x v="1"/>
    <n v="3532023"/>
  </r>
  <r>
    <x v="1"/>
    <s v="MA"/>
    <s v="Massachusetts"/>
    <s v="Eversource-MA"/>
    <x v="12"/>
    <x v="3"/>
    <n v="1"/>
    <s v="C - C&amp;I"/>
    <x v="2"/>
    <n v="653"/>
  </r>
  <r>
    <x v="1"/>
    <s v="MA"/>
    <s v="Massachusetts"/>
    <s v="Eversource-MA"/>
    <x v="12"/>
    <x v="5"/>
    <n v="1"/>
    <s v="C - C&amp;I"/>
    <x v="1"/>
    <n v="11895656"/>
  </r>
  <r>
    <x v="1"/>
    <s v="MA"/>
    <s v="Massachusetts"/>
    <s v="Eversource-MA"/>
    <x v="12"/>
    <x v="4"/>
    <n v="1"/>
    <s v="C - C&amp;I"/>
    <x v="0"/>
    <n v="31707582"/>
  </r>
  <r>
    <x v="8"/>
    <s v="NY"/>
    <s v="New York"/>
    <s v="Ngrid"/>
    <x v="13"/>
    <x v="7"/>
    <n v="1"/>
    <s v="A - RES"/>
    <x v="1"/>
    <n v="2333109"/>
  </r>
  <r>
    <x v="8"/>
    <s v="NY"/>
    <s v="New York"/>
    <s v="Ngrid"/>
    <x v="13"/>
    <x v="6"/>
    <n v="1"/>
    <s v="A - RES"/>
    <x v="0"/>
    <n v="19057593"/>
  </r>
  <r>
    <x v="8"/>
    <s v="NY"/>
    <s v="New York"/>
    <s v="Ngrid"/>
    <x v="13"/>
    <x v="8"/>
    <n v="1"/>
    <s v="A - RES"/>
    <x v="2"/>
    <n v="18814"/>
  </r>
  <r>
    <x v="8"/>
    <s v="NY"/>
    <s v="New York"/>
    <s v="Ngrid"/>
    <x v="13"/>
    <x v="0"/>
    <n v="1"/>
    <s v="C - C&amp;I"/>
    <x v="0"/>
    <n v="81313121"/>
  </r>
  <r>
    <x v="8"/>
    <s v="NY"/>
    <s v="New York"/>
    <s v="Ngrid"/>
    <x v="13"/>
    <x v="1"/>
    <n v="1"/>
    <s v="C - C&amp;I"/>
    <x v="1"/>
    <n v="19010093"/>
  </r>
  <r>
    <x v="8"/>
    <s v="NY"/>
    <s v="New York"/>
    <s v="Ngrid"/>
    <x v="13"/>
    <x v="2"/>
    <n v="1"/>
    <s v="C - C&amp;I"/>
    <x v="2"/>
    <n v="12023"/>
  </r>
  <r>
    <x v="9"/>
    <s v="WI"/>
    <s v="Wisconsin"/>
    <s v="Madison Gas"/>
    <x v="14"/>
    <x v="0"/>
    <n v="1"/>
    <s v="C - C&amp;I"/>
    <x v="0"/>
    <n v="4108182"/>
  </r>
  <r>
    <x v="9"/>
    <s v="WI"/>
    <s v="Wisconsin"/>
    <s v="Madison Gas"/>
    <x v="14"/>
    <x v="1"/>
    <n v="1"/>
    <s v="C - C&amp;I"/>
    <x v="1"/>
    <n v="5096991"/>
  </r>
  <r>
    <x v="9"/>
    <s v="WI"/>
    <s v="Wisconsin"/>
    <s v="Madison Gas"/>
    <x v="14"/>
    <x v="2"/>
    <n v="1"/>
    <s v="C - C&amp;I"/>
    <x v="2"/>
    <n v="141"/>
  </r>
  <r>
    <x v="9"/>
    <s v="WI"/>
    <s v="Wisconsin"/>
    <s v="Madison Gas"/>
    <x v="14"/>
    <x v="4"/>
    <n v="1"/>
    <s v="C - C&amp;I"/>
    <x v="0"/>
    <n v="1386877"/>
  </r>
  <r>
    <x v="9"/>
    <s v="WI"/>
    <s v="Wisconsin"/>
    <s v="Madison Gas"/>
    <x v="14"/>
    <x v="3"/>
    <n v="1"/>
    <s v="C - C&amp;I"/>
    <x v="2"/>
    <n v="20"/>
  </r>
  <r>
    <x v="9"/>
    <s v="WI"/>
    <s v="Wisconsin"/>
    <s v="Madison Gas"/>
    <x v="14"/>
    <x v="5"/>
    <n v="1"/>
    <s v="C - C&amp;I"/>
    <x v="1"/>
    <n v="1328917"/>
  </r>
  <r>
    <x v="1"/>
    <s v="RI"/>
    <s v="Rhode Island"/>
    <s v="RI Energy"/>
    <x v="15"/>
    <x v="2"/>
    <n v="1"/>
    <s v="C - C&amp;I"/>
    <x v="2"/>
    <n v="3069"/>
  </r>
  <r>
    <x v="1"/>
    <s v="RI"/>
    <s v="Rhode Island"/>
    <s v="RI Energy"/>
    <x v="15"/>
    <x v="1"/>
    <n v="1"/>
    <s v="C - C&amp;I"/>
    <x v="1"/>
    <n v="5374364"/>
  </r>
  <r>
    <x v="1"/>
    <s v="RI"/>
    <s v="Rhode Island"/>
    <s v="RI Energy"/>
    <x v="15"/>
    <x v="0"/>
    <n v="1"/>
    <s v="C - C&amp;I"/>
    <x v="0"/>
    <n v="28759876"/>
  </r>
  <r>
    <x v="1"/>
    <s v="RI"/>
    <s v="Rhode Island"/>
    <s v="RI Energy"/>
    <x v="15"/>
    <x v="3"/>
    <n v="1"/>
    <s v="C - C&amp;I"/>
    <x v="2"/>
    <n v="214"/>
  </r>
  <r>
    <x v="1"/>
    <s v="RI"/>
    <s v="Rhode Island"/>
    <s v="RI Energy"/>
    <x v="15"/>
    <x v="4"/>
    <n v="1"/>
    <s v="C - C&amp;I"/>
    <x v="0"/>
    <n v="19536362"/>
  </r>
  <r>
    <x v="1"/>
    <s v="RI"/>
    <s v="Rhode Island"/>
    <s v="RI Energy"/>
    <x v="15"/>
    <x v="5"/>
    <n v="1"/>
    <s v="C - C&amp;I"/>
    <x v="1"/>
    <n v="8138539"/>
  </r>
  <r>
    <x v="1"/>
    <s v="NM"/>
    <s v="New Mexico"/>
    <s v="NMGCo"/>
    <x v="16"/>
    <x v="7"/>
    <n v="1"/>
    <s v="A - RES"/>
    <x v="1"/>
    <n v="9180"/>
  </r>
  <r>
    <x v="1"/>
    <s v="NM"/>
    <s v="New Mexico"/>
    <s v="NMGCo"/>
    <x v="16"/>
    <x v="6"/>
    <n v="1"/>
    <s v="A - RES"/>
    <x v="0"/>
    <n v="37790"/>
  </r>
  <r>
    <x v="1"/>
    <s v="NM"/>
    <s v="New Mexico"/>
    <s v="NMGCo"/>
    <x v="16"/>
    <x v="8"/>
    <n v="1"/>
    <s v="A - RES"/>
    <x v="2"/>
    <n v="106"/>
  </r>
  <r>
    <x v="1"/>
    <s v="NM"/>
    <s v="New Mexico"/>
    <s v="NMGCo"/>
    <x v="16"/>
    <x v="0"/>
    <n v="1"/>
    <s v="C - C&amp;I"/>
    <x v="0"/>
    <n v="14075241"/>
  </r>
  <r>
    <x v="1"/>
    <s v="NM"/>
    <s v="New Mexico"/>
    <s v="NMGCo"/>
    <x v="16"/>
    <x v="2"/>
    <n v="1"/>
    <s v="C - C&amp;I"/>
    <x v="2"/>
    <n v="3645"/>
  </r>
  <r>
    <x v="1"/>
    <s v="NM"/>
    <s v="New Mexico"/>
    <s v="NMGCo"/>
    <x v="16"/>
    <x v="1"/>
    <n v="1"/>
    <s v="C - C&amp;I"/>
    <x v="1"/>
    <n v="11571227"/>
  </r>
  <r>
    <x v="1"/>
    <s v="NM"/>
    <s v="New Mexico"/>
    <s v="NMGCo"/>
    <x v="16"/>
    <x v="3"/>
    <n v="1"/>
    <s v="C - C&amp;I"/>
    <x v="2"/>
    <n v="37"/>
  </r>
  <r>
    <x v="1"/>
    <s v="NM"/>
    <s v="New Mexico"/>
    <s v="NMGCo"/>
    <x v="16"/>
    <x v="4"/>
    <n v="1"/>
    <s v="C - C&amp;I"/>
    <x v="0"/>
    <n v="2430818"/>
  </r>
  <r>
    <x v="1"/>
    <s v="NM"/>
    <s v="New Mexico"/>
    <s v="NMGCo"/>
    <x v="16"/>
    <x v="5"/>
    <n v="1"/>
    <s v="C - C&amp;I"/>
    <x v="1"/>
    <n v="10402967"/>
  </r>
  <r>
    <x v="8"/>
    <s v="NY"/>
    <s v="New York"/>
    <s v="Ngrid"/>
    <x v="13"/>
    <x v="6"/>
    <n v="1"/>
    <s v="A - RES"/>
    <x v="0"/>
    <n v="32697616"/>
  </r>
  <r>
    <x v="8"/>
    <s v="NY"/>
    <s v="New York"/>
    <s v="Ngrid"/>
    <x v="13"/>
    <x v="7"/>
    <n v="1"/>
    <s v="A - RES"/>
    <x v="1"/>
    <n v="6210025"/>
  </r>
  <r>
    <x v="8"/>
    <s v="NY"/>
    <s v="New York"/>
    <s v="Ngrid"/>
    <x v="13"/>
    <x v="8"/>
    <n v="1"/>
    <s v="A - RES"/>
    <x v="2"/>
    <n v="61437"/>
  </r>
  <r>
    <x v="8"/>
    <s v="NY"/>
    <s v="New York"/>
    <s v="Ngrid"/>
    <x v="13"/>
    <x v="1"/>
    <n v="1"/>
    <s v="C - C&amp;I"/>
    <x v="1"/>
    <n v="22500798"/>
  </r>
  <r>
    <x v="8"/>
    <s v="NY"/>
    <s v="New York"/>
    <s v="Ngrid"/>
    <x v="13"/>
    <x v="0"/>
    <n v="1"/>
    <s v="C - C&amp;I"/>
    <x v="0"/>
    <n v="43356969"/>
  </r>
  <r>
    <x v="8"/>
    <s v="NY"/>
    <s v="New York"/>
    <s v="Ngrid"/>
    <x v="13"/>
    <x v="2"/>
    <n v="1"/>
    <s v="C - C&amp;I"/>
    <x v="2"/>
    <n v="14242"/>
  </r>
  <r>
    <x v="8"/>
    <s v="NY"/>
    <s v="New York"/>
    <s v="Ngrid"/>
    <x v="13"/>
    <x v="4"/>
    <n v="1"/>
    <s v="C - C&amp;I"/>
    <x v="0"/>
    <n v="23583170"/>
  </r>
  <r>
    <x v="8"/>
    <s v="NY"/>
    <s v="New York"/>
    <s v="Ngrid"/>
    <x v="13"/>
    <x v="5"/>
    <n v="1"/>
    <s v="C - C&amp;I"/>
    <x v="1"/>
    <n v="24650263"/>
  </r>
  <r>
    <x v="8"/>
    <s v="NY"/>
    <s v="New York"/>
    <s v="Ngrid"/>
    <x v="13"/>
    <x v="3"/>
    <n v="1"/>
    <s v="C - C&amp;I"/>
    <x v="2"/>
    <n v="145"/>
  </r>
  <r>
    <x v="10"/>
    <s v="IL"/>
    <s v="Illinois"/>
    <s v="Nicor"/>
    <x v="17"/>
    <x v="8"/>
    <n v="1"/>
    <s v="A - RES"/>
    <x v="2"/>
    <n v="182480"/>
  </r>
  <r>
    <x v="10"/>
    <s v="IL"/>
    <s v="Illinois"/>
    <s v="Nicor"/>
    <x v="17"/>
    <x v="7"/>
    <n v="1"/>
    <s v="A - RES"/>
    <x v="1"/>
    <n v="23502135"/>
  </r>
  <r>
    <x v="10"/>
    <s v="IL"/>
    <s v="Illinois"/>
    <s v="Nicor"/>
    <x v="17"/>
    <x v="6"/>
    <n v="1"/>
    <s v="A - RES"/>
    <x v="0"/>
    <n v="76106892"/>
  </r>
  <r>
    <x v="10"/>
    <s v="IL"/>
    <s v="Illinois"/>
    <s v="Nicor"/>
    <x v="17"/>
    <x v="1"/>
    <n v="1"/>
    <s v="C - C&amp;I"/>
    <x v="1"/>
    <n v="73123485"/>
  </r>
  <r>
    <x v="10"/>
    <s v="IL"/>
    <s v="Illinois"/>
    <s v="Nicor"/>
    <x v="17"/>
    <x v="0"/>
    <n v="1"/>
    <s v="C - C&amp;I"/>
    <x v="0"/>
    <n v="96138065"/>
  </r>
  <r>
    <x v="10"/>
    <s v="IL"/>
    <s v="Illinois"/>
    <s v="Nicor"/>
    <x v="17"/>
    <x v="2"/>
    <n v="1"/>
    <s v="C - C&amp;I"/>
    <x v="2"/>
    <n v="39526"/>
  </r>
  <r>
    <x v="10"/>
    <s v="IL"/>
    <s v="Illinois"/>
    <s v="Nicor"/>
    <x v="17"/>
    <x v="4"/>
    <n v="1"/>
    <s v="C - C&amp;I"/>
    <x v="0"/>
    <n v="50166922"/>
  </r>
  <r>
    <x v="10"/>
    <s v="IL"/>
    <s v="Illinois"/>
    <s v="Nicor"/>
    <x v="17"/>
    <x v="5"/>
    <n v="1"/>
    <s v="C - C&amp;I"/>
    <x v="1"/>
    <n v="107882333"/>
  </r>
  <r>
    <x v="10"/>
    <s v="IL"/>
    <s v="Illinois"/>
    <s v="Nicor"/>
    <x v="17"/>
    <x v="3"/>
    <n v="1"/>
    <s v="C - C&amp;I"/>
    <x v="2"/>
    <n v="5654"/>
  </r>
  <r>
    <x v="1"/>
    <s v="IL"/>
    <s v="Illinois"/>
    <s v="North Shore"/>
    <x v="18"/>
    <x v="6"/>
    <n v="1"/>
    <s v="A - RES"/>
    <x v="0"/>
    <n v="7000563"/>
  </r>
  <r>
    <x v="1"/>
    <s v="IL"/>
    <s v="Illinois"/>
    <s v="North Shore"/>
    <x v="18"/>
    <x v="7"/>
    <n v="1"/>
    <s v="A - RES"/>
    <x v="1"/>
    <n v="1458762"/>
  </r>
  <r>
    <x v="1"/>
    <s v="IL"/>
    <s v="Illinois"/>
    <s v="North Shore"/>
    <x v="18"/>
    <x v="8"/>
    <n v="1"/>
    <s v="A - RES"/>
    <x v="2"/>
    <n v="10401"/>
  </r>
  <r>
    <x v="1"/>
    <s v="IL"/>
    <s v="Illinois"/>
    <s v="North Shore"/>
    <x v="18"/>
    <x v="2"/>
    <n v="1"/>
    <s v="C - C&amp;I"/>
    <x v="2"/>
    <n v="2841"/>
  </r>
  <r>
    <x v="1"/>
    <s v="IL"/>
    <s v="Illinois"/>
    <s v="North Shore"/>
    <x v="18"/>
    <x v="1"/>
    <n v="1"/>
    <s v="C - C&amp;I"/>
    <x v="1"/>
    <n v="6092622"/>
  </r>
  <r>
    <x v="1"/>
    <s v="IL"/>
    <s v="Illinois"/>
    <s v="North Shore"/>
    <x v="18"/>
    <x v="0"/>
    <n v="1"/>
    <s v="C - C&amp;I"/>
    <x v="0"/>
    <n v="14960362"/>
  </r>
  <r>
    <x v="1"/>
    <s v="IL"/>
    <s v="Illinois"/>
    <s v="North Shore"/>
    <x v="18"/>
    <x v="4"/>
    <n v="1"/>
    <s v="C - C&amp;I"/>
    <x v="0"/>
    <n v="7879843"/>
  </r>
  <r>
    <x v="1"/>
    <s v="IL"/>
    <s v="Illinois"/>
    <s v="North Shore"/>
    <x v="18"/>
    <x v="3"/>
    <n v="1"/>
    <s v="C - C&amp;I"/>
    <x v="2"/>
    <n v="282"/>
  </r>
  <r>
    <x v="1"/>
    <s v="IL"/>
    <s v="Illinois"/>
    <s v="North Shore"/>
    <x v="18"/>
    <x v="5"/>
    <n v="1"/>
    <s v="C - C&amp;I"/>
    <x v="1"/>
    <n v="4971363"/>
  </r>
  <r>
    <x v="9"/>
    <s v="WI"/>
    <s v="Wisconsin"/>
    <s v="Northern NG"/>
    <x v="14"/>
    <x v="3"/>
    <n v="1"/>
    <s v="C - C&amp;I"/>
    <x v="2"/>
    <n v="2"/>
  </r>
  <r>
    <x v="9"/>
    <s v="WI"/>
    <s v="Wisconsin"/>
    <s v="Northern NG"/>
    <x v="14"/>
    <x v="5"/>
    <n v="1"/>
    <s v="C - C&amp;I"/>
    <x v="1"/>
    <n v="1819914"/>
  </r>
  <r>
    <x v="11"/>
    <s v="MN"/>
    <s v="Minnesota"/>
    <s v="Xcel"/>
    <x v="19"/>
    <x v="5"/>
    <n v="1"/>
    <s v="C - C&amp;I"/>
    <x v="1"/>
    <n v="12849790"/>
  </r>
  <r>
    <x v="11"/>
    <s v="MN"/>
    <s v="Minnesota"/>
    <s v="Xcel"/>
    <x v="19"/>
    <x v="3"/>
    <n v="1"/>
    <s v="C - C&amp;I"/>
    <x v="2"/>
    <n v="26"/>
  </r>
  <r>
    <x v="11"/>
    <s v="MN"/>
    <s v="Minnesota"/>
    <s v="Xcel"/>
    <x v="19"/>
    <x v="4"/>
    <n v="1"/>
    <s v="C - C&amp;I"/>
    <x v="0"/>
    <n v="5603940"/>
  </r>
  <r>
    <x v="9"/>
    <s v="WI"/>
    <s v="Wisconsin"/>
    <s v="Xcel-WI"/>
    <x v="14"/>
    <x v="3"/>
    <n v="1"/>
    <s v="C - C&amp;I"/>
    <x v="2"/>
    <n v="44"/>
  </r>
  <r>
    <x v="9"/>
    <s v="WI"/>
    <s v="Wisconsin"/>
    <s v="Xcel-WI"/>
    <x v="14"/>
    <x v="5"/>
    <n v="1"/>
    <s v="C - C&amp;I"/>
    <x v="1"/>
    <n v="5096277"/>
  </r>
  <r>
    <x v="9"/>
    <s v="WI"/>
    <s v="Wisconsin"/>
    <s v="Xcel-WI"/>
    <x v="14"/>
    <x v="4"/>
    <n v="1"/>
    <s v="C - C&amp;I"/>
    <x v="0"/>
    <n v="4221899"/>
  </r>
  <r>
    <x v="12"/>
    <s v="OR"/>
    <s v="Oregon"/>
    <s v="NW Natural"/>
    <x v="20"/>
    <x v="1"/>
    <n v="1"/>
    <s v="C - C&amp;I"/>
    <x v="1"/>
    <n v="851558"/>
  </r>
  <r>
    <x v="12"/>
    <s v="OR"/>
    <s v="Oregon"/>
    <s v="NW Natural"/>
    <x v="20"/>
    <x v="2"/>
    <n v="1"/>
    <s v="C - C&amp;I"/>
    <x v="2"/>
    <n v="88"/>
  </r>
  <r>
    <x v="12"/>
    <s v="OR"/>
    <s v="Oregon"/>
    <s v="NW Natural"/>
    <x v="20"/>
    <x v="0"/>
    <n v="1"/>
    <s v="C - C&amp;I"/>
    <x v="0"/>
    <n v="1986029"/>
  </r>
  <r>
    <x v="12"/>
    <s v="OR"/>
    <s v="Oregon"/>
    <s v="NW Natural"/>
    <x v="20"/>
    <x v="5"/>
    <n v="1"/>
    <s v="C - C&amp;I"/>
    <x v="1"/>
    <n v="34040048"/>
  </r>
  <r>
    <x v="12"/>
    <s v="OR"/>
    <s v="Oregon"/>
    <s v="NW Natural"/>
    <x v="20"/>
    <x v="3"/>
    <n v="1"/>
    <s v="C - C&amp;I"/>
    <x v="2"/>
    <n v="200"/>
  </r>
  <r>
    <x v="12"/>
    <s v="OR"/>
    <s v="Oregon"/>
    <s v="NW Natural"/>
    <x v="20"/>
    <x v="4"/>
    <n v="1"/>
    <s v="C - C&amp;I"/>
    <x v="0"/>
    <n v="15725073"/>
  </r>
  <r>
    <x v="13"/>
    <s v="MA"/>
    <s v="Massachusetts"/>
    <s v="Eversource"/>
    <x v="21"/>
    <x v="7"/>
    <n v="1"/>
    <s v="A - RES"/>
    <x v="1"/>
    <n v="334137"/>
  </r>
  <r>
    <x v="13"/>
    <s v="MA"/>
    <s v="Massachusetts"/>
    <s v="Eversource"/>
    <x v="21"/>
    <x v="6"/>
    <n v="1"/>
    <s v="A - RES"/>
    <x v="0"/>
    <n v="3039325"/>
  </r>
  <r>
    <x v="13"/>
    <s v="MA"/>
    <s v="Massachusetts"/>
    <s v="Eversource"/>
    <x v="21"/>
    <x v="8"/>
    <n v="1"/>
    <s v="A - RES"/>
    <x v="2"/>
    <n v="3890"/>
  </r>
  <r>
    <x v="13"/>
    <s v="MA"/>
    <s v="Massachusetts"/>
    <s v="Eversource"/>
    <x v="21"/>
    <x v="2"/>
    <n v="1"/>
    <s v="C - C&amp;I"/>
    <x v="2"/>
    <n v="4299"/>
  </r>
  <r>
    <x v="13"/>
    <s v="MA"/>
    <s v="Massachusetts"/>
    <s v="Eversource"/>
    <x v="21"/>
    <x v="0"/>
    <n v="1"/>
    <s v="C - C&amp;I"/>
    <x v="0"/>
    <n v="66523998"/>
  </r>
  <r>
    <x v="13"/>
    <s v="MA"/>
    <s v="Massachusetts"/>
    <s v="Eversource"/>
    <x v="21"/>
    <x v="1"/>
    <n v="1"/>
    <s v="C - C&amp;I"/>
    <x v="1"/>
    <n v="14791329"/>
  </r>
  <r>
    <x v="13"/>
    <s v="MA"/>
    <s v="Massachusetts"/>
    <s v="Eversource"/>
    <x v="21"/>
    <x v="4"/>
    <n v="1"/>
    <s v="C - C&amp;I"/>
    <x v="0"/>
    <n v="10741785"/>
  </r>
  <r>
    <x v="13"/>
    <s v="MA"/>
    <s v="Massachusetts"/>
    <s v="Eversource"/>
    <x v="21"/>
    <x v="5"/>
    <n v="1"/>
    <s v="C - C&amp;I"/>
    <x v="1"/>
    <n v="4175371"/>
  </r>
  <r>
    <x v="13"/>
    <s v="MA"/>
    <s v="Massachusetts"/>
    <s v="Eversource"/>
    <x v="21"/>
    <x v="3"/>
    <n v="1"/>
    <s v="C - C&amp;I"/>
    <x v="2"/>
    <n v="201"/>
  </r>
  <r>
    <x v="1"/>
    <s v="CA"/>
    <s v="California"/>
    <s v="PG&amp;E"/>
    <x v="22"/>
    <x v="8"/>
    <n v="1"/>
    <s v="A - RES"/>
    <x v="2"/>
    <n v="362606"/>
  </r>
  <r>
    <x v="1"/>
    <s v="CA"/>
    <s v="California"/>
    <s v="PG&amp;E"/>
    <x v="22"/>
    <x v="7"/>
    <n v="1"/>
    <s v="A - RES"/>
    <x v="1"/>
    <n v="16786819"/>
  </r>
  <r>
    <x v="1"/>
    <s v="CA"/>
    <s v="California"/>
    <s v="PG&amp;E"/>
    <x v="22"/>
    <x v="6"/>
    <n v="1"/>
    <s v="A - RES"/>
    <x v="0"/>
    <n v="202312895"/>
  </r>
  <r>
    <x v="1"/>
    <s v="CA"/>
    <s v="California"/>
    <s v="PG&amp;E"/>
    <x v="22"/>
    <x v="1"/>
    <n v="1"/>
    <s v="C - C&amp;I"/>
    <x v="1"/>
    <n v="79162545"/>
  </r>
  <r>
    <x v="1"/>
    <s v="CA"/>
    <s v="California"/>
    <s v="PG&amp;E"/>
    <x v="22"/>
    <x v="2"/>
    <n v="1"/>
    <s v="C - C&amp;I"/>
    <x v="2"/>
    <n v="31271"/>
  </r>
  <r>
    <x v="1"/>
    <s v="CA"/>
    <s v="California"/>
    <s v="PG&amp;E"/>
    <x v="22"/>
    <x v="0"/>
    <n v="1"/>
    <s v="C - C&amp;I"/>
    <x v="0"/>
    <n v="274778569"/>
  </r>
  <r>
    <x v="1"/>
    <s v="CA"/>
    <s v="California"/>
    <s v="PG&amp;E"/>
    <x v="22"/>
    <x v="3"/>
    <n v="1"/>
    <s v="C - C&amp;I"/>
    <x v="2"/>
    <n v="3216"/>
  </r>
  <r>
    <x v="1"/>
    <s v="CA"/>
    <s v="California"/>
    <s v="PG&amp;E"/>
    <x v="22"/>
    <x v="5"/>
    <n v="1"/>
    <s v="C - C&amp;I"/>
    <x v="1"/>
    <n v="199448715"/>
  </r>
  <r>
    <x v="1"/>
    <s v="CA"/>
    <s v="California"/>
    <s v="PG&amp;E"/>
    <x v="22"/>
    <x v="4"/>
    <n v="1"/>
    <s v="C - C&amp;I"/>
    <x v="0"/>
    <n v="351571468"/>
  </r>
  <r>
    <x v="14"/>
    <s v="IL"/>
    <s v="Illinois"/>
    <s v="Peoples"/>
    <x v="23"/>
    <x v="8"/>
    <n v="1"/>
    <s v="A - RES"/>
    <x v="2"/>
    <n v="45265"/>
  </r>
  <r>
    <x v="14"/>
    <s v="IL"/>
    <s v="Illinois"/>
    <s v="Peoples"/>
    <x v="23"/>
    <x v="6"/>
    <n v="1"/>
    <s v="A - RES"/>
    <x v="0"/>
    <n v="96200346"/>
  </r>
  <r>
    <x v="14"/>
    <s v="IL"/>
    <s v="Illinois"/>
    <s v="Peoples"/>
    <x v="23"/>
    <x v="7"/>
    <n v="1"/>
    <s v="A - RES"/>
    <x v="1"/>
    <n v="16937806"/>
  </r>
  <r>
    <x v="14"/>
    <s v="IL"/>
    <s v="Illinois"/>
    <s v="Peoples"/>
    <x v="23"/>
    <x v="1"/>
    <n v="1"/>
    <s v="C - C&amp;I"/>
    <x v="1"/>
    <n v="32787600"/>
  </r>
  <r>
    <x v="14"/>
    <s v="IL"/>
    <s v="Illinois"/>
    <s v="Peoples"/>
    <x v="23"/>
    <x v="2"/>
    <n v="1"/>
    <s v="C - C&amp;I"/>
    <x v="2"/>
    <n v="10788"/>
  </r>
  <r>
    <x v="14"/>
    <s v="IL"/>
    <s v="Illinois"/>
    <s v="Peoples"/>
    <x v="23"/>
    <x v="0"/>
    <n v="1"/>
    <s v="C - C&amp;I"/>
    <x v="0"/>
    <n v="127530290"/>
  </r>
  <r>
    <x v="14"/>
    <s v="IL"/>
    <s v="Illinois"/>
    <s v="Peoples"/>
    <x v="23"/>
    <x v="4"/>
    <n v="1"/>
    <s v="C - C&amp;I"/>
    <x v="0"/>
    <n v="37142171"/>
  </r>
  <r>
    <x v="14"/>
    <s v="IL"/>
    <s v="Illinois"/>
    <s v="Peoples"/>
    <x v="23"/>
    <x v="5"/>
    <n v="1"/>
    <s v="C - C&amp;I"/>
    <x v="1"/>
    <n v="10828638"/>
  </r>
  <r>
    <x v="14"/>
    <s v="IL"/>
    <s v="Illinois"/>
    <s v="Peoples"/>
    <x v="23"/>
    <x v="3"/>
    <n v="1"/>
    <s v="C - C&amp;I"/>
    <x v="2"/>
    <n v="773"/>
  </r>
  <r>
    <x v="15"/>
    <s v="CO"/>
    <s v="Colorado"/>
    <s v="Xcel"/>
    <x v="24"/>
    <x v="4"/>
    <n v="1"/>
    <s v="C - C&amp;I"/>
    <x v="0"/>
    <n v="70128528"/>
  </r>
  <r>
    <x v="15"/>
    <s v="CO"/>
    <s v="Colorado"/>
    <s v="Xcel"/>
    <x v="24"/>
    <x v="5"/>
    <n v="1"/>
    <s v="C - C&amp;I"/>
    <x v="1"/>
    <n v="49224655"/>
  </r>
  <r>
    <x v="15"/>
    <s v="CO"/>
    <s v="Colorado"/>
    <s v="Xcel"/>
    <x v="24"/>
    <x v="3"/>
    <n v="1"/>
    <s v="C - C&amp;I"/>
    <x v="2"/>
    <n v="8097"/>
  </r>
  <r>
    <x v="16"/>
    <s v="NJ"/>
    <s v="New Jersey"/>
    <s v="PSEG"/>
    <x v="25"/>
    <x v="7"/>
    <n v="1"/>
    <s v="A - RES"/>
    <x v="1"/>
    <n v="3572433"/>
  </r>
  <r>
    <x v="16"/>
    <s v="NJ"/>
    <s v="New Jersey"/>
    <s v="PSEG"/>
    <x v="25"/>
    <x v="8"/>
    <n v="1"/>
    <s v="A - RES"/>
    <x v="2"/>
    <n v="48137"/>
  </r>
  <r>
    <x v="16"/>
    <s v="NJ"/>
    <s v="New Jersey"/>
    <s v="PSEG"/>
    <x v="25"/>
    <x v="6"/>
    <n v="1"/>
    <s v="A - RES"/>
    <x v="0"/>
    <n v="19459915"/>
  </r>
  <r>
    <x v="16"/>
    <s v="NJ"/>
    <s v="New Jersey"/>
    <s v="PSEG"/>
    <x v="25"/>
    <x v="0"/>
    <n v="1"/>
    <s v="C - C&amp;I"/>
    <x v="0"/>
    <n v="175364134"/>
  </r>
  <r>
    <x v="16"/>
    <s v="NJ"/>
    <s v="New Jersey"/>
    <s v="PSEG"/>
    <x v="25"/>
    <x v="1"/>
    <n v="1"/>
    <s v="C - C&amp;I"/>
    <x v="1"/>
    <n v="62015714"/>
  </r>
  <r>
    <x v="16"/>
    <s v="NJ"/>
    <s v="New Jersey"/>
    <s v="PSEG"/>
    <x v="25"/>
    <x v="2"/>
    <n v="1"/>
    <s v="C - C&amp;I"/>
    <x v="2"/>
    <n v="26248"/>
  </r>
  <r>
    <x v="16"/>
    <s v="NJ"/>
    <s v="New Jersey"/>
    <s v="PSEG"/>
    <x v="25"/>
    <x v="3"/>
    <n v="1"/>
    <s v="C - C&amp;I"/>
    <x v="2"/>
    <n v="1093"/>
  </r>
  <r>
    <x v="16"/>
    <s v="NJ"/>
    <s v="New Jersey"/>
    <s v="PSEG"/>
    <x v="25"/>
    <x v="5"/>
    <n v="1"/>
    <s v="C - C&amp;I"/>
    <x v="1"/>
    <n v="15719084"/>
  </r>
  <r>
    <x v="16"/>
    <s v="NJ"/>
    <s v="New Jersey"/>
    <s v="PSEG"/>
    <x v="25"/>
    <x v="4"/>
    <n v="1"/>
    <s v="C - C&amp;I"/>
    <x v="0"/>
    <n v="27128209"/>
  </r>
  <r>
    <x v="17"/>
    <s v="WA"/>
    <s v="Washington"/>
    <s v="PSE"/>
    <x v="26"/>
    <x v="1"/>
    <n v="1"/>
    <s v="C - C&amp;I"/>
    <x v="1"/>
    <n v="5118500"/>
  </r>
  <r>
    <x v="17"/>
    <s v="WA"/>
    <s v="Washington"/>
    <s v="PSE"/>
    <x v="26"/>
    <x v="2"/>
    <n v="1"/>
    <s v="C - C&amp;I"/>
    <x v="2"/>
    <n v="111"/>
  </r>
  <r>
    <x v="17"/>
    <s v="WA"/>
    <s v="Washington"/>
    <s v="PSE"/>
    <x v="26"/>
    <x v="0"/>
    <n v="1"/>
    <s v="C - C&amp;I"/>
    <x v="0"/>
    <n v="6875000"/>
  </r>
  <r>
    <x v="17"/>
    <s v="WA"/>
    <s v="Washington"/>
    <s v="PSE"/>
    <x v="26"/>
    <x v="4"/>
    <n v="1"/>
    <s v="C - C&amp;I"/>
    <x v="0"/>
    <n v="13229000"/>
  </r>
  <r>
    <x v="17"/>
    <s v="WA"/>
    <s v="Washington"/>
    <s v="PSE"/>
    <x v="26"/>
    <x v="3"/>
    <n v="1"/>
    <s v="C - C&amp;I"/>
    <x v="2"/>
    <n v="109"/>
  </r>
  <r>
    <x v="17"/>
    <s v="WA"/>
    <s v="Washington"/>
    <s v="PSE"/>
    <x v="26"/>
    <x v="5"/>
    <n v="1"/>
    <s v="C - C&amp;I"/>
    <x v="1"/>
    <n v="16862000"/>
  </r>
  <r>
    <x v="18"/>
    <s v="UT"/>
    <s v="Utah"/>
    <s v="QUESTAR"/>
    <x v="27"/>
    <x v="1"/>
    <n v="1"/>
    <s v="C - C&amp;I"/>
    <x v="1"/>
    <n v="15705288"/>
  </r>
  <r>
    <x v="18"/>
    <s v="UT"/>
    <s v="Utah"/>
    <s v="QUESTAR"/>
    <x v="27"/>
    <x v="2"/>
    <n v="1"/>
    <s v="C - C&amp;I"/>
    <x v="2"/>
    <n v="804"/>
  </r>
  <r>
    <x v="18"/>
    <s v="UT"/>
    <s v="Utah"/>
    <s v="QUESTAR"/>
    <x v="27"/>
    <x v="0"/>
    <n v="1"/>
    <s v="C - C&amp;I"/>
    <x v="0"/>
    <n v="18339599"/>
  </r>
  <r>
    <x v="18"/>
    <s v="UT"/>
    <s v="Utah"/>
    <s v="QUESTAR"/>
    <x v="27"/>
    <x v="4"/>
    <n v="1"/>
    <s v="C - C&amp;I"/>
    <x v="0"/>
    <n v="19022956"/>
  </r>
  <r>
    <x v="18"/>
    <s v="UT"/>
    <s v="Utah"/>
    <s v="QUESTAR"/>
    <x v="27"/>
    <x v="5"/>
    <n v="1"/>
    <s v="C - C&amp;I"/>
    <x v="1"/>
    <n v="34520582"/>
  </r>
  <r>
    <x v="18"/>
    <s v="UT"/>
    <s v="Utah"/>
    <s v="QUESTAR"/>
    <x v="27"/>
    <x v="3"/>
    <n v="1"/>
    <s v="C - C&amp;I"/>
    <x v="2"/>
    <n v="309"/>
  </r>
  <r>
    <x v="1"/>
    <s v="CA"/>
    <s v="California"/>
    <s v="SDG&amp;E"/>
    <x v="28"/>
    <x v="6"/>
    <n v="1"/>
    <s v="A - RES"/>
    <x v="0"/>
    <n v="2133518"/>
  </r>
  <r>
    <x v="1"/>
    <s v="CA"/>
    <s v="California"/>
    <s v="SDG&amp;E"/>
    <x v="28"/>
    <x v="7"/>
    <n v="1"/>
    <s v="A - RES"/>
    <x v="1"/>
    <n v="141512"/>
  </r>
  <r>
    <x v="1"/>
    <s v="CA"/>
    <s v="California"/>
    <s v="SDG&amp;E"/>
    <x v="28"/>
    <x v="8"/>
    <n v="1"/>
    <s v="A - RES"/>
    <x v="2"/>
    <n v="1250"/>
  </r>
  <r>
    <x v="1"/>
    <s v="CA"/>
    <s v="California"/>
    <s v="SDG&amp;E"/>
    <x v="28"/>
    <x v="2"/>
    <n v="1"/>
    <s v="C - C&amp;I"/>
    <x v="2"/>
    <n v="1312"/>
  </r>
  <r>
    <x v="1"/>
    <s v="CA"/>
    <s v="California"/>
    <s v="SDG&amp;E"/>
    <x v="28"/>
    <x v="1"/>
    <n v="1"/>
    <s v="C - C&amp;I"/>
    <x v="1"/>
    <n v="4192525"/>
  </r>
  <r>
    <x v="1"/>
    <s v="CA"/>
    <s v="California"/>
    <s v="SDG&amp;E"/>
    <x v="28"/>
    <x v="0"/>
    <n v="1"/>
    <s v="C - C&amp;I"/>
    <x v="0"/>
    <n v="18409348"/>
  </r>
  <r>
    <x v="1"/>
    <s v="CA"/>
    <s v="California"/>
    <s v="SDG&amp;E"/>
    <x v="28"/>
    <x v="4"/>
    <n v="1"/>
    <s v="C - C&amp;I"/>
    <x v="0"/>
    <n v="17245036"/>
  </r>
  <r>
    <x v="1"/>
    <s v="CA"/>
    <s v="California"/>
    <s v="SDG&amp;E"/>
    <x v="28"/>
    <x v="3"/>
    <n v="1"/>
    <s v="C - C&amp;I"/>
    <x v="2"/>
    <n v="131"/>
  </r>
  <r>
    <x v="1"/>
    <s v="CA"/>
    <s v="California"/>
    <s v="SDG&amp;E"/>
    <x v="28"/>
    <x v="5"/>
    <n v="1"/>
    <s v="C - C&amp;I"/>
    <x v="1"/>
    <n v="11886610"/>
  </r>
  <r>
    <x v="1"/>
    <s v="CA"/>
    <s v="California"/>
    <s v="SCG"/>
    <x v="29"/>
    <x v="7"/>
    <n v="1"/>
    <s v="A - RES"/>
    <x v="1"/>
    <n v="2394190"/>
  </r>
  <r>
    <x v="1"/>
    <s v="CA"/>
    <s v="California"/>
    <s v="SCG"/>
    <x v="29"/>
    <x v="6"/>
    <n v="1"/>
    <s v="A - RES"/>
    <x v="0"/>
    <n v="21842925"/>
  </r>
  <r>
    <x v="1"/>
    <s v="CA"/>
    <s v="California"/>
    <s v="SCG"/>
    <x v="29"/>
    <x v="8"/>
    <n v="1"/>
    <s v="A - RES"/>
    <x v="2"/>
    <n v="44751"/>
  </r>
  <r>
    <x v="1"/>
    <s v="CA"/>
    <s v="California"/>
    <s v="SCG"/>
    <x v="29"/>
    <x v="1"/>
    <n v="1"/>
    <s v="C - C&amp;I"/>
    <x v="1"/>
    <n v="28129350"/>
  </r>
  <r>
    <x v="1"/>
    <s v="CA"/>
    <s v="California"/>
    <s v="SCG"/>
    <x v="29"/>
    <x v="0"/>
    <n v="1"/>
    <s v="C - C&amp;I"/>
    <x v="0"/>
    <n v="321549126"/>
  </r>
  <r>
    <x v="1"/>
    <s v="CA"/>
    <s v="California"/>
    <s v="SCG"/>
    <x v="29"/>
    <x v="2"/>
    <n v="1"/>
    <s v="C - C&amp;I"/>
    <x v="2"/>
    <n v="8222"/>
  </r>
  <r>
    <x v="1"/>
    <s v="CA"/>
    <s v="California"/>
    <s v="SCG"/>
    <x v="29"/>
    <x v="3"/>
    <n v="1"/>
    <s v="C - C&amp;I"/>
    <x v="2"/>
    <n v="860"/>
  </r>
  <r>
    <x v="1"/>
    <s v="CA"/>
    <s v="California"/>
    <s v="SCG"/>
    <x v="29"/>
    <x v="4"/>
    <n v="1"/>
    <s v="C - C&amp;I"/>
    <x v="0"/>
    <n v="244741115"/>
  </r>
  <r>
    <x v="1"/>
    <s v="CA"/>
    <s v="California"/>
    <s v="SCG"/>
    <x v="29"/>
    <x v="5"/>
    <n v="1"/>
    <s v="C - C&amp;I"/>
    <x v="1"/>
    <n v="240823491"/>
  </r>
  <r>
    <x v="19"/>
    <s v="CT"/>
    <s v="Connecticut"/>
    <s v="SoCTGas"/>
    <x v="30"/>
    <x v="7"/>
    <n v="1"/>
    <s v="A - RES"/>
    <x v="1"/>
    <n v="535819"/>
  </r>
  <r>
    <x v="19"/>
    <s v="CT"/>
    <s v="Connecticut"/>
    <s v="SoCTGas"/>
    <x v="30"/>
    <x v="6"/>
    <n v="1"/>
    <s v="A - RES"/>
    <x v="0"/>
    <n v="2065571"/>
  </r>
  <r>
    <x v="19"/>
    <s v="CT"/>
    <s v="Connecticut"/>
    <s v="SoCTGas"/>
    <x v="30"/>
    <x v="8"/>
    <n v="1"/>
    <s v="A - RES"/>
    <x v="2"/>
    <n v="349"/>
  </r>
  <r>
    <x v="19"/>
    <s v="CT"/>
    <s v="Connecticut"/>
    <s v="SoCTGas"/>
    <x v="30"/>
    <x v="0"/>
    <n v="1"/>
    <s v="C - C&amp;I"/>
    <x v="0"/>
    <n v="10332518"/>
  </r>
  <r>
    <x v="19"/>
    <s v="CT"/>
    <s v="Connecticut"/>
    <s v="SoCTGas"/>
    <x v="30"/>
    <x v="1"/>
    <n v="1"/>
    <s v="C - C&amp;I"/>
    <x v="1"/>
    <n v="3166759"/>
  </r>
  <r>
    <x v="19"/>
    <s v="CT"/>
    <s v="Connecticut"/>
    <s v="SoCTGas"/>
    <x v="30"/>
    <x v="2"/>
    <n v="1"/>
    <s v="C - C&amp;I"/>
    <x v="2"/>
    <n v="1006"/>
  </r>
  <r>
    <x v="19"/>
    <s v="CT"/>
    <s v="Connecticut"/>
    <s v="SoCTGas"/>
    <x v="30"/>
    <x v="5"/>
    <n v="1"/>
    <s v="C - C&amp;I"/>
    <x v="1"/>
    <n v="30985"/>
  </r>
  <r>
    <x v="19"/>
    <s v="CT"/>
    <s v="Connecticut"/>
    <s v="SoCTGas"/>
    <x v="30"/>
    <x v="4"/>
    <n v="1"/>
    <s v="C - C&amp;I"/>
    <x v="0"/>
    <n v="125447"/>
  </r>
  <r>
    <x v="19"/>
    <s v="CT"/>
    <s v="Connecticut"/>
    <s v="SoCTGas"/>
    <x v="30"/>
    <x v="3"/>
    <n v="1"/>
    <s v="C - C&amp;I"/>
    <x v="2"/>
    <n v="12"/>
  </r>
  <r>
    <x v="1"/>
    <s v="NY"/>
    <s v="New York"/>
    <s v="Brooklyn Gas"/>
    <x v="31"/>
    <x v="6"/>
    <n v="1"/>
    <s v="A - RES"/>
    <x v="0"/>
    <n v="195238831"/>
  </r>
  <r>
    <x v="1"/>
    <s v="NY"/>
    <s v="New York"/>
    <s v="Brooklyn Gas"/>
    <x v="31"/>
    <x v="7"/>
    <n v="1"/>
    <s v="A - RES"/>
    <x v="1"/>
    <n v="32292537"/>
  </r>
  <r>
    <x v="1"/>
    <s v="NY"/>
    <s v="New York"/>
    <s v="Brooklyn Gas"/>
    <x v="31"/>
    <x v="8"/>
    <n v="1"/>
    <s v="A - RES"/>
    <x v="2"/>
    <n v="118094"/>
  </r>
  <r>
    <x v="1"/>
    <s v="NY"/>
    <s v="New York"/>
    <s v="Brooklyn Gas"/>
    <x v="31"/>
    <x v="2"/>
    <n v="1"/>
    <s v="C - C&amp;I"/>
    <x v="2"/>
    <n v="10426"/>
  </r>
  <r>
    <x v="1"/>
    <s v="NY"/>
    <s v="New York"/>
    <s v="Brooklyn Gas"/>
    <x v="31"/>
    <x v="0"/>
    <n v="1"/>
    <s v="C - C&amp;I"/>
    <x v="0"/>
    <n v="55768286"/>
  </r>
  <r>
    <x v="1"/>
    <s v="NY"/>
    <s v="New York"/>
    <s v="Brooklyn Gas"/>
    <x v="31"/>
    <x v="1"/>
    <n v="1"/>
    <s v="C - C&amp;I"/>
    <x v="1"/>
    <n v="12621028"/>
  </r>
  <r>
    <x v="1"/>
    <s v="NY"/>
    <s v="New York"/>
    <s v="Brooklyn Gas"/>
    <x v="31"/>
    <x v="4"/>
    <n v="1"/>
    <s v="C - C&amp;I"/>
    <x v="0"/>
    <n v="8461740"/>
  </r>
  <r>
    <x v="1"/>
    <s v="NY"/>
    <s v="New York"/>
    <s v="Brooklyn Gas"/>
    <x v="31"/>
    <x v="3"/>
    <n v="1"/>
    <s v="C - C&amp;I"/>
    <x v="2"/>
    <n v="801"/>
  </r>
  <r>
    <x v="1"/>
    <s v="NY"/>
    <s v="New York"/>
    <s v="Brooklyn Gas"/>
    <x v="31"/>
    <x v="5"/>
    <n v="1"/>
    <s v="C - C&amp;I"/>
    <x v="1"/>
    <n v="3418875"/>
  </r>
  <r>
    <x v="1"/>
    <s v="MD"/>
    <s v="Maryland"/>
    <s v="Washington Gas"/>
    <x v="32"/>
    <x v="8"/>
    <n v="1"/>
    <s v="A - RES"/>
    <x v="2"/>
    <n v="81259"/>
  </r>
  <r>
    <x v="1"/>
    <s v="MD"/>
    <s v="Maryland"/>
    <s v="Washington Gas"/>
    <x v="32"/>
    <x v="7"/>
    <n v="1"/>
    <s v="A - RES"/>
    <x v="1"/>
    <n v="9534388"/>
  </r>
  <r>
    <x v="1"/>
    <s v="MD"/>
    <s v="Maryland"/>
    <s v="Washington Gas"/>
    <x v="32"/>
    <x v="6"/>
    <n v="1"/>
    <s v="A - RES"/>
    <x v="0"/>
    <n v="54566113"/>
  </r>
  <r>
    <x v="1"/>
    <s v="MD"/>
    <s v="Maryland"/>
    <s v="Washington Gas"/>
    <x v="32"/>
    <x v="1"/>
    <n v="1"/>
    <s v="C - C&amp;I"/>
    <x v="1"/>
    <n v="24627530"/>
  </r>
  <r>
    <x v="1"/>
    <s v="MD"/>
    <s v="Maryland"/>
    <s v="Washington Gas"/>
    <x v="32"/>
    <x v="0"/>
    <n v="1"/>
    <s v="C - C&amp;I"/>
    <x v="0"/>
    <n v="76705062"/>
  </r>
  <r>
    <x v="1"/>
    <s v="MD"/>
    <s v="Maryland"/>
    <s v="Washington Gas"/>
    <x v="32"/>
    <x v="2"/>
    <n v="1"/>
    <s v="C - C&amp;I"/>
    <x v="2"/>
    <n v="9887"/>
  </r>
  <r>
    <x v="9"/>
    <s v="WI"/>
    <s v="Wisconsin"/>
    <s v="WEPCO"/>
    <x v="14"/>
    <x v="0"/>
    <n v="1"/>
    <s v="C - C&amp;I"/>
    <x v="0"/>
    <n v="1246682"/>
  </r>
  <r>
    <x v="9"/>
    <s v="WI"/>
    <s v="Wisconsin"/>
    <s v="WEPCO"/>
    <x v="14"/>
    <x v="1"/>
    <n v="1"/>
    <s v="C - C&amp;I"/>
    <x v="1"/>
    <n v="1417893"/>
  </r>
  <r>
    <x v="9"/>
    <s v="WI"/>
    <s v="Wisconsin"/>
    <s v="WEPCO"/>
    <x v="14"/>
    <x v="2"/>
    <n v="1"/>
    <s v="C - C&amp;I"/>
    <x v="2"/>
    <n v="91"/>
  </r>
  <r>
    <x v="9"/>
    <s v="WI"/>
    <s v="Wisconsin"/>
    <s v="WEPCO"/>
    <x v="14"/>
    <x v="5"/>
    <n v="1"/>
    <s v="C - C&amp;I"/>
    <x v="1"/>
    <n v="20846628"/>
  </r>
  <r>
    <x v="9"/>
    <s v="WI"/>
    <s v="Wisconsin"/>
    <s v="WEPCO"/>
    <x v="14"/>
    <x v="4"/>
    <n v="1"/>
    <s v="C - C&amp;I"/>
    <x v="0"/>
    <n v="15543849"/>
  </r>
  <r>
    <x v="9"/>
    <s v="WI"/>
    <s v="Wisconsin"/>
    <s v="WEPCO"/>
    <x v="14"/>
    <x v="3"/>
    <n v="1"/>
    <s v="C - C&amp;I"/>
    <x v="2"/>
    <n v="843"/>
  </r>
  <r>
    <x v="9"/>
    <s v="WI"/>
    <s v="Wisconsin"/>
    <s v="WE Energy"/>
    <x v="14"/>
    <x v="1"/>
    <n v="1"/>
    <s v="C - C&amp;I"/>
    <x v="1"/>
    <n v="2209508"/>
  </r>
  <r>
    <x v="9"/>
    <s v="WI"/>
    <s v="Wisconsin"/>
    <s v="WE Energy"/>
    <x v="14"/>
    <x v="0"/>
    <n v="1"/>
    <s v="C - C&amp;I"/>
    <x v="0"/>
    <n v="3271605"/>
  </r>
  <r>
    <x v="9"/>
    <s v="WI"/>
    <s v="Wisconsin"/>
    <s v="WE Energy"/>
    <x v="14"/>
    <x v="2"/>
    <n v="1"/>
    <s v="C - C&amp;I"/>
    <x v="2"/>
    <n v="295"/>
  </r>
  <r>
    <x v="9"/>
    <s v="WI"/>
    <s v="Wisconsin"/>
    <s v="WE Energy"/>
    <x v="14"/>
    <x v="4"/>
    <n v="1"/>
    <s v="C - C&amp;I"/>
    <x v="0"/>
    <n v="38505327"/>
  </r>
  <r>
    <x v="9"/>
    <s v="WI"/>
    <s v="Wisconsin"/>
    <s v="WE Energy"/>
    <x v="14"/>
    <x v="5"/>
    <n v="1"/>
    <s v="C - C&amp;I"/>
    <x v="1"/>
    <n v="55202309"/>
  </r>
  <r>
    <x v="9"/>
    <s v="WI"/>
    <s v="Wisconsin"/>
    <s v="WE Energy"/>
    <x v="14"/>
    <x v="3"/>
    <n v="1"/>
    <s v="C - C&amp;I"/>
    <x v="2"/>
    <n v="1230"/>
  </r>
  <r>
    <x v="9"/>
    <s v="WI"/>
    <s v="Wisconsin"/>
    <s v="WPL"/>
    <x v="14"/>
    <x v="5"/>
    <n v="1"/>
    <s v="C - C&amp;I"/>
    <x v="1"/>
    <n v="20046420"/>
  </r>
  <r>
    <x v="9"/>
    <s v="WI"/>
    <s v="Wisconsin"/>
    <s v="WPL"/>
    <x v="14"/>
    <x v="4"/>
    <n v="1"/>
    <s v="C - C&amp;I"/>
    <x v="0"/>
    <n v="11882452"/>
  </r>
  <r>
    <x v="9"/>
    <s v="WI"/>
    <s v="Wisconsin"/>
    <s v="WPL"/>
    <x v="14"/>
    <x v="3"/>
    <n v="1"/>
    <s v="C - C&amp;I"/>
    <x v="2"/>
    <n v="287"/>
  </r>
  <r>
    <x v="9"/>
    <s v="WI"/>
    <s v="Wisconsin"/>
    <s v="WPS"/>
    <x v="14"/>
    <x v="2"/>
    <n v="1"/>
    <s v="C - C&amp;I"/>
    <x v="2"/>
    <n v="900"/>
  </r>
  <r>
    <x v="9"/>
    <s v="WI"/>
    <s v="Wisconsin"/>
    <s v="WPS"/>
    <x v="14"/>
    <x v="1"/>
    <n v="1"/>
    <s v="C - C&amp;I"/>
    <x v="1"/>
    <n v="27238890"/>
  </r>
  <r>
    <x v="9"/>
    <s v="WI"/>
    <s v="Wisconsin"/>
    <s v="WPS"/>
    <x v="14"/>
    <x v="0"/>
    <n v="1"/>
    <s v="C - C&amp;I"/>
    <x v="0"/>
    <n v="12524797"/>
  </r>
  <r>
    <x v="9"/>
    <s v="WI"/>
    <s v="Wisconsin"/>
    <s v="WPS"/>
    <x v="14"/>
    <x v="5"/>
    <n v="1"/>
    <s v="C - C&amp;I"/>
    <x v="1"/>
    <n v="18089029"/>
  </r>
  <r>
    <x v="9"/>
    <s v="WI"/>
    <s v="Wisconsin"/>
    <s v="WPS"/>
    <x v="14"/>
    <x v="4"/>
    <n v="1"/>
    <s v="C - C&amp;I"/>
    <x v="0"/>
    <n v="10505549"/>
  </r>
  <r>
    <x v="9"/>
    <s v="WI"/>
    <s v="Wisconsin"/>
    <s v="WPS"/>
    <x v="14"/>
    <x v="3"/>
    <n v="1"/>
    <s v="C - C&amp;I"/>
    <x v="2"/>
    <n v="43"/>
  </r>
  <r>
    <x v="20"/>
    <s v="CT"/>
    <s v="Connecticut"/>
    <s v="Eversource"/>
    <x v="33"/>
    <x v="6"/>
    <n v="1"/>
    <s v="A - RES"/>
    <x v="0"/>
    <n v="4199523"/>
  </r>
  <r>
    <x v="20"/>
    <s v="CT"/>
    <s v="Connecticut"/>
    <s v="Eversource"/>
    <x v="33"/>
    <x v="8"/>
    <n v="1"/>
    <s v="A - RES"/>
    <x v="2"/>
    <n v="510"/>
  </r>
  <r>
    <x v="20"/>
    <s v="CT"/>
    <s v="Connecticut"/>
    <s v="Eversource"/>
    <x v="33"/>
    <x v="7"/>
    <n v="1"/>
    <s v="A - RES"/>
    <x v="1"/>
    <n v="723275"/>
  </r>
  <r>
    <x v="20"/>
    <s v="CT"/>
    <s v="Connecticut"/>
    <s v="Eversource"/>
    <x v="33"/>
    <x v="2"/>
    <n v="1"/>
    <s v="C - C&amp;I"/>
    <x v="2"/>
    <n v="1369"/>
  </r>
  <r>
    <x v="20"/>
    <s v="CT"/>
    <s v="Connecticut"/>
    <s v="Eversource"/>
    <x v="33"/>
    <x v="0"/>
    <n v="1"/>
    <s v="C - C&amp;I"/>
    <x v="0"/>
    <n v="29299359"/>
  </r>
  <r>
    <x v="20"/>
    <s v="CT"/>
    <s v="Connecticut"/>
    <s v="Eversource"/>
    <x v="33"/>
    <x v="1"/>
    <n v="1"/>
    <s v="C - C&amp;I"/>
    <x v="1"/>
    <n v="6819486"/>
  </r>
  <r>
    <x v="20"/>
    <s v="CT"/>
    <s v="Connecticut"/>
    <s v="Eversource"/>
    <x v="33"/>
    <x v="4"/>
    <n v="1"/>
    <s v="C - C&amp;I"/>
    <x v="0"/>
    <n v="30464644"/>
  </r>
  <r>
    <x v="20"/>
    <s v="CT"/>
    <s v="Connecticut"/>
    <s v="Eversource"/>
    <x v="33"/>
    <x v="3"/>
    <n v="1"/>
    <s v="C - C&amp;I"/>
    <x v="2"/>
    <n v="193"/>
  </r>
  <r>
    <x v="20"/>
    <s v="CT"/>
    <s v="Connecticut"/>
    <s v="Eversource"/>
    <x v="33"/>
    <x v="5"/>
    <n v="1"/>
    <s v="C - C&amp;I"/>
    <x v="1"/>
    <n v="11026067"/>
  </r>
  <r>
    <x v="0"/>
    <s v="IL"/>
    <s v="Illinois"/>
    <s v="Ameren"/>
    <x v="0"/>
    <x v="9"/>
    <m/>
    <s v="A - RES"/>
    <x v="0"/>
    <n v="656607163"/>
  </r>
  <r>
    <x v="0"/>
    <s v="IL"/>
    <s v="Illinois"/>
    <s v="Ameren"/>
    <x v="0"/>
    <x v="10"/>
    <m/>
    <s v="A - RES"/>
    <x v="2"/>
    <n v="746102"/>
  </r>
  <r>
    <x v="0"/>
    <s v="IL"/>
    <s v="Illinois"/>
    <s v="Ameren"/>
    <x v="0"/>
    <x v="11"/>
    <m/>
    <s v="A - RES"/>
    <x v="1"/>
    <n v="52227229"/>
  </r>
  <r>
    <x v="0"/>
    <s v="IL"/>
    <s v="Illinois"/>
    <s v="Ameren"/>
    <x v="0"/>
    <x v="12"/>
    <m/>
    <s v="C - C&amp;I"/>
    <x v="1"/>
    <n v="15107351"/>
  </r>
  <r>
    <x v="0"/>
    <s v="IL"/>
    <s v="Illinois"/>
    <s v="Ameren"/>
    <x v="0"/>
    <x v="13"/>
    <m/>
    <s v="C - C&amp;I"/>
    <x v="0"/>
    <n v="170730621"/>
  </r>
  <r>
    <x v="0"/>
    <s v="IL"/>
    <s v="Illinois"/>
    <s v="Ameren"/>
    <x v="0"/>
    <x v="14"/>
    <m/>
    <s v="C - C&amp;I"/>
    <x v="2"/>
    <n v="59672"/>
  </r>
  <r>
    <x v="0"/>
    <s v="IL"/>
    <s v="Illinois"/>
    <s v="Ameren"/>
    <x v="0"/>
    <x v="15"/>
    <m/>
    <s v="C - C&amp;I"/>
    <x v="1"/>
    <n v="3993456"/>
  </r>
  <r>
    <x v="0"/>
    <s v="IL"/>
    <s v="Illinois"/>
    <s v="Ameren"/>
    <x v="0"/>
    <x v="16"/>
    <m/>
    <s v="C - C&amp;I"/>
    <x v="2"/>
    <n v="245"/>
  </r>
  <r>
    <x v="0"/>
    <s v="IL"/>
    <s v="Illinois"/>
    <s v="Ameren"/>
    <x v="0"/>
    <x v="17"/>
    <m/>
    <s v="C - C&amp;I"/>
    <x v="0"/>
    <n v="33800545"/>
  </r>
  <r>
    <x v="1"/>
    <s v="CO"/>
    <s v="Colorado"/>
    <s v="Atmos"/>
    <x v="1"/>
    <x v="10"/>
    <m/>
    <s v="A - RES"/>
    <x v="2"/>
    <n v="113699"/>
  </r>
  <r>
    <x v="1"/>
    <s v="CO"/>
    <s v="Colorado"/>
    <s v="Atmos"/>
    <x v="1"/>
    <x v="11"/>
    <m/>
    <s v="A - RES"/>
    <x v="1"/>
    <n v="7886246"/>
  </r>
  <r>
    <x v="1"/>
    <s v="CO"/>
    <s v="Colorado"/>
    <s v="Atmos"/>
    <x v="1"/>
    <x v="9"/>
    <m/>
    <s v="A - RES"/>
    <x v="0"/>
    <n v="71843748"/>
  </r>
  <r>
    <x v="1"/>
    <s v="CO"/>
    <s v="Colorado"/>
    <s v="Atmos"/>
    <x v="1"/>
    <x v="12"/>
    <m/>
    <s v="C - C&amp;I"/>
    <x v="1"/>
    <n v="5006878"/>
  </r>
  <r>
    <x v="1"/>
    <s v="CO"/>
    <s v="Colorado"/>
    <s v="Atmos"/>
    <x v="1"/>
    <x v="14"/>
    <m/>
    <s v="C - C&amp;I"/>
    <x v="2"/>
    <n v="12474"/>
  </r>
  <r>
    <x v="1"/>
    <s v="CO"/>
    <s v="Colorado"/>
    <s v="Atmos"/>
    <x v="1"/>
    <x v="13"/>
    <m/>
    <s v="C - C&amp;I"/>
    <x v="0"/>
    <n v="34496668"/>
  </r>
  <r>
    <x v="1"/>
    <s v="CO"/>
    <s v="Colorado"/>
    <s v="Atmos"/>
    <x v="1"/>
    <x v="17"/>
    <m/>
    <s v="C - C&amp;I"/>
    <x v="0"/>
    <n v="40545"/>
  </r>
  <r>
    <x v="1"/>
    <s v="CO"/>
    <s v="Colorado"/>
    <s v="Atmos"/>
    <x v="1"/>
    <x v="15"/>
    <m/>
    <s v="C - C&amp;I"/>
    <x v="1"/>
    <n v="6267"/>
  </r>
  <r>
    <x v="1"/>
    <s v="CO"/>
    <s v="Colorado"/>
    <s v="Atmos"/>
    <x v="1"/>
    <x v="16"/>
    <m/>
    <s v="C - C&amp;I"/>
    <x v="2"/>
    <n v="12"/>
  </r>
  <r>
    <x v="1"/>
    <s v="OR"/>
    <s v="Oregon"/>
    <s v="Avista"/>
    <x v="2"/>
    <x v="11"/>
    <m/>
    <s v="A - RES"/>
    <x v="1"/>
    <n v="4833721"/>
  </r>
  <r>
    <x v="1"/>
    <s v="OR"/>
    <s v="Oregon"/>
    <s v="Avista"/>
    <x v="2"/>
    <x v="9"/>
    <m/>
    <s v="A - RES"/>
    <x v="0"/>
    <n v="66871276"/>
  </r>
  <r>
    <x v="1"/>
    <s v="OR"/>
    <s v="Oregon"/>
    <s v="Avista"/>
    <x v="2"/>
    <x v="10"/>
    <m/>
    <s v="A - RES"/>
    <x v="2"/>
    <n v="92971"/>
  </r>
  <r>
    <x v="1"/>
    <s v="OR"/>
    <s v="Oregon"/>
    <s v="Avista"/>
    <x v="2"/>
    <x v="13"/>
    <m/>
    <s v="C - C&amp;I"/>
    <x v="0"/>
    <n v="33463224"/>
  </r>
  <r>
    <x v="1"/>
    <s v="OR"/>
    <s v="Oregon"/>
    <s v="Avista"/>
    <x v="2"/>
    <x v="14"/>
    <m/>
    <s v="C - C&amp;I"/>
    <x v="2"/>
    <n v="11966"/>
  </r>
  <r>
    <x v="1"/>
    <s v="OR"/>
    <s v="Oregon"/>
    <s v="Avista"/>
    <x v="2"/>
    <x v="12"/>
    <m/>
    <s v="C - C&amp;I"/>
    <x v="1"/>
    <n v="3390109"/>
  </r>
  <r>
    <x v="1"/>
    <s v="OR"/>
    <s v="Oregon"/>
    <s v="Avista"/>
    <x v="2"/>
    <x v="17"/>
    <m/>
    <s v="C - C&amp;I"/>
    <x v="0"/>
    <n v="3508814"/>
  </r>
  <r>
    <x v="1"/>
    <s v="OR"/>
    <s v="Oregon"/>
    <s v="Avista"/>
    <x v="2"/>
    <x v="15"/>
    <m/>
    <s v="C - C&amp;I"/>
    <x v="1"/>
    <n v="1129524"/>
  </r>
  <r>
    <x v="1"/>
    <s v="OR"/>
    <s v="Oregon"/>
    <s v="Avista"/>
    <x v="2"/>
    <x v="16"/>
    <m/>
    <s v="C - C&amp;I"/>
    <x v="2"/>
    <n v="47"/>
  </r>
  <r>
    <x v="1"/>
    <s v="MD"/>
    <s v="Maryland"/>
    <s v="BGE"/>
    <x v="3"/>
    <x v="10"/>
    <m/>
    <s v="A - RES"/>
    <x v="2"/>
    <n v="527027"/>
  </r>
  <r>
    <x v="1"/>
    <s v="MD"/>
    <s v="Maryland"/>
    <s v="BGE"/>
    <x v="3"/>
    <x v="9"/>
    <m/>
    <s v="A - RES"/>
    <x v="0"/>
    <n v="457650865"/>
  </r>
  <r>
    <x v="1"/>
    <s v="MD"/>
    <s v="Maryland"/>
    <s v="BGE"/>
    <x v="3"/>
    <x v="11"/>
    <m/>
    <s v="A - RES"/>
    <x v="1"/>
    <n v="28166210"/>
  </r>
  <r>
    <x v="1"/>
    <s v="MD"/>
    <s v="Maryland"/>
    <s v="BGE"/>
    <x v="3"/>
    <x v="12"/>
    <m/>
    <s v="C - C&amp;I"/>
    <x v="1"/>
    <n v="8853006"/>
  </r>
  <r>
    <x v="1"/>
    <s v="MD"/>
    <s v="Maryland"/>
    <s v="BGE"/>
    <x v="3"/>
    <x v="13"/>
    <m/>
    <s v="C - C&amp;I"/>
    <x v="0"/>
    <n v="107247231"/>
  </r>
  <r>
    <x v="1"/>
    <s v="MD"/>
    <s v="Maryland"/>
    <s v="BGE"/>
    <x v="3"/>
    <x v="14"/>
    <m/>
    <s v="C - C&amp;I"/>
    <x v="2"/>
    <n v="29635"/>
  </r>
  <r>
    <x v="1"/>
    <s v="MD"/>
    <s v="Maryland"/>
    <s v="BGE"/>
    <x v="3"/>
    <x v="16"/>
    <m/>
    <s v="C - C&amp;I"/>
    <x v="2"/>
    <n v="661"/>
  </r>
  <r>
    <x v="1"/>
    <s v="MD"/>
    <s v="Maryland"/>
    <s v="BGE"/>
    <x v="3"/>
    <x v="15"/>
    <m/>
    <s v="C - C&amp;I"/>
    <x v="1"/>
    <n v="676827"/>
  </r>
  <r>
    <x v="1"/>
    <s v="MD"/>
    <s v="Maryland"/>
    <s v="BGE"/>
    <x v="3"/>
    <x v="17"/>
    <m/>
    <s v="C - C&amp;I"/>
    <x v="0"/>
    <n v="6060549"/>
  </r>
  <r>
    <x v="1"/>
    <s v="CO"/>
    <s v="Colorado"/>
    <s v="Black Hills"/>
    <x v="4"/>
    <x v="10"/>
    <m/>
    <s v="A - RES"/>
    <x v="2"/>
    <n v="183660"/>
  </r>
  <r>
    <x v="1"/>
    <s v="CO"/>
    <s v="Colorado"/>
    <s v="Black Hills"/>
    <x v="4"/>
    <x v="9"/>
    <m/>
    <s v="A - RES"/>
    <x v="0"/>
    <n v="146827646"/>
  </r>
  <r>
    <x v="1"/>
    <s v="CO"/>
    <s v="Colorado"/>
    <s v="Black Hills"/>
    <x v="4"/>
    <x v="11"/>
    <m/>
    <s v="A - RES"/>
    <x v="1"/>
    <n v="16490603"/>
  </r>
  <r>
    <x v="1"/>
    <s v="CO"/>
    <s v="Colorado"/>
    <s v="Black Hills"/>
    <x v="4"/>
    <x v="12"/>
    <m/>
    <s v="C - C&amp;I"/>
    <x v="1"/>
    <n v="5625073"/>
  </r>
  <r>
    <x v="1"/>
    <s v="CO"/>
    <s v="Colorado"/>
    <s v="Black Hills"/>
    <x v="4"/>
    <x v="13"/>
    <m/>
    <s v="C - C&amp;I"/>
    <x v="0"/>
    <n v="49986926"/>
  </r>
  <r>
    <x v="1"/>
    <s v="CO"/>
    <s v="Colorado"/>
    <s v="Black Hills"/>
    <x v="4"/>
    <x v="14"/>
    <m/>
    <s v="C - C&amp;I"/>
    <x v="2"/>
    <n v="14975"/>
  </r>
  <r>
    <x v="1"/>
    <s v="CO"/>
    <s v="Colorado"/>
    <s v="Black Hills"/>
    <x v="4"/>
    <x v="15"/>
    <m/>
    <s v="C - C&amp;I"/>
    <x v="1"/>
    <n v="552541"/>
  </r>
  <r>
    <x v="1"/>
    <s v="CO"/>
    <s v="Colorado"/>
    <s v="Black Hills"/>
    <x v="4"/>
    <x v="16"/>
    <m/>
    <s v="C - C&amp;I"/>
    <x v="2"/>
    <n v="319"/>
  </r>
  <r>
    <x v="1"/>
    <s v="CO"/>
    <s v="Colorado"/>
    <s v="Black Hills"/>
    <x v="4"/>
    <x v="17"/>
    <m/>
    <s v="C - C&amp;I"/>
    <x v="0"/>
    <n v="3202342"/>
  </r>
  <r>
    <x v="2"/>
    <s v="MA"/>
    <s v="Massachusetts"/>
    <s v="Ngrid"/>
    <x v="5"/>
    <x v="11"/>
    <m/>
    <s v="A - RES"/>
    <x v="1"/>
    <n v="47351823"/>
  </r>
  <r>
    <x v="2"/>
    <s v="MA"/>
    <s v="Massachusetts"/>
    <s v="Ngrid"/>
    <x v="5"/>
    <x v="10"/>
    <m/>
    <s v="A - RES"/>
    <x v="2"/>
    <n v="654116"/>
  </r>
  <r>
    <x v="2"/>
    <s v="MA"/>
    <s v="Massachusetts"/>
    <s v="Ngrid"/>
    <x v="5"/>
    <x v="9"/>
    <m/>
    <s v="A - RES"/>
    <x v="0"/>
    <n v="790488482"/>
  </r>
  <r>
    <x v="2"/>
    <s v="MA"/>
    <s v="Massachusetts"/>
    <s v="Ngrid"/>
    <x v="5"/>
    <x v="14"/>
    <m/>
    <s v="C - C&amp;I"/>
    <x v="2"/>
    <n v="43647"/>
  </r>
  <r>
    <x v="2"/>
    <s v="MA"/>
    <s v="Massachusetts"/>
    <s v="Ngrid"/>
    <x v="5"/>
    <x v="12"/>
    <m/>
    <s v="C - C&amp;I"/>
    <x v="1"/>
    <n v="14928586"/>
  </r>
  <r>
    <x v="2"/>
    <s v="MA"/>
    <s v="Massachusetts"/>
    <s v="Ngrid"/>
    <x v="5"/>
    <x v="13"/>
    <m/>
    <s v="C - C&amp;I"/>
    <x v="0"/>
    <n v="188853437"/>
  </r>
  <r>
    <x v="2"/>
    <s v="MA"/>
    <s v="Massachusetts"/>
    <s v="Ngrid"/>
    <x v="5"/>
    <x v="17"/>
    <m/>
    <s v="C - C&amp;I"/>
    <x v="0"/>
    <n v="62934453"/>
  </r>
  <r>
    <x v="2"/>
    <s v="MA"/>
    <s v="Massachusetts"/>
    <s v="Ngrid"/>
    <x v="5"/>
    <x v="16"/>
    <m/>
    <s v="C - C&amp;I"/>
    <x v="2"/>
    <n v="5912"/>
  </r>
  <r>
    <x v="2"/>
    <s v="MA"/>
    <s v="Massachusetts"/>
    <s v="Ngrid"/>
    <x v="5"/>
    <x v="15"/>
    <m/>
    <s v="C - C&amp;I"/>
    <x v="1"/>
    <n v="5423515"/>
  </r>
  <r>
    <x v="3"/>
    <s v="MN"/>
    <s v="Minnesota"/>
    <s v="CtPt"/>
    <x v="6"/>
    <x v="9"/>
    <m/>
    <s v="A - RES"/>
    <x v="0"/>
    <n v="671522278"/>
  </r>
  <r>
    <x v="3"/>
    <s v="MN"/>
    <s v="Minnesota"/>
    <s v="CtPt"/>
    <x v="6"/>
    <x v="11"/>
    <m/>
    <s v="A - RES"/>
    <x v="1"/>
    <n v="68242994"/>
  </r>
  <r>
    <x v="3"/>
    <s v="MN"/>
    <s v="Minnesota"/>
    <s v="CtPt"/>
    <x v="6"/>
    <x v="10"/>
    <m/>
    <s v="A - RES"/>
    <x v="2"/>
    <n v="821309"/>
  </r>
  <r>
    <x v="3"/>
    <s v="MN"/>
    <s v="Minnesota"/>
    <s v="CtPt"/>
    <x v="6"/>
    <x v="14"/>
    <m/>
    <s v="C - C&amp;I"/>
    <x v="2"/>
    <n v="70419"/>
  </r>
  <r>
    <x v="3"/>
    <s v="MN"/>
    <s v="Minnesota"/>
    <s v="CtPt"/>
    <x v="6"/>
    <x v="12"/>
    <m/>
    <s v="C - C&amp;I"/>
    <x v="1"/>
    <n v="49545653"/>
  </r>
  <r>
    <x v="3"/>
    <s v="MN"/>
    <s v="Minnesota"/>
    <s v="CtPt"/>
    <x v="6"/>
    <x v="13"/>
    <m/>
    <s v="C - C&amp;I"/>
    <x v="0"/>
    <n v="401599092"/>
  </r>
  <r>
    <x v="3"/>
    <s v="MN"/>
    <s v="Minnesota"/>
    <s v="CtPt"/>
    <x v="6"/>
    <x v="17"/>
    <m/>
    <s v="C - C&amp;I"/>
    <x v="0"/>
    <n v="24033144"/>
  </r>
  <r>
    <x v="3"/>
    <s v="MN"/>
    <s v="Minnesota"/>
    <s v="CtPt"/>
    <x v="6"/>
    <x v="16"/>
    <m/>
    <s v="C - C&amp;I"/>
    <x v="2"/>
    <n v="263"/>
  </r>
  <r>
    <x v="3"/>
    <s v="MN"/>
    <s v="Minnesota"/>
    <s v="CtPt"/>
    <x v="6"/>
    <x v="15"/>
    <m/>
    <s v="C - C&amp;I"/>
    <x v="1"/>
    <n v="6188373"/>
  </r>
  <r>
    <x v="1"/>
    <s v="MA"/>
    <s v="Massachusetts"/>
    <s v="Keyspan"/>
    <x v="34"/>
    <x v="9"/>
    <m/>
    <s v="A - RES"/>
    <x v="0"/>
    <n v="215296156"/>
  </r>
  <r>
    <x v="1"/>
    <s v="MA"/>
    <s v="Massachusetts"/>
    <s v="Keyspan"/>
    <x v="34"/>
    <x v="11"/>
    <m/>
    <s v="A - RES"/>
    <x v="1"/>
    <n v="14418048"/>
  </r>
  <r>
    <x v="1"/>
    <s v="MA"/>
    <s v="Massachusetts"/>
    <s v="Keyspan"/>
    <x v="34"/>
    <x v="10"/>
    <m/>
    <s v="A - RES"/>
    <x v="2"/>
    <n v="194492"/>
  </r>
  <r>
    <x v="1"/>
    <s v="MA"/>
    <s v="Massachusetts"/>
    <s v="Keyspan"/>
    <x v="34"/>
    <x v="14"/>
    <m/>
    <s v="C - C&amp;I"/>
    <x v="2"/>
    <n v="16669"/>
  </r>
  <r>
    <x v="1"/>
    <s v="MA"/>
    <s v="Massachusetts"/>
    <s v="Keyspan"/>
    <x v="34"/>
    <x v="12"/>
    <m/>
    <s v="C - C&amp;I"/>
    <x v="1"/>
    <n v="3094594"/>
  </r>
  <r>
    <x v="1"/>
    <s v="MA"/>
    <s v="Massachusetts"/>
    <s v="Keyspan"/>
    <x v="34"/>
    <x v="13"/>
    <m/>
    <s v="C - C&amp;I"/>
    <x v="0"/>
    <n v="35711447"/>
  </r>
  <r>
    <x v="1"/>
    <s v="MA"/>
    <s v="Massachusetts"/>
    <s v="Keyspan"/>
    <x v="34"/>
    <x v="16"/>
    <m/>
    <s v="C - C&amp;I"/>
    <x v="2"/>
    <n v="35"/>
  </r>
  <r>
    <x v="1"/>
    <s v="MA"/>
    <s v="Massachusetts"/>
    <s v="Keyspan"/>
    <x v="34"/>
    <x v="17"/>
    <m/>
    <s v="C - C&amp;I"/>
    <x v="0"/>
    <n v="13539215"/>
  </r>
  <r>
    <x v="1"/>
    <s v="MA"/>
    <s v="Massachusetts"/>
    <s v="Keyspan"/>
    <x v="34"/>
    <x v="15"/>
    <m/>
    <s v="C - C&amp;I"/>
    <x v="1"/>
    <n v="1294602"/>
  </r>
  <r>
    <x v="4"/>
    <s v="CT"/>
    <s v="Connecticut"/>
    <s v="CNG"/>
    <x v="8"/>
    <x v="9"/>
    <m/>
    <s v="A - RES"/>
    <x v="0"/>
    <n v="241523184"/>
  </r>
  <r>
    <x v="4"/>
    <s v="CT"/>
    <s v="Connecticut"/>
    <s v="CNG"/>
    <x v="8"/>
    <x v="10"/>
    <m/>
    <s v="A - RES"/>
    <x v="2"/>
    <n v="168543"/>
  </r>
  <r>
    <x v="4"/>
    <s v="CT"/>
    <s v="Connecticut"/>
    <s v="CNG"/>
    <x v="8"/>
    <x v="11"/>
    <m/>
    <s v="A - RES"/>
    <x v="1"/>
    <n v="16639021"/>
  </r>
  <r>
    <x v="4"/>
    <s v="CT"/>
    <s v="Connecticut"/>
    <s v="CNG"/>
    <x v="8"/>
    <x v="12"/>
    <m/>
    <s v="C - C&amp;I"/>
    <x v="1"/>
    <n v="12375539"/>
  </r>
  <r>
    <x v="4"/>
    <s v="CT"/>
    <s v="Connecticut"/>
    <s v="CNG"/>
    <x v="8"/>
    <x v="13"/>
    <m/>
    <s v="C - C&amp;I"/>
    <x v="0"/>
    <n v="114968797"/>
  </r>
  <r>
    <x v="4"/>
    <s v="CT"/>
    <s v="Connecticut"/>
    <s v="CNG"/>
    <x v="8"/>
    <x v="14"/>
    <m/>
    <s v="C - C&amp;I"/>
    <x v="2"/>
    <n v="14355"/>
  </r>
  <r>
    <x v="4"/>
    <s v="CT"/>
    <s v="Connecticut"/>
    <s v="CNG"/>
    <x v="8"/>
    <x v="16"/>
    <m/>
    <s v="C - C&amp;I"/>
    <x v="2"/>
    <n v="900"/>
  </r>
  <r>
    <x v="4"/>
    <s v="CT"/>
    <s v="Connecticut"/>
    <s v="CNG"/>
    <x v="8"/>
    <x v="15"/>
    <m/>
    <s v="C - C&amp;I"/>
    <x v="1"/>
    <n v="3468946"/>
  </r>
  <r>
    <x v="4"/>
    <s v="CT"/>
    <s v="Connecticut"/>
    <s v="CNG"/>
    <x v="8"/>
    <x v="17"/>
    <m/>
    <s v="C - C&amp;I"/>
    <x v="0"/>
    <n v="19954753"/>
  </r>
  <r>
    <x v="5"/>
    <s v="NY"/>
    <s v="New York"/>
    <s v="ConEd"/>
    <x v="9"/>
    <x v="10"/>
    <m/>
    <s v="A - RES"/>
    <x v="2"/>
    <n v="846207"/>
  </r>
  <r>
    <x v="5"/>
    <s v="NY"/>
    <s v="New York"/>
    <s v="ConEd"/>
    <x v="9"/>
    <x v="9"/>
    <m/>
    <s v="A - RES"/>
    <x v="0"/>
    <n v="1085672681"/>
  </r>
  <r>
    <x v="5"/>
    <s v="NY"/>
    <s v="New York"/>
    <s v="ConEd"/>
    <x v="9"/>
    <x v="11"/>
    <m/>
    <s v="A - RES"/>
    <x v="1"/>
    <n v="52194015"/>
  </r>
  <r>
    <x v="5"/>
    <s v="NY"/>
    <s v="New York"/>
    <s v="ConEd"/>
    <x v="9"/>
    <x v="14"/>
    <m/>
    <s v="C - C&amp;I"/>
    <x v="2"/>
    <n v="123143"/>
  </r>
  <r>
    <x v="5"/>
    <s v="NY"/>
    <s v="New York"/>
    <s v="ConEd"/>
    <x v="9"/>
    <x v="12"/>
    <m/>
    <s v="C - C&amp;I"/>
    <x v="1"/>
    <n v="50131541"/>
  </r>
  <r>
    <x v="5"/>
    <s v="NY"/>
    <s v="New York"/>
    <s v="ConEd"/>
    <x v="9"/>
    <x v="13"/>
    <m/>
    <s v="C - C&amp;I"/>
    <x v="0"/>
    <n v="435146877"/>
  </r>
  <r>
    <x v="5"/>
    <s v="NY"/>
    <s v="New York"/>
    <s v="ConEd"/>
    <x v="9"/>
    <x v="16"/>
    <m/>
    <s v="C - C&amp;I"/>
    <x v="2"/>
    <n v="15"/>
  </r>
  <r>
    <x v="5"/>
    <s v="NY"/>
    <s v="New York"/>
    <s v="ConEd"/>
    <x v="9"/>
    <x v="17"/>
    <m/>
    <s v="C - C&amp;I"/>
    <x v="0"/>
    <n v="9680435"/>
  </r>
  <r>
    <x v="5"/>
    <s v="NY"/>
    <s v="New York"/>
    <s v="ConEd"/>
    <x v="9"/>
    <x v="15"/>
    <m/>
    <s v="C - C&amp;I"/>
    <x v="1"/>
    <n v="1182467"/>
  </r>
  <r>
    <x v="6"/>
    <s v="MI"/>
    <s v="Michigan"/>
    <s v="CMS"/>
    <x v="10"/>
    <x v="9"/>
    <m/>
    <s v="A - RES"/>
    <x v="0"/>
    <n v="1410907104"/>
  </r>
  <r>
    <x v="6"/>
    <s v="MI"/>
    <s v="Michigan"/>
    <s v="CMS"/>
    <x v="10"/>
    <x v="11"/>
    <m/>
    <s v="A - RES"/>
    <x v="1"/>
    <n v="145465071"/>
  </r>
  <r>
    <x v="6"/>
    <s v="MI"/>
    <s v="Michigan"/>
    <s v="CMS"/>
    <x v="10"/>
    <x v="10"/>
    <m/>
    <s v="A - RES"/>
    <x v="2"/>
    <n v="1670761"/>
  </r>
  <r>
    <x v="6"/>
    <s v="MI"/>
    <s v="Michigan"/>
    <s v="CMS"/>
    <x v="10"/>
    <x v="13"/>
    <m/>
    <s v="C - C&amp;I"/>
    <x v="0"/>
    <n v="408307501"/>
  </r>
  <r>
    <x v="6"/>
    <s v="MI"/>
    <s v="Michigan"/>
    <s v="CMS"/>
    <x v="10"/>
    <x v="12"/>
    <m/>
    <s v="C - C&amp;I"/>
    <x v="1"/>
    <n v="50746737"/>
  </r>
  <r>
    <x v="6"/>
    <s v="MI"/>
    <s v="Michigan"/>
    <s v="CMS"/>
    <x v="10"/>
    <x v="14"/>
    <m/>
    <s v="C - C&amp;I"/>
    <x v="2"/>
    <n v="127175"/>
  </r>
  <r>
    <x v="6"/>
    <s v="MI"/>
    <s v="Michigan"/>
    <s v="CMS"/>
    <x v="10"/>
    <x v="15"/>
    <m/>
    <s v="C - C&amp;I"/>
    <x v="1"/>
    <n v="7660770"/>
  </r>
  <r>
    <x v="6"/>
    <s v="MI"/>
    <s v="Michigan"/>
    <s v="CMS"/>
    <x v="10"/>
    <x v="16"/>
    <m/>
    <s v="C - C&amp;I"/>
    <x v="2"/>
    <n v="4161"/>
  </r>
  <r>
    <x v="6"/>
    <s v="MI"/>
    <s v="Michigan"/>
    <s v="CMS"/>
    <x v="10"/>
    <x v="17"/>
    <m/>
    <s v="C - C&amp;I"/>
    <x v="0"/>
    <n v="54348536"/>
  </r>
  <r>
    <x v="7"/>
    <s v="MI"/>
    <s v="Michigan"/>
    <s v="DTE"/>
    <x v="11"/>
    <x v="10"/>
    <m/>
    <s v="A - RES"/>
    <x v="2"/>
    <n v="1106580"/>
  </r>
  <r>
    <x v="7"/>
    <s v="MI"/>
    <s v="Michigan"/>
    <s v="DTE"/>
    <x v="11"/>
    <x v="9"/>
    <m/>
    <s v="A - RES"/>
    <x v="0"/>
    <n v="873100354"/>
  </r>
  <r>
    <x v="7"/>
    <s v="MI"/>
    <s v="Michigan"/>
    <s v="DTE"/>
    <x v="11"/>
    <x v="11"/>
    <m/>
    <s v="A - RES"/>
    <x v="1"/>
    <n v="98118896"/>
  </r>
  <r>
    <x v="7"/>
    <s v="MI"/>
    <s v="Michigan"/>
    <s v="DTE"/>
    <x v="11"/>
    <x v="13"/>
    <m/>
    <s v="C - C&amp;I"/>
    <x v="0"/>
    <n v="213904459"/>
  </r>
  <r>
    <x v="7"/>
    <s v="MI"/>
    <s v="Michigan"/>
    <s v="DTE"/>
    <x v="11"/>
    <x v="12"/>
    <m/>
    <s v="C - C&amp;I"/>
    <x v="1"/>
    <n v="25672673"/>
  </r>
  <r>
    <x v="7"/>
    <s v="MI"/>
    <s v="Michigan"/>
    <s v="DTE"/>
    <x v="11"/>
    <x v="14"/>
    <m/>
    <s v="C - C&amp;I"/>
    <x v="2"/>
    <n v="73605"/>
  </r>
  <r>
    <x v="7"/>
    <s v="MI"/>
    <s v="Michigan"/>
    <s v="DTE"/>
    <x v="11"/>
    <x v="15"/>
    <m/>
    <s v="C - C&amp;I"/>
    <x v="1"/>
    <n v="594449"/>
  </r>
  <r>
    <x v="7"/>
    <s v="MI"/>
    <s v="Michigan"/>
    <s v="DTE"/>
    <x v="11"/>
    <x v="16"/>
    <m/>
    <s v="C - C&amp;I"/>
    <x v="2"/>
    <n v="315"/>
  </r>
  <r>
    <x v="7"/>
    <s v="MI"/>
    <s v="Michigan"/>
    <s v="DTE"/>
    <x v="11"/>
    <x v="17"/>
    <m/>
    <s v="C - C&amp;I"/>
    <x v="0"/>
    <n v="3995963"/>
  </r>
  <r>
    <x v="13"/>
    <s v="MA"/>
    <s v="Massachusetts"/>
    <s v="Eversource"/>
    <x v="21"/>
    <x v="11"/>
    <m/>
    <s v="A - RES"/>
    <x v="1"/>
    <n v="24056409"/>
  </r>
  <r>
    <x v="13"/>
    <s v="MA"/>
    <s v="Massachusetts"/>
    <s v="Eversource"/>
    <x v="21"/>
    <x v="9"/>
    <m/>
    <s v="A - RES"/>
    <x v="0"/>
    <n v="341883398"/>
  </r>
  <r>
    <x v="13"/>
    <s v="MA"/>
    <s v="Massachusetts"/>
    <s v="Eversource"/>
    <x v="21"/>
    <x v="10"/>
    <m/>
    <s v="A - RES"/>
    <x v="2"/>
    <n v="302787"/>
  </r>
  <r>
    <x v="13"/>
    <s v="MA"/>
    <s v="Massachusetts"/>
    <s v="Eversource"/>
    <x v="21"/>
    <x v="12"/>
    <m/>
    <s v="C - C&amp;I"/>
    <x v="1"/>
    <n v="7250513"/>
  </r>
  <r>
    <x v="13"/>
    <s v="MA"/>
    <s v="Massachusetts"/>
    <s v="Eversource"/>
    <x v="21"/>
    <x v="14"/>
    <m/>
    <s v="C - C&amp;I"/>
    <x v="2"/>
    <n v="26284"/>
  </r>
  <r>
    <x v="13"/>
    <s v="MA"/>
    <s v="Massachusetts"/>
    <s v="Eversource"/>
    <x v="21"/>
    <x v="13"/>
    <m/>
    <s v="C - C&amp;I"/>
    <x v="0"/>
    <n v="76066617"/>
  </r>
  <r>
    <x v="13"/>
    <s v="MA"/>
    <s v="Massachusetts"/>
    <s v="Eversource"/>
    <x v="21"/>
    <x v="15"/>
    <m/>
    <s v="C - C&amp;I"/>
    <x v="1"/>
    <n v="2596082"/>
  </r>
  <r>
    <x v="13"/>
    <s v="MA"/>
    <s v="Massachusetts"/>
    <s v="Eversource"/>
    <x v="21"/>
    <x v="17"/>
    <m/>
    <s v="C - C&amp;I"/>
    <x v="0"/>
    <n v="21054516"/>
  </r>
  <r>
    <x v="13"/>
    <s v="MA"/>
    <s v="Massachusetts"/>
    <s v="Eversource"/>
    <x v="21"/>
    <x v="16"/>
    <m/>
    <s v="C - C&amp;I"/>
    <x v="2"/>
    <n v="277"/>
  </r>
  <r>
    <x v="8"/>
    <s v="NY"/>
    <s v="New York"/>
    <s v="Ngrid"/>
    <x v="13"/>
    <x v="11"/>
    <m/>
    <s v="A - RES"/>
    <x v="1"/>
    <n v="53452175"/>
  </r>
  <r>
    <x v="8"/>
    <s v="NY"/>
    <s v="New York"/>
    <s v="Ngrid"/>
    <x v="13"/>
    <x v="9"/>
    <m/>
    <s v="A - RES"/>
    <x v="0"/>
    <n v="764931463"/>
  </r>
  <r>
    <x v="8"/>
    <s v="NY"/>
    <s v="New York"/>
    <s v="Ngrid"/>
    <x v="13"/>
    <x v="10"/>
    <m/>
    <s v="A - RES"/>
    <x v="2"/>
    <n v="537093"/>
  </r>
  <r>
    <x v="8"/>
    <s v="NY"/>
    <s v="New York"/>
    <s v="Ngrid"/>
    <x v="13"/>
    <x v="13"/>
    <m/>
    <s v="C - C&amp;I"/>
    <x v="0"/>
    <n v="270998095"/>
  </r>
  <r>
    <x v="8"/>
    <s v="NY"/>
    <s v="New York"/>
    <s v="Ngrid"/>
    <x v="13"/>
    <x v="12"/>
    <m/>
    <s v="C - C&amp;I"/>
    <x v="1"/>
    <n v="25128809"/>
  </r>
  <r>
    <x v="8"/>
    <s v="NY"/>
    <s v="New York"/>
    <s v="Ngrid"/>
    <x v="13"/>
    <x v="14"/>
    <m/>
    <s v="C - C&amp;I"/>
    <x v="2"/>
    <n v="51197"/>
  </r>
  <r>
    <x v="9"/>
    <s v="WI"/>
    <s v="Wisconsin"/>
    <s v="Madison Gas"/>
    <x v="14"/>
    <x v="9"/>
    <m/>
    <s v="A - RES"/>
    <x v="0"/>
    <n v="121788963"/>
  </r>
  <r>
    <x v="9"/>
    <s v="WI"/>
    <s v="Wisconsin"/>
    <s v="Madison Gas"/>
    <x v="14"/>
    <x v="11"/>
    <m/>
    <s v="A - RES"/>
    <x v="1"/>
    <n v="11266862"/>
  </r>
  <r>
    <x v="9"/>
    <s v="WI"/>
    <s v="Wisconsin"/>
    <s v="Madison Gas"/>
    <x v="14"/>
    <x v="10"/>
    <m/>
    <s v="A - RES"/>
    <x v="2"/>
    <n v="154282"/>
  </r>
  <r>
    <x v="9"/>
    <s v="WI"/>
    <s v="Wisconsin"/>
    <s v="Madison Gas"/>
    <x v="14"/>
    <x v="14"/>
    <m/>
    <s v="C - C&amp;I"/>
    <x v="2"/>
    <n v="13249"/>
  </r>
  <r>
    <x v="9"/>
    <s v="WI"/>
    <s v="Wisconsin"/>
    <s v="Madison Gas"/>
    <x v="14"/>
    <x v="12"/>
    <m/>
    <s v="C - C&amp;I"/>
    <x v="1"/>
    <n v="6510164"/>
  </r>
  <r>
    <x v="9"/>
    <s v="WI"/>
    <s v="Wisconsin"/>
    <s v="Madison Gas"/>
    <x v="14"/>
    <x v="13"/>
    <m/>
    <s v="C - C&amp;I"/>
    <x v="0"/>
    <n v="50143780"/>
  </r>
  <r>
    <x v="9"/>
    <s v="WI"/>
    <s v="Wisconsin"/>
    <s v="Madison Gas"/>
    <x v="14"/>
    <x v="15"/>
    <m/>
    <s v="C - C&amp;I"/>
    <x v="1"/>
    <n v="279539"/>
  </r>
  <r>
    <x v="9"/>
    <s v="WI"/>
    <s v="Wisconsin"/>
    <s v="Madison Gas"/>
    <x v="14"/>
    <x v="16"/>
    <m/>
    <s v="C - C&amp;I"/>
    <x v="2"/>
    <n v="48"/>
  </r>
  <r>
    <x v="9"/>
    <s v="WI"/>
    <s v="Wisconsin"/>
    <s v="Madison Gas"/>
    <x v="14"/>
    <x v="17"/>
    <m/>
    <s v="C - C&amp;I"/>
    <x v="0"/>
    <n v="1799389"/>
  </r>
  <r>
    <x v="1"/>
    <s v="RI"/>
    <s v="Rhode Island"/>
    <s v="RI Energy"/>
    <x v="15"/>
    <x v="10"/>
    <m/>
    <s v="A - RES"/>
    <x v="2"/>
    <n v="247368"/>
  </r>
  <r>
    <x v="1"/>
    <s v="RI"/>
    <s v="Rhode Island"/>
    <s v="RI Energy"/>
    <x v="15"/>
    <x v="9"/>
    <m/>
    <s v="A - RES"/>
    <x v="0"/>
    <n v="300715413"/>
  </r>
  <r>
    <x v="1"/>
    <s v="RI"/>
    <s v="Rhode Island"/>
    <s v="RI Energy"/>
    <x v="15"/>
    <x v="11"/>
    <m/>
    <s v="A - RES"/>
    <x v="1"/>
    <n v="18580888"/>
  </r>
  <r>
    <x v="1"/>
    <s v="RI"/>
    <s v="Rhode Island"/>
    <s v="RI Energy"/>
    <x v="15"/>
    <x v="12"/>
    <m/>
    <s v="C - C&amp;I"/>
    <x v="1"/>
    <n v="5862063"/>
  </r>
  <r>
    <x v="1"/>
    <s v="RI"/>
    <s v="Rhode Island"/>
    <s v="RI Energy"/>
    <x v="15"/>
    <x v="14"/>
    <m/>
    <s v="C - C&amp;I"/>
    <x v="2"/>
    <n v="21768"/>
  </r>
  <r>
    <x v="1"/>
    <s v="RI"/>
    <s v="Rhode Island"/>
    <s v="RI Energy"/>
    <x v="15"/>
    <x v="13"/>
    <m/>
    <s v="C - C&amp;I"/>
    <x v="0"/>
    <n v="77415702"/>
  </r>
  <r>
    <x v="1"/>
    <s v="RI"/>
    <s v="Rhode Island"/>
    <s v="RI Energy"/>
    <x v="15"/>
    <x v="15"/>
    <m/>
    <s v="C - C&amp;I"/>
    <x v="1"/>
    <n v="319931"/>
  </r>
  <r>
    <x v="1"/>
    <s v="RI"/>
    <s v="Rhode Island"/>
    <s v="RI Energy"/>
    <x v="15"/>
    <x v="16"/>
    <m/>
    <s v="C - C&amp;I"/>
    <x v="2"/>
    <n v="59"/>
  </r>
  <r>
    <x v="1"/>
    <s v="RI"/>
    <s v="Rhode Island"/>
    <s v="RI Energy"/>
    <x v="15"/>
    <x v="17"/>
    <m/>
    <s v="C - C&amp;I"/>
    <x v="0"/>
    <n v="3138722"/>
  </r>
  <r>
    <x v="1"/>
    <s v="NM"/>
    <s v="New Mexico"/>
    <s v="NMGCo"/>
    <x v="16"/>
    <x v="10"/>
    <m/>
    <s v="A - RES"/>
    <x v="2"/>
    <n v="500559"/>
  </r>
  <r>
    <x v="1"/>
    <s v="NM"/>
    <s v="New Mexico"/>
    <s v="NMGCo"/>
    <x v="16"/>
    <x v="11"/>
    <m/>
    <s v="A - RES"/>
    <x v="1"/>
    <n v="30120575"/>
  </r>
  <r>
    <x v="1"/>
    <s v="NM"/>
    <s v="New Mexico"/>
    <s v="NMGCo"/>
    <x v="16"/>
    <x v="9"/>
    <m/>
    <s v="A - RES"/>
    <x v="0"/>
    <n v="287928578"/>
  </r>
  <r>
    <x v="1"/>
    <s v="NM"/>
    <s v="New Mexico"/>
    <s v="NMGCo"/>
    <x v="16"/>
    <x v="12"/>
    <m/>
    <s v="C - C&amp;I"/>
    <x v="1"/>
    <n v="11315085"/>
  </r>
  <r>
    <x v="1"/>
    <s v="NM"/>
    <s v="New Mexico"/>
    <s v="NMGCo"/>
    <x v="16"/>
    <x v="14"/>
    <m/>
    <s v="C - C&amp;I"/>
    <x v="2"/>
    <n v="37554"/>
  </r>
  <r>
    <x v="1"/>
    <s v="NM"/>
    <s v="New Mexico"/>
    <s v="NMGCo"/>
    <x v="16"/>
    <x v="13"/>
    <m/>
    <s v="C - C&amp;I"/>
    <x v="0"/>
    <n v="80227516"/>
  </r>
  <r>
    <x v="1"/>
    <s v="NM"/>
    <s v="New Mexico"/>
    <s v="NMGCo"/>
    <x v="16"/>
    <x v="16"/>
    <m/>
    <s v="C - C&amp;I"/>
    <x v="2"/>
    <n v="452"/>
  </r>
  <r>
    <x v="1"/>
    <s v="NM"/>
    <s v="New Mexico"/>
    <s v="NMGCo"/>
    <x v="16"/>
    <x v="15"/>
    <m/>
    <s v="C - C&amp;I"/>
    <x v="1"/>
    <n v="1940204"/>
  </r>
  <r>
    <x v="1"/>
    <s v="NM"/>
    <s v="New Mexico"/>
    <s v="NMGCo"/>
    <x v="16"/>
    <x v="17"/>
    <m/>
    <s v="C - C&amp;I"/>
    <x v="0"/>
    <n v="10996698"/>
  </r>
  <r>
    <x v="8"/>
    <s v="NY"/>
    <s v="New York"/>
    <s v="Ngrid"/>
    <x v="13"/>
    <x v="10"/>
    <m/>
    <s v="A - RES"/>
    <x v="2"/>
    <n v="525210"/>
  </r>
  <r>
    <x v="8"/>
    <s v="NY"/>
    <s v="New York"/>
    <s v="Ngrid"/>
    <x v="13"/>
    <x v="9"/>
    <m/>
    <s v="A - RES"/>
    <x v="0"/>
    <n v="427656808"/>
  </r>
  <r>
    <x v="8"/>
    <s v="NY"/>
    <s v="New York"/>
    <s v="Ngrid"/>
    <x v="13"/>
    <x v="11"/>
    <m/>
    <s v="A - RES"/>
    <x v="1"/>
    <n v="43003998"/>
  </r>
  <r>
    <x v="8"/>
    <s v="NY"/>
    <s v="New York"/>
    <s v="Ngrid"/>
    <x v="13"/>
    <x v="14"/>
    <m/>
    <s v="C - C&amp;I"/>
    <x v="2"/>
    <n v="32571"/>
  </r>
  <r>
    <x v="8"/>
    <s v="NY"/>
    <s v="New York"/>
    <s v="Ngrid"/>
    <x v="13"/>
    <x v="12"/>
    <m/>
    <s v="C - C&amp;I"/>
    <x v="1"/>
    <n v="11786812"/>
  </r>
  <r>
    <x v="8"/>
    <s v="NY"/>
    <s v="New York"/>
    <s v="Ngrid"/>
    <x v="13"/>
    <x v="13"/>
    <m/>
    <s v="C - C&amp;I"/>
    <x v="0"/>
    <n v="86381983"/>
  </r>
  <r>
    <x v="8"/>
    <s v="NY"/>
    <s v="New York"/>
    <s v="Ngrid"/>
    <x v="13"/>
    <x v="16"/>
    <m/>
    <s v="C - C&amp;I"/>
    <x v="2"/>
    <n v="84"/>
  </r>
  <r>
    <x v="8"/>
    <s v="NY"/>
    <s v="New York"/>
    <s v="Ngrid"/>
    <x v="13"/>
    <x v="17"/>
    <m/>
    <s v="C - C&amp;I"/>
    <x v="0"/>
    <n v="681080"/>
  </r>
  <r>
    <x v="8"/>
    <s v="NY"/>
    <s v="New York"/>
    <s v="Ngrid"/>
    <x v="13"/>
    <x v="15"/>
    <m/>
    <s v="C - C&amp;I"/>
    <x v="1"/>
    <n v="109321"/>
  </r>
  <r>
    <x v="10"/>
    <s v="IL"/>
    <s v="Illinois"/>
    <s v="Nicor"/>
    <x v="17"/>
    <x v="10"/>
    <m/>
    <s v="A - RES"/>
    <x v="2"/>
    <n v="1899588"/>
  </r>
  <r>
    <x v="10"/>
    <s v="IL"/>
    <s v="Illinois"/>
    <s v="Nicor"/>
    <x v="17"/>
    <x v="11"/>
    <m/>
    <s v="A - RES"/>
    <x v="1"/>
    <n v="190703631"/>
  </r>
  <r>
    <x v="10"/>
    <s v="IL"/>
    <s v="Illinois"/>
    <s v="Nicor"/>
    <x v="17"/>
    <x v="9"/>
    <m/>
    <s v="A - RES"/>
    <x v="0"/>
    <n v="1633276337"/>
  </r>
  <r>
    <x v="10"/>
    <s v="IL"/>
    <s v="Illinois"/>
    <s v="Nicor"/>
    <x v="17"/>
    <x v="14"/>
    <m/>
    <s v="C - C&amp;I"/>
    <x v="2"/>
    <n v="112517"/>
  </r>
  <r>
    <x v="10"/>
    <s v="IL"/>
    <s v="Illinois"/>
    <s v="Nicor"/>
    <x v="17"/>
    <x v="13"/>
    <m/>
    <s v="C - C&amp;I"/>
    <x v="0"/>
    <n v="290292435"/>
  </r>
  <r>
    <x v="10"/>
    <s v="IL"/>
    <s v="Illinois"/>
    <s v="Nicor"/>
    <x v="17"/>
    <x v="12"/>
    <m/>
    <s v="C - C&amp;I"/>
    <x v="1"/>
    <n v="38323796"/>
  </r>
  <r>
    <x v="10"/>
    <s v="IL"/>
    <s v="Illinois"/>
    <s v="Nicor"/>
    <x v="17"/>
    <x v="16"/>
    <m/>
    <s v="C - C&amp;I"/>
    <x v="2"/>
    <n v="12654"/>
  </r>
  <r>
    <x v="10"/>
    <s v="IL"/>
    <s v="Illinois"/>
    <s v="Nicor"/>
    <x v="17"/>
    <x v="15"/>
    <m/>
    <s v="C - C&amp;I"/>
    <x v="1"/>
    <n v="7627386"/>
  </r>
  <r>
    <x v="10"/>
    <s v="IL"/>
    <s v="Illinois"/>
    <s v="Nicor"/>
    <x v="17"/>
    <x v="17"/>
    <m/>
    <s v="C - C&amp;I"/>
    <x v="0"/>
    <n v="50931767"/>
  </r>
  <r>
    <x v="1"/>
    <s v="IL"/>
    <s v="Illinois"/>
    <s v="North Shore"/>
    <x v="18"/>
    <x v="9"/>
    <m/>
    <s v="A - RES"/>
    <x v="0"/>
    <n v="160543995"/>
  </r>
  <r>
    <x v="1"/>
    <s v="IL"/>
    <s v="Illinois"/>
    <s v="North Shore"/>
    <x v="18"/>
    <x v="10"/>
    <m/>
    <s v="A - RES"/>
    <x v="2"/>
    <n v="140819"/>
  </r>
  <r>
    <x v="1"/>
    <s v="IL"/>
    <s v="Illinois"/>
    <s v="North Shore"/>
    <x v="18"/>
    <x v="11"/>
    <m/>
    <s v="A - RES"/>
    <x v="1"/>
    <n v="17055164"/>
  </r>
  <r>
    <x v="1"/>
    <s v="IL"/>
    <s v="Illinois"/>
    <s v="North Shore"/>
    <x v="18"/>
    <x v="14"/>
    <m/>
    <s v="C - C&amp;I"/>
    <x v="2"/>
    <n v="8751"/>
  </r>
  <r>
    <x v="1"/>
    <s v="IL"/>
    <s v="Illinois"/>
    <s v="North Shore"/>
    <x v="18"/>
    <x v="13"/>
    <m/>
    <s v="C - C&amp;I"/>
    <x v="0"/>
    <n v="23405362"/>
  </r>
  <r>
    <x v="1"/>
    <s v="IL"/>
    <s v="Illinois"/>
    <s v="North Shore"/>
    <x v="18"/>
    <x v="12"/>
    <m/>
    <s v="C - C&amp;I"/>
    <x v="1"/>
    <n v="2889426"/>
  </r>
  <r>
    <x v="1"/>
    <s v="IL"/>
    <s v="Illinois"/>
    <s v="North Shore"/>
    <x v="18"/>
    <x v="17"/>
    <m/>
    <s v="C - C&amp;I"/>
    <x v="0"/>
    <n v="3544356"/>
  </r>
  <r>
    <x v="1"/>
    <s v="IL"/>
    <s v="Illinois"/>
    <s v="North Shore"/>
    <x v="18"/>
    <x v="16"/>
    <m/>
    <s v="C - C&amp;I"/>
    <x v="2"/>
    <n v="575"/>
  </r>
  <r>
    <x v="1"/>
    <s v="IL"/>
    <s v="Illinois"/>
    <s v="North Shore"/>
    <x v="18"/>
    <x v="15"/>
    <m/>
    <s v="C - C&amp;I"/>
    <x v="1"/>
    <n v="464104"/>
  </r>
  <r>
    <x v="11"/>
    <s v="MN"/>
    <s v="Minnesota"/>
    <s v="Xcel"/>
    <x v="19"/>
    <x v="10"/>
    <m/>
    <s v="A - RES"/>
    <x v="2"/>
    <n v="438247"/>
  </r>
  <r>
    <x v="11"/>
    <s v="MN"/>
    <s v="Minnesota"/>
    <s v="Xcel"/>
    <x v="19"/>
    <x v="11"/>
    <m/>
    <s v="A - RES"/>
    <x v="1"/>
    <n v="35286911"/>
  </r>
  <r>
    <x v="11"/>
    <s v="MN"/>
    <s v="Minnesota"/>
    <s v="Xcel"/>
    <x v="19"/>
    <x v="9"/>
    <m/>
    <s v="A - RES"/>
    <x v="0"/>
    <n v="306619750"/>
  </r>
  <r>
    <x v="11"/>
    <s v="MN"/>
    <s v="Minnesota"/>
    <s v="Xcel"/>
    <x v="19"/>
    <x v="12"/>
    <m/>
    <s v="C - C&amp;I"/>
    <x v="1"/>
    <n v="20733036"/>
  </r>
  <r>
    <x v="11"/>
    <s v="MN"/>
    <s v="Minnesota"/>
    <s v="Xcel"/>
    <x v="19"/>
    <x v="14"/>
    <m/>
    <s v="C - C&amp;I"/>
    <x v="2"/>
    <n v="35631"/>
  </r>
  <r>
    <x v="11"/>
    <s v="MN"/>
    <s v="Minnesota"/>
    <s v="Xcel"/>
    <x v="19"/>
    <x v="13"/>
    <m/>
    <s v="C - C&amp;I"/>
    <x v="0"/>
    <n v="150723548"/>
  </r>
  <r>
    <x v="11"/>
    <s v="MN"/>
    <s v="Minnesota"/>
    <s v="Xcel"/>
    <x v="19"/>
    <x v="17"/>
    <m/>
    <s v="C - C&amp;I"/>
    <x v="0"/>
    <n v="63162235"/>
  </r>
  <r>
    <x v="11"/>
    <s v="MN"/>
    <s v="Minnesota"/>
    <s v="Xcel"/>
    <x v="19"/>
    <x v="15"/>
    <m/>
    <s v="C - C&amp;I"/>
    <x v="1"/>
    <n v="11466496"/>
  </r>
  <r>
    <x v="11"/>
    <s v="MN"/>
    <s v="Minnesota"/>
    <s v="Xcel"/>
    <x v="19"/>
    <x v="16"/>
    <m/>
    <s v="C - C&amp;I"/>
    <x v="2"/>
    <n v="450"/>
  </r>
  <r>
    <x v="9"/>
    <s v="WI"/>
    <s v="Wisconsin"/>
    <s v="Xcel-WI"/>
    <x v="14"/>
    <x v="11"/>
    <m/>
    <s v="A - RES"/>
    <x v="1"/>
    <n v="6574671"/>
  </r>
  <r>
    <x v="9"/>
    <s v="WI"/>
    <s v="Wisconsin"/>
    <s v="Xcel-WI"/>
    <x v="14"/>
    <x v="10"/>
    <m/>
    <s v="A - RES"/>
    <x v="2"/>
    <n v="100442"/>
  </r>
  <r>
    <x v="9"/>
    <s v="WI"/>
    <s v="Wisconsin"/>
    <s v="Xcel-WI"/>
    <x v="14"/>
    <x v="9"/>
    <m/>
    <s v="A - RES"/>
    <x v="0"/>
    <n v="85330358"/>
  </r>
  <r>
    <x v="9"/>
    <s v="WI"/>
    <s v="Wisconsin"/>
    <s v="Xcel-WI"/>
    <x v="14"/>
    <x v="13"/>
    <m/>
    <s v="C - C&amp;I"/>
    <x v="0"/>
    <n v="60846467"/>
  </r>
  <r>
    <x v="9"/>
    <s v="WI"/>
    <s v="Wisconsin"/>
    <s v="Xcel-WI"/>
    <x v="14"/>
    <x v="12"/>
    <m/>
    <s v="C - C&amp;I"/>
    <x v="1"/>
    <n v="5900098"/>
  </r>
  <r>
    <x v="9"/>
    <s v="WI"/>
    <s v="Wisconsin"/>
    <s v="Xcel-WI"/>
    <x v="14"/>
    <x v="14"/>
    <m/>
    <s v="C - C&amp;I"/>
    <x v="2"/>
    <n v="12610"/>
  </r>
  <r>
    <x v="9"/>
    <s v="WI"/>
    <s v="Wisconsin"/>
    <s v="Xcel-WI"/>
    <x v="14"/>
    <x v="16"/>
    <m/>
    <s v="C - C&amp;I"/>
    <x v="2"/>
    <n v="168"/>
  </r>
  <r>
    <x v="9"/>
    <s v="WI"/>
    <s v="Wisconsin"/>
    <s v="Xcel-WI"/>
    <x v="14"/>
    <x v="17"/>
    <m/>
    <s v="C - C&amp;I"/>
    <x v="0"/>
    <n v="21401819"/>
  </r>
  <r>
    <x v="9"/>
    <s v="WI"/>
    <s v="Wisconsin"/>
    <s v="Xcel-WI"/>
    <x v="14"/>
    <x v="15"/>
    <m/>
    <s v="C - C&amp;I"/>
    <x v="1"/>
    <n v="2531248"/>
  </r>
  <r>
    <x v="12"/>
    <s v="OR"/>
    <s v="Oregon"/>
    <s v="NW Natural"/>
    <x v="20"/>
    <x v="10"/>
    <m/>
    <s v="A - RES"/>
    <x v="2"/>
    <n v="625778"/>
  </r>
  <r>
    <x v="12"/>
    <s v="OR"/>
    <s v="Oregon"/>
    <s v="NW Natural"/>
    <x v="20"/>
    <x v="11"/>
    <m/>
    <s v="A - RES"/>
    <x v="1"/>
    <n v="36872033"/>
  </r>
  <r>
    <x v="12"/>
    <s v="OR"/>
    <s v="Oregon"/>
    <s v="NW Natural"/>
    <x v="20"/>
    <x v="9"/>
    <m/>
    <s v="A - RES"/>
    <x v="0"/>
    <n v="431664393"/>
  </r>
  <r>
    <x v="12"/>
    <s v="OR"/>
    <s v="Oregon"/>
    <s v="NW Natural"/>
    <x v="20"/>
    <x v="13"/>
    <m/>
    <s v="C - C&amp;I"/>
    <x v="0"/>
    <n v="195484820"/>
  </r>
  <r>
    <x v="12"/>
    <s v="OR"/>
    <s v="Oregon"/>
    <s v="NW Natural"/>
    <x v="20"/>
    <x v="14"/>
    <m/>
    <s v="C - C&amp;I"/>
    <x v="2"/>
    <n v="61301"/>
  </r>
  <r>
    <x v="12"/>
    <s v="OR"/>
    <s v="Oregon"/>
    <s v="NW Natural"/>
    <x v="20"/>
    <x v="12"/>
    <m/>
    <s v="C - C&amp;I"/>
    <x v="1"/>
    <n v="21976251"/>
  </r>
  <r>
    <x v="12"/>
    <s v="OR"/>
    <s v="Oregon"/>
    <s v="NW Natural"/>
    <x v="20"/>
    <x v="15"/>
    <m/>
    <s v="C - C&amp;I"/>
    <x v="1"/>
    <n v="8117996"/>
  </r>
  <r>
    <x v="12"/>
    <s v="OR"/>
    <s v="Oregon"/>
    <s v="NW Natural"/>
    <x v="20"/>
    <x v="17"/>
    <m/>
    <s v="C - C&amp;I"/>
    <x v="0"/>
    <n v="42324231"/>
  </r>
  <r>
    <x v="12"/>
    <s v="OR"/>
    <s v="Oregon"/>
    <s v="NW Natural"/>
    <x v="20"/>
    <x v="16"/>
    <m/>
    <s v="C - C&amp;I"/>
    <x v="2"/>
    <n v="711"/>
  </r>
  <r>
    <x v="13"/>
    <s v="MA"/>
    <s v="Massachusetts"/>
    <s v="Eversource"/>
    <x v="21"/>
    <x v="11"/>
    <m/>
    <s v="A - RES"/>
    <x v="1"/>
    <n v="20125025"/>
  </r>
  <r>
    <x v="13"/>
    <s v="MA"/>
    <s v="Massachusetts"/>
    <s v="Eversource"/>
    <x v="21"/>
    <x v="10"/>
    <m/>
    <s v="A - RES"/>
    <x v="2"/>
    <n v="269645"/>
  </r>
  <r>
    <x v="13"/>
    <s v="MA"/>
    <s v="Massachusetts"/>
    <s v="Eversource"/>
    <x v="21"/>
    <x v="9"/>
    <m/>
    <s v="A - RES"/>
    <x v="0"/>
    <n v="339280625"/>
  </r>
  <r>
    <x v="13"/>
    <s v="MA"/>
    <s v="Massachusetts"/>
    <s v="Eversource"/>
    <x v="21"/>
    <x v="14"/>
    <m/>
    <s v="C - C&amp;I"/>
    <x v="2"/>
    <n v="23549"/>
  </r>
  <r>
    <x v="13"/>
    <s v="MA"/>
    <s v="Massachusetts"/>
    <s v="Eversource"/>
    <x v="21"/>
    <x v="13"/>
    <m/>
    <s v="C - C&amp;I"/>
    <x v="0"/>
    <n v="115552426"/>
  </r>
  <r>
    <x v="13"/>
    <s v="MA"/>
    <s v="Massachusetts"/>
    <s v="Eversource"/>
    <x v="21"/>
    <x v="12"/>
    <m/>
    <s v="C - C&amp;I"/>
    <x v="1"/>
    <n v="9625894"/>
  </r>
  <r>
    <x v="13"/>
    <s v="MA"/>
    <s v="Massachusetts"/>
    <s v="Eversource"/>
    <x v="21"/>
    <x v="16"/>
    <m/>
    <s v="C - C&amp;I"/>
    <x v="2"/>
    <n v="597"/>
  </r>
  <r>
    <x v="13"/>
    <s v="MA"/>
    <s v="Massachusetts"/>
    <s v="Eversource"/>
    <x v="21"/>
    <x v="15"/>
    <m/>
    <s v="C - C&amp;I"/>
    <x v="1"/>
    <n v="1108179"/>
  </r>
  <r>
    <x v="13"/>
    <s v="MA"/>
    <s v="Massachusetts"/>
    <s v="Eversource"/>
    <x v="21"/>
    <x v="17"/>
    <m/>
    <s v="C - C&amp;I"/>
    <x v="0"/>
    <n v="11497307"/>
  </r>
  <r>
    <x v="1"/>
    <s v="CA"/>
    <s v="California"/>
    <s v="PG&amp;E"/>
    <x v="22"/>
    <x v="11"/>
    <m/>
    <s v="A - RES"/>
    <x v="1"/>
    <n v="162205045"/>
  </r>
  <r>
    <x v="1"/>
    <s v="CA"/>
    <s v="California"/>
    <s v="PG&amp;E"/>
    <x v="22"/>
    <x v="10"/>
    <m/>
    <s v="A - RES"/>
    <x v="2"/>
    <n v="3970046"/>
  </r>
  <r>
    <x v="1"/>
    <s v="CA"/>
    <s v="California"/>
    <s v="PG&amp;E"/>
    <x v="22"/>
    <x v="9"/>
    <m/>
    <s v="A - RES"/>
    <x v="0"/>
    <n v="2877447328"/>
  </r>
  <r>
    <x v="1"/>
    <s v="CA"/>
    <s v="California"/>
    <s v="PG&amp;E"/>
    <x v="22"/>
    <x v="12"/>
    <m/>
    <s v="C - C&amp;I"/>
    <x v="1"/>
    <n v="41579359"/>
  </r>
  <r>
    <x v="1"/>
    <s v="CA"/>
    <s v="California"/>
    <s v="PG&amp;E"/>
    <x v="22"/>
    <x v="14"/>
    <m/>
    <s v="C - C&amp;I"/>
    <x v="2"/>
    <n v="180924"/>
  </r>
  <r>
    <x v="1"/>
    <s v="CA"/>
    <s v="California"/>
    <s v="PG&amp;E"/>
    <x v="22"/>
    <x v="13"/>
    <m/>
    <s v="C - C&amp;I"/>
    <x v="0"/>
    <n v="568972461"/>
  </r>
  <r>
    <x v="1"/>
    <s v="CA"/>
    <s v="California"/>
    <s v="PG&amp;E"/>
    <x v="22"/>
    <x v="17"/>
    <m/>
    <s v="C - C&amp;I"/>
    <x v="0"/>
    <n v="121585679"/>
  </r>
  <r>
    <x v="1"/>
    <s v="CA"/>
    <s v="California"/>
    <s v="PG&amp;E"/>
    <x v="22"/>
    <x v="15"/>
    <m/>
    <s v="C - C&amp;I"/>
    <x v="1"/>
    <n v="10432919"/>
  </r>
  <r>
    <x v="1"/>
    <s v="CA"/>
    <s v="California"/>
    <s v="PG&amp;E"/>
    <x v="22"/>
    <x v="16"/>
    <m/>
    <s v="C - C&amp;I"/>
    <x v="2"/>
    <n v="15165"/>
  </r>
  <r>
    <x v="14"/>
    <s v="IL"/>
    <s v="Illinois"/>
    <s v="Peoples"/>
    <x v="23"/>
    <x v="10"/>
    <m/>
    <s v="A - RES"/>
    <x v="2"/>
    <n v="780655"/>
  </r>
  <r>
    <x v="14"/>
    <s v="IL"/>
    <s v="Illinois"/>
    <s v="Peoples"/>
    <x v="23"/>
    <x v="9"/>
    <m/>
    <s v="A - RES"/>
    <x v="0"/>
    <n v="1066897450"/>
  </r>
  <r>
    <x v="14"/>
    <s v="IL"/>
    <s v="Illinois"/>
    <s v="Peoples"/>
    <x v="23"/>
    <x v="11"/>
    <m/>
    <s v="A - RES"/>
    <x v="1"/>
    <n v="74437466"/>
  </r>
  <r>
    <x v="14"/>
    <s v="IL"/>
    <s v="Illinois"/>
    <s v="Peoples"/>
    <x v="23"/>
    <x v="14"/>
    <m/>
    <s v="C - C&amp;I"/>
    <x v="2"/>
    <n v="38412"/>
  </r>
  <r>
    <x v="14"/>
    <s v="IL"/>
    <s v="Illinois"/>
    <s v="Peoples"/>
    <x v="23"/>
    <x v="12"/>
    <m/>
    <s v="C - C&amp;I"/>
    <x v="1"/>
    <n v="13613233"/>
  </r>
  <r>
    <x v="14"/>
    <s v="IL"/>
    <s v="Illinois"/>
    <s v="Peoples"/>
    <x v="23"/>
    <x v="13"/>
    <m/>
    <s v="C - C&amp;I"/>
    <x v="0"/>
    <n v="155669940"/>
  </r>
  <r>
    <x v="14"/>
    <s v="IL"/>
    <s v="Illinois"/>
    <s v="Peoples"/>
    <x v="23"/>
    <x v="15"/>
    <m/>
    <s v="C - C&amp;I"/>
    <x v="1"/>
    <n v="1995157"/>
  </r>
  <r>
    <x v="14"/>
    <s v="IL"/>
    <s v="Illinois"/>
    <s v="Peoples"/>
    <x v="23"/>
    <x v="17"/>
    <m/>
    <s v="C - C&amp;I"/>
    <x v="0"/>
    <n v="19223502"/>
  </r>
  <r>
    <x v="14"/>
    <s v="IL"/>
    <s v="Illinois"/>
    <s v="Peoples"/>
    <x v="23"/>
    <x v="16"/>
    <m/>
    <s v="C - C&amp;I"/>
    <x v="2"/>
    <n v="1449"/>
  </r>
  <r>
    <x v="15"/>
    <s v="CO"/>
    <s v="Colorado"/>
    <s v="Xcel"/>
    <x v="24"/>
    <x v="11"/>
    <m/>
    <s v="A - RES"/>
    <x v="1"/>
    <n v="95416268"/>
  </r>
  <r>
    <x v="15"/>
    <s v="CO"/>
    <s v="Colorado"/>
    <s v="Xcel"/>
    <x v="24"/>
    <x v="10"/>
    <m/>
    <s v="A - RES"/>
    <x v="2"/>
    <n v="1341725"/>
  </r>
  <r>
    <x v="15"/>
    <s v="CO"/>
    <s v="Colorado"/>
    <s v="Xcel"/>
    <x v="24"/>
    <x v="9"/>
    <m/>
    <s v="A - RES"/>
    <x v="0"/>
    <n v="838583100"/>
  </r>
  <r>
    <x v="15"/>
    <s v="CO"/>
    <s v="Colorado"/>
    <s v="Xcel"/>
    <x v="24"/>
    <x v="14"/>
    <m/>
    <s v="C - C&amp;I"/>
    <x v="2"/>
    <n v="101058"/>
  </r>
  <r>
    <x v="15"/>
    <s v="CO"/>
    <s v="Colorado"/>
    <s v="Xcel"/>
    <x v="24"/>
    <x v="12"/>
    <m/>
    <s v="C - C&amp;I"/>
    <x v="1"/>
    <n v="33530423"/>
  </r>
  <r>
    <x v="15"/>
    <s v="CO"/>
    <s v="Colorado"/>
    <s v="Xcel"/>
    <x v="24"/>
    <x v="13"/>
    <m/>
    <s v="C - C&amp;I"/>
    <x v="0"/>
    <n v="263667549"/>
  </r>
  <r>
    <x v="15"/>
    <s v="CO"/>
    <s v="Colorado"/>
    <s v="Xcel"/>
    <x v="24"/>
    <x v="17"/>
    <m/>
    <s v="C - C&amp;I"/>
    <x v="0"/>
    <n v="52609559"/>
  </r>
  <r>
    <x v="15"/>
    <s v="CO"/>
    <s v="Colorado"/>
    <s v="Xcel"/>
    <x v="24"/>
    <x v="16"/>
    <m/>
    <s v="C - C&amp;I"/>
    <x v="2"/>
    <n v="941"/>
  </r>
  <r>
    <x v="15"/>
    <s v="CO"/>
    <s v="Colorado"/>
    <s v="Xcel"/>
    <x v="24"/>
    <x v="15"/>
    <m/>
    <s v="C - C&amp;I"/>
    <x v="1"/>
    <n v="7288760"/>
  </r>
  <r>
    <x v="16"/>
    <s v="NJ"/>
    <s v="New Jersey"/>
    <s v="PSEG"/>
    <x v="25"/>
    <x v="11"/>
    <m/>
    <s v="A - RES"/>
    <x v="1"/>
    <n v="136983749"/>
  </r>
  <r>
    <x v="16"/>
    <s v="NJ"/>
    <s v="New Jersey"/>
    <s v="PSEG"/>
    <x v="25"/>
    <x v="9"/>
    <m/>
    <s v="A - RES"/>
    <x v="0"/>
    <n v="1180478826"/>
  </r>
  <r>
    <x v="16"/>
    <s v="NJ"/>
    <s v="New Jersey"/>
    <s v="PSEG"/>
    <x v="25"/>
    <x v="10"/>
    <m/>
    <s v="A - RES"/>
    <x v="2"/>
    <n v="1667243"/>
  </r>
  <r>
    <x v="16"/>
    <s v="NJ"/>
    <s v="New Jersey"/>
    <s v="PSEG"/>
    <x v="25"/>
    <x v="13"/>
    <m/>
    <s v="C - C&amp;I"/>
    <x v="0"/>
    <n v="393389117"/>
  </r>
  <r>
    <x v="16"/>
    <s v="NJ"/>
    <s v="New Jersey"/>
    <s v="PSEG"/>
    <x v="25"/>
    <x v="14"/>
    <m/>
    <s v="C - C&amp;I"/>
    <x v="2"/>
    <n v="132852"/>
  </r>
  <r>
    <x v="16"/>
    <s v="NJ"/>
    <s v="New Jersey"/>
    <s v="PSEG"/>
    <x v="25"/>
    <x v="12"/>
    <m/>
    <s v="C - C&amp;I"/>
    <x v="1"/>
    <n v="44158856"/>
  </r>
  <r>
    <x v="16"/>
    <s v="NJ"/>
    <s v="New Jersey"/>
    <s v="PSEG"/>
    <x v="25"/>
    <x v="15"/>
    <m/>
    <s v="C - C&amp;I"/>
    <x v="1"/>
    <n v="2680375"/>
  </r>
  <r>
    <x v="16"/>
    <s v="NJ"/>
    <s v="New Jersey"/>
    <s v="PSEG"/>
    <x v="25"/>
    <x v="16"/>
    <m/>
    <s v="C - C&amp;I"/>
    <x v="2"/>
    <n v="5080"/>
  </r>
  <r>
    <x v="16"/>
    <s v="NJ"/>
    <s v="New Jersey"/>
    <s v="PSEG"/>
    <x v="25"/>
    <x v="17"/>
    <m/>
    <s v="C - C&amp;I"/>
    <x v="0"/>
    <n v="21333207"/>
  </r>
  <r>
    <x v="17"/>
    <s v="WA"/>
    <s v="Washington"/>
    <s v="PSE"/>
    <x v="26"/>
    <x v="11"/>
    <m/>
    <s v="A - RES"/>
    <x v="1"/>
    <n v="61102800"/>
  </r>
  <r>
    <x v="17"/>
    <s v="WA"/>
    <s v="Washington"/>
    <s v="PSE"/>
    <x v="26"/>
    <x v="9"/>
    <m/>
    <s v="A - RES"/>
    <x v="0"/>
    <n v="722022000"/>
  </r>
  <r>
    <x v="17"/>
    <s v="WA"/>
    <s v="Washington"/>
    <s v="PSE"/>
    <x v="26"/>
    <x v="10"/>
    <m/>
    <s v="A - RES"/>
    <x v="2"/>
    <n v="801186"/>
  </r>
  <r>
    <x v="17"/>
    <s v="WA"/>
    <s v="Washington"/>
    <s v="PSE"/>
    <x v="26"/>
    <x v="14"/>
    <m/>
    <s v="C - C&amp;I"/>
    <x v="2"/>
    <n v="56746"/>
  </r>
  <r>
    <x v="17"/>
    <s v="WA"/>
    <s v="Washington"/>
    <s v="PSE"/>
    <x v="26"/>
    <x v="12"/>
    <m/>
    <s v="C - C&amp;I"/>
    <x v="1"/>
    <n v="31204800"/>
  </r>
  <r>
    <x v="17"/>
    <s v="WA"/>
    <s v="Washington"/>
    <s v="PSE"/>
    <x v="26"/>
    <x v="13"/>
    <m/>
    <s v="C - C&amp;I"/>
    <x v="0"/>
    <n v="292217000"/>
  </r>
  <r>
    <x v="17"/>
    <s v="WA"/>
    <s v="Washington"/>
    <s v="PSE"/>
    <x v="26"/>
    <x v="17"/>
    <m/>
    <s v="C - C&amp;I"/>
    <x v="0"/>
    <n v="21726000"/>
  </r>
  <r>
    <x v="17"/>
    <s v="WA"/>
    <s v="Washington"/>
    <s v="PSE"/>
    <x v="26"/>
    <x v="15"/>
    <m/>
    <s v="C - C&amp;I"/>
    <x v="1"/>
    <n v="2688300"/>
  </r>
  <r>
    <x v="17"/>
    <s v="WA"/>
    <s v="Washington"/>
    <s v="PSE"/>
    <x v="26"/>
    <x v="16"/>
    <m/>
    <s v="C - C&amp;I"/>
    <x v="2"/>
    <n v="2286"/>
  </r>
  <r>
    <x v="18"/>
    <s v="UT"/>
    <s v="Utah"/>
    <s v="QUESTAR"/>
    <x v="27"/>
    <x v="10"/>
    <m/>
    <s v="A - RES"/>
    <x v="2"/>
    <n v="1025383"/>
  </r>
  <r>
    <x v="18"/>
    <s v="UT"/>
    <s v="Utah"/>
    <s v="QUESTAR"/>
    <x v="27"/>
    <x v="11"/>
    <m/>
    <s v="A - RES"/>
    <x v="1"/>
    <n v="71307443"/>
  </r>
  <r>
    <x v="18"/>
    <s v="UT"/>
    <s v="Utah"/>
    <s v="QUESTAR"/>
    <x v="27"/>
    <x v="9"/>
    <m/>
    <s v="A - RES"/>
    <x v="0"/>
    <n v="641200442"/>
  </r>
  <r>
    <x v="18"/>
    <s v="UT"/>
    <s v="Utah"/>
    <s v="QUESTAR"/>
    <x v="27"/>
    <x v="12"/>
    <m/>
    <s v="C - C&amp;I"/>
    <x v="1"/>
    <n v="28161054"/>
  </r>
  <r>
    <x v="18"/>
    <s v="UT"/>
    <s v="Utah"/>
    <s v="QUESTAR"/>
    <x v="27"/>
    <x v="14"/>
    <m/>
    <s v="C - C&amp;I"/>
    <x v="2"/>
    <n v="70939"/>
  </r>
  <r>
    <x v="18"/>
    <s v="UT"/>
    <s v="Utah"/>
    <s v="QUESTAR"/>
    <x v="27"/>
    <x v="13"/>
    <m/>
    <s v="C - C&amp;I"/>
    <x v="0"/>
    <n v="207454350"/>
  </r>
  <r>
    <x v="18"/>
    <s v="UT"/>
    <s v="Utah"/>
    <s v="QUESTAR"/>
    <x v="27"/>
    <x v="15"/>
    <m/>
    <s v="C - C&amp;I"/>
    <x v="1"/>
    <n v="707426"/>
  </r>
  <r>
    <x v="18"/>
    <s v="UT"/>
    <s v="Utah"/>
    <s v="QUESTAR"/>
    <x v="27"/>
    <x v="16"/>
    <m/>
    <s v="C - C&amp;I"/>
    <x v="2"/>
    <n v="55"/>
  </r>
  <r>
    <x v="18"/>
    <s v="UT"/>
    <s v="Utah"/>
    <s v="QUESTAR"/>
    <x v="27"/>
    <x v="17"/>
    <m/>
    <s v="C - C&amp;I"/>
    <x v="0"/>
    <n v="4169472"/>
  </r>
  <r>
    <x v="1"/>
    <s v="CA"/>
    <s v="California"/>
    <s v="SDG&amp;E"/>
    <x v="28"/>
    <x v="10"/>
    <m/>
    <s v="A - RES"/>
    <x v="2"/>
    <n v="864416"/>
  </r>
  <r>
    <x v="1"/>
    <s v="CA"/>
    <s v="California"/>
    <s v="SDG&amp;E"/>
    <x v="28"/>
    <x v="11"/>
    <m/>
    <s v="A - RES"/>
    <x v="1"/>
    <n v="28484545"/>
  </r>
  <r>
    <x v="1"/>
    <s v="CA"/>
    <s v="California"/>
    <s v="SDG&amp;E"/>
    <x v="28"/>
    <x v="9"/>
    <m/>
    <s v="A - RES"/>
    <x v="0"/>
    <n v="517154287"/>
  </r>
  <r>
    <x v="1"/>
    <s v="CA"/>
    <s v="California"/>
    <s v="SDG&amp;E"/>
    <x v="28"/>
    <x v="13"/>
    <m/>
    <s v="C - C&amp;I"/>
    <x v="0"/>
    <n v="144523625"/>
  </r>
  <r>
    <x v="1"/>
    <s v="CA"/>
    <s v="California"/>
    <s v="SDG&amp;E"/>
    <x v="28"/>
    <x v="12"/>
    <m/>
    <s v="C - C&amp;I"/>
    <x v="1"/>
    <n v="13937824"/>
  </r>
  <r>
    <x v="1"/>
    <s v="CA"/>
    <s v="California"/>
    <s v="SDG&amp;E"/>
    <x v="28"/>
    <x v="14"/>
    <m/>
    <s v="C - C&amp;I"/>
    <x v="2"/>
    <n v="28509"/>
  </r>
  <r>
    <x v="1"/>
    <s v="CA"/>
    <s v="California"/>
    <s v="SCG"/>
    <x v="29"/>
    <x v="11"/>
    <m/>
    <s v="A - RES"/>
    <x v="1"/>
    <n v="223627558"/>
  </r>
  <r>
    <x v="1"/>
    <s v="CA"/>
    <s v="California"/>
    <s v="SCG"/>
    <x v="29"/>
    <x v="9"/>
    <m/>
    <s v="A - RES"/>
    <x v="0"/>
    <n v="3382995627"/>
  </r>
  <r>
    <x v="1"/>
    <s v="CA"/>
    <s v="California"/>
    <s v="SCG"/>
    <x v="29"/>
    <x v="10"/>
    <m/>
    <s v="A - RES"/>
    <x v="2"/>
    <n v="5625524"/>
  </r>
  <r>
    <x v="1"/>
    <s v="CA"/>
    <s v="California"/>
    <s v="SCG"/>
    <x v="29"/>
    <x v="13"/>
    <m/>
    <s v="C - C&amp;I"/>
    <x v="0"/>
    <n v="753543760"/>
  </r>
  <r>
    <x v="1"/>
    <s v="CA"/>
    <s v="California"/>
    <s v="SCG"/>
    <x v="29"/>
    <x v="12"/>
    <m/>
    <s v="C - C&amp;I"/>
    <x v="1"/>
    <n v="66603306"/>
  </r>
  <r>
    <x v="1"/>
    <s v="CA"/>
    <s v="California"/>
    <s v="SCG"/>
    <x v="29"/>
    <x v="14"/>
    <m/>
    <s v="C - C&amp;I"/>
    <x v="2"/>
    <n v="178146"/>
  </r>
  <r>
    <x v="1"/>
    <s v="CA"/>
    <s v="California"/>
    <s v="SCG"/>
    <x v="29"/>
    <x v="15"/>
    <m/>
    <s v="C - C&amp;I"/>
    <x v="1"/>
    <n v="18910269"/>
  </r>
  <r>
    <x v="1"/>
    <s v="CA"/>
    <s v="California"/>
    <s v="SCG"/>
    <x v="29"/>
    <x v="16"/>
    <m/>
    <s v="C - C&amp;I"/>
    <x v="2"/>
    <n v="15850"/>
  </r>
  <r>
    <x v="1"/>
    <s v="CA"/>
    <s v="California"/>
    <s v="SCG"/>
    <x v="29"/>
    <x v="17"/>
    <m/>
    <s v="C - C&amp;I"/>
    <x v="0"/>
    <n v="168505094"/>
  </r>
  <r>
    <x v="19"/>
    <s v="CT"/>
    <s v="Connecticut"/>
    <s v="SoCTGas"/>
    <x v="30"/>
    <x v="10"/>
    <m/>
    <s v="A - RES"/>
    <x v="2"/>
    <n v="186498"/>
  </r>
  <r>
    <x v="19"/>
    <s v="CT"/>
    <s v="Connecticut"/>
    <s v="SoCTGas"/>
    <x v="30"/>
    <x v="11"/>
    <m/>
    <s v="A - RES"/>
    <x v="1"/>
    <n v="15700113"/>
  </r>
  <r>
    <x v="19"/>
    <s v="CT"/>
    <s v="Connecticut"/>
    <s v="SoCTGas"/>
    <x v="30"/>
    <x v="9"/>
    <m/>
    <s v="A - RES"/>
    <x v="0"/>
    <n v="233740726"/>
  </r>
  <r>
    <x v="19"/>
    <s v="CT"/>
    <s v="Connecticut"/>
    <s v="SoCTGas"/>
    <x v="30"/>
    <x v="13"/>
    <m/>
    <s v="C - C&amp;I"/>
    <x v="0"/>
    <n v="132678666"/>
  </r>
  <r>
    <x v="19"/>
    <s v="CT"/>
    <s v="Connecticut"/>
    <s v="SoCTGas"/>
    <x v="30"/>
    <x v="14"/>
    <m/>
    <s v="C - C&amp;I"/>
    <x v="2"/>
    <n v="18668"/>
  </r>
  <r>
    <x v="19"/>
    <s v="CT"/>
    <s v="Connecticut"/>
    <s v="SoCTGas"/>
    <x v="30"/>
    <x v="12"/>
    <m/>
    <s v="C - C&amp;I"/>
    <x v="1"/>
    <n v="14134135"/>
  </r>
  <r>
    <x v="19"/>
    <s v="CT"/>
    <s v="Connecticut"/>
    <s v="SoCTGas"/>
    <x v="30"/>
    <x v="15"/>
    <m/>
    <s v="C - C&amp;I"/>
    <x v="1"/>
    <n v="2021205"/>
  </r>
  <r>
    <x v="19"/>
    <s v="CT"/>
    <s v="Connecticut"/>
    <s v="SoCTGas"/>
    <x v="30"/>
    <x v="16"/>
    <m/>
    <s v="C - C&amp;I"/>
    <x v="2"/>
    <n v="400"/>
  </r>
  <r>
    <x v="19"/>
    <s v="CT"/>
    <s v="Connecticut"/>
    <s v="SoCTGas"/>
    <x v="30"/>
    <x v="17"/>
    <m/>
    <s v="C - C&amp;I"/>
    <x v="0"/>
    <n v="13880514"/>
  </r>
  <r>
    <x v="1"/>
    <s v="NY"/>
    <s v="New York"/>
    <s v="Brooklyn Gas"/>
    <x v="31"/>
    <x v="9"/>
    <m/>
    <s v="A - RES"/>
    <x v="0"/>
    <n v="1334661493"/>
  </r>
  <r>
    <x v="1"/>
    <s v="NY"/>
    <s v="New York"/>
    <s v="Brooklyn Gas"/>
    <x v="31"/>
    <x v="11"/>
    <m/>
    <s v="A - RES"/>
    <x v="1"/>
    <n v="90563977"/>
  </r>
  <r>
    <x v="1"/>
    <s v="NY"/>
    <s v="New York"/>
    <s v="Brooklyn Gas"/>
    <x v="31"/>
    <x v="10"/>
    <m/>
    <s v="A - RES"/>
    <x v="2"/>
    <n v="1098074"/>
  </r>
  <r>
    <x v="1"/>
    <s v="NY"/>
    <s v="New York"/>
    <s v="Brooklyn Gas"/>
    <x v="31"/>
    <x v="12"/>
    <m/>
    <s v="C - C&amp;I"/>
    <x v="1"/>
    <n v="10734049"/>
  </r>
  <r>
    <x v="1"/>
    <s v="NY"/>
    <s v="New York"/>
    <s v="Brooklyn Gas"/>
    <x v="31"/>
    <x v="14"/>
    <m/>
    <s v="C - C&amp;I"/>
    <x v="2"/>
    <n v="35199"/>
  </r>
  <r>
    <x v="1"/>
    <s v="NY"/>
    <s v="New York"/>
    <s v="Brooklyn Gas"/>
    <x v="31"/>
    <x v="13"/>
    <m/>
    <s v="C - C&amp;I"/>
    <x v="0"/>
    <n v="132674238"/>
  </r>
  <r>
    <x v="1"/>
    <s v="NY"/>
    <s v="New York"/>
    <s v="Brooklyn Gas"/>
    <x v="31"/>
    <x v="17"/>
    <m/>
    <s v="C - C&amp;I"/>
    <x v="0"/>
    <n v="17849205"/>
  </r>
  <r>
    <x v="1"/>
    <s v="NY"/>
    <s v="New York"/>
    <s v="Brooklyn Gas"/>
    <x v="31"/>
    <x v="16"/>
    <m/>
    <s v="C - C&amp;I"/>
    <x v="2"/>
    <n v="3048"/>
  </r>
  <r>
    <x v="1"/>
    <s v="NY"/>
    <s v="New York"/>
    <s v="Brooklyn Gas"/>
    <x v="31"/>
    <x v="15"/>
    <m/>
    <s v="C - C&amp;I"/>
    <x v="1"/>
    <n v="1731670"/>
  </r>
  <r>
    <x v="1"/>
    <s v="MD"/>
    <s v="Maryland"/>
    <s v="Washington Gas"/>
    <x v="32"/>
    <x v="11"/>
    <m/>
    <s v="A - RES"/>
    <x v="1"/>
    <n v="28579909"/>
  </r>
  <r>
    <x v="1"/>
    <s v="MD"/>
    <s v="Maryland"/>
    <s v="Washington Gas"/>
    <x v="32"/>
    <x v="9"/>
    <m/>
    <s v="A - RES"/>
    <x v="0"/>
    <n v="369720236"/>
  </r>
  <r>
    <x v="1"/>
    <s v="MD"/>
    <s v="Maryland"/>
    <s v="Washington Gas"/>
    <x v="32"/>
    <x v="10"/>
    <m/>
    <s v="A - RES"/>
    <x v="2"/>
    <n v="393162"/>
  </r>
  <r>
    <x v="1"/>
    <s v="MD"/>
    <s v="Maryland"/>
    <s v="Washington Gas"/>
    <x v="32"/>
    <x v="14"/>
    <m/>
    <s v="C - C&amp;I"/>
    <x v="2"/>
    <n v="17341"/>
  </r>
  <r>
    <x v="1"/>
    <s v="MD"/>
    <s v="Maryland"/>
    <s v="Washington Gas"/>
    <x v="32"/>
    <x v="13"/>
    <m/>
    <s v="C - C&amp;I"/>
    <x v="0"/>
    <n v="68601094"/>
  </r>
  <r>
    <x v="1"/>
    <s v="MD"/>
    <s v="Maryland"/>
    <s v="Washington Gas"/>
    <x v="32"/>
    <x v="12"/>
    <m/>
    <s v="C - C&amp;I"/>
    <x v="1"/>
    <n v="6221560"/>
  </r>
  <r>
    <x v="9"/>
    <s v="WI"/>
    <s v="Wisconsin"/>
    <s v="WEPCO"/>
    <x v="14"/>
    <x v="10"/>
    <m/>
    <s v="A - RES"/>
    <x v="2"/>
    <n v="457404"/>
  </r>
  <r>
    <x v="9"/>
    <s v="WI"/>
    <s v="Wisconsin"/>
    <s v="WEPCO"/>
    <x v="14"/>
    <x v="9"/>
    <m/>
    <s v="A - RES"/>
    <x v="0"/>
    <n v="307110174"/>
  </r>
  <r>
    <x v="9"/>
    <s v="WI"/>
    <s v="Wisconsin"/>
    <s v="WEPCO"/>
    <x v="14"/>
    <x v="11"/>
    <m/>
    <s v="A - RES"/>
    <x v="1"/>
    <n v="33310552"/>
  </r>
  <r>
    <x v="9"/>
    <s v="WI"/>
    <s v="Wisconsin"/>
    <s v="WEPCO"/>
    <x v="14"/>
    <x v="14"/>
    <m/>
    <s v="C - C&amp;I"/>
    <x v="2"/>
    <n v="38464"/>
  </r>
  <r>
    <x v="9"/>
    <s v="WI"/>
    <s v="Wisconsin"/>
    <s v="WEPCO"/>
    <x v="14"/>
    <x v="13"/>
    <m/>
    <s v="C - C&amp;I"/>
    <x v="0"/>
    <n v="104034397"/>
  </r>
  <r>
    <x v="9"/>
    <s v="WI"/>
    <s v="Wisconsin"/>
    <s v="WEPCO"/>
    <x v="14"/>
    <x v="12"/>
    <m/>
    <s v="C - C&amp;I"/>
    <x v="1"/>
    <n v="13663538"/>
  </r>
  <r>
    <x v="9"/>
    <s v="WI"/>
    <s v="Wisconsin"/>
    <s v="WEPCO"/>
    <x v="14"/>
    <x v="15"/>
    <m/>
    <s v="C - C&amp;I"/>
    <x v="1"/>
    <n v="4454556"/>
  </r>
  <r>
    <x v="9"/>
    <s v="WI"/>
    <s v="Wisconsin"/>
    <s v="WEPCO"/>
    <x v="14"/>
    <x v="16"/>
    <m/>
    <s v="C - C&amp;I"/>
    <x v="2"/>
    <n v="1760"/>
  </r>
  <r>
    <x v="9"/>
    <s v="WI"/>
    <s v="Wisconsin"/>
    <s v="WEPCO"/>
    <x v="14"/>
    <x v="17"/>
    <m/>
    <s v="C - C&amp;I"/>
    <x v="0"/>
    <n v="32462083"/>
  </r>
  <r>
    <x v="9"/>
    <s v="WI"/>
    <s v="Wisconsin"/>
    <s v="WE Energy"/>
    <x v="14"/>
    <x v="10"/>
    <m/>
    <s v="A - RES"/>
    <x v="2"/>
    <n v="586953"/>
  </r>
  <r>
    <x v="9"/>
    <s v="WI"/>
    <s v="Wisconsin"/>
    <s v="WE Energy"/>
    <x v="14"/>
    <x v="9"/>
    <m/>
    <s v="A - RES"/>
    <x v="0"/>
    <n v="414155797"/>
  </r>
  <r>
    <x v="9"/>
    <s v="WI"/>
    <s v="Wisconsin"/>
    <s v="WE Energy"/>
    <x v="14"/>
    <x v="11"/>
    <m/>
    <s v="A - RES"/>
    <x v="1"/>
    <n v="42066613"/>
  </r>
  <r>
    <x v="9"/>
    <s v="WI"/>
    <s v="Wisconsin"/>
    <s v="WE Energy"/>
    <x v="14"/>
    <x v="12"/>
    <m/>
    <s v="C - C&amp;I"/>
    <x v="1"/>
    <n v="19463720"/>
  </r>
  <r>
    <x v="9"/>
    <s v="WI"/>
    <s v="Wisconsin"/>
    <s v="WE Energy"/>
    <x v="14"/>
    <x v="13"/>
    <m/>
    <s v="C - C&amp;I"/>
    <x v="0"/>
    <n v="154986366"/>
  </r>
  <r>
    <x v="9"/>
    <s v="WI"/>
    <s v="Wisconsin"/>
    <s v="WE Energy"/>
    <x v="14"/>
    <x v="14"/>
    <m/>
    <s v="C - C&amp;I"/>
    <x v="2"/>
    <n v="54642"/>
  </r>
  <r>
    <x v="9"/>
    <s v="WI"/>
    <s v="Wisconsin"/>
    <s v="WE Energy"/>
    <x v="14"/>
    <x v="15"/>
    <m/>
    <s v="C - C&amp;I"/>
    <x v="1"/>
    <n v="6197911"/>
  </r>
  <r>
    <x v="9"/>
    <s v="WI"/>
    <s v="Wisconsin"/>
    <s v="WE Energy"/>
    <x v="14"/>
    <x v="17"/>
    <m/>
    <s v="C - C&amp;I"/>
    <x v="0"/>
    <n v="43346373"/>
  </r>
  <r>
    <x v="9"/>
    <s v="WI"/>
    <s v="Wisconsin"/>
    <s v="WE Energy"/>
    <x v="14"/>
    <x v="16"/>
    <m/>
    <s v="C - C&amp;I"/>
    <x v="2"/>
    <n v="1840"/>
  </r>
  <r>
    <x v="9"/>
    <s v="WI"/>
    <s v="Wisconsin"/>
    <s v="WPL"/>
    <x v="14"/>
    <x v="10"/>
    <m/>
    <s v="A - RES"/>
    <x v="2"/>
    <n v="175637"/>
  </r>
  <r>
    <x v="9"/>
    <s v="WI"/>
    <s v="Wisconsin"/>
    <s v="WPL"/>
    <x v="14"/>
    <x v="9"/>
    <m/>
    <s v="A - RES"/>
    <x v="0"/>
    <n v="111101607"/>
  </r>
  <r>
    <x v="9"/>
    <s v="WI"/>
    <s v="Wisconsin"/>
    <s v="WPL"/>
    <x v="14"/>
    <x v="11"/>
    <m/>
    <s v="A - RES"/>
    <x v="1"/>
    <n v="12252260"/>
  </r>
  <r>
    <x v="9"/>
    <s v="WI"/>
    <s v="Wisconsin"/>
    <s v="WPL"/>
    <x v="14"/>
    <x v="14"/>
    <m/>
    <s v="C - C&amp;I"/>
    <x v="2"/>
    <n v="20153"/>
  </r>
  <r>
    <x v="9"/>
    <s v="WI"/>
    <s v="Wisconsin"/>
    <s v="WPL"/>
    <x v="14"/>
    <x v="12"/>
    <m/>
    <s v="C - C&amp;I"/>
    <x v="1"/>
    <n v="8959455"/>
  </r>
  <r>
    <x v="9"/>
    <s v="WI"/>
    <s v="Wisconsin"/>
    <s v="WPL"/>
    <x v="14"/>
    <x v="13"/>
    <m/>
    <s v="C - C&amp;I"/>
    <x v="0"/>
    <n v="59875216"/>
  </r>
  <r>
    <x v="9"/>
    <s v="WI"/>
    <s v="Wisconsin"/>
    <s v="WPL"/>
    <x v="14"/>
    <x v="16"/>
    <m/>
    <s v="C - C&amp;I"/>
    <x v="2"/>
    <n v="168"/>
  </r>
  <r>
    <x v="9"/>
    <s v="WI"/>
    <s v="Wisconsin"/>
    <s v="WPL"/>
    <x v="14"/>
    <x v="15"/>
    <m/>
    <s v="C - C&amp;I"/>
    <x v="1"/>
    <n v="876981"/>
  </r>
  <r>
    <x v="9"/>
    <s v="WI"/>
    <s v="Wisconsin"/>
    <s v="WPL"/>
    <x v="14"/>
    <x v="17"/>
    <m/>
    <s v="C - C&amp;I"/>
    <x v="0"/>
    <n v="4869933"/>
  </r>
  <r>
    <x v="9"/>
    <s v="WI"/>
    <s v="Wisconsin"/>
    <s v="WPS"/>
    <x v="14"/>
    <x v="10"/>
    <m/>
    <s v="A - RES"/>
    <x v="2"/>
    <n v="305761"/>
  </r>
  <r>
    <x v="9"/>
    <s v="WI"/>
    <s v="Wisconsin"/>
    <s v="WPS"/>
    <x v="14"/>
    <x v="11"/>
    <m/>
    <s v="A - RES"/>
    <x v="1"/>
    <n v="23568371"/>
  </r>
  <r>
    <x v="9"/>
    <s v="WI"/>
    <s v="Wisconsin"/>
    <s v="WPS"/>
    <x v="14"/>
    <x v="9"/>
    <m/>
    <s v="A - RES"/>
    <x v="0"/>
    <n v="212770707"/>
  </r>
  <r>
    <x v="9"/>
    <s v="WI"/>
    <s v="Wisconsin"/>
    <s v="WPS"/>
    <x v="14"/>
    <x v="13"/>
    <m/>
    <s v="C - C&amp;I"/>
    <x v="0"/>
    <n v="63976843"/>
  </r>
  <r>
    <x v="9"/>
    <s v="WI"/>
    <s v="Wisconsin"/>
    <s v="WPS"/>
    <x v="14"/>
    <x v="12"/>
    <m/>
    <s v="C - C&amp;I"/>
    <x v="1"/>
    <n v="8465988"/>
  </r>
  <r>
    <x v="9"/>
    <s v="WI"/>
    <s v="Wisconsin"/>
    <s v="WPS"/>
    <x v="14"/>
    <x v="14"/>
    <m/>
    <s v="C - C&amp;I"/>
    <x v="2"/>
    <n v="28740"/>
  </r>
  <r>
    <x v="9"/>
    <s v="WI"/>
    <s v="Wisconsin"/>
    <s v="WPS"/>
    <x v="14"/>
    <x v="15"/>
    <m/>
    <s v="C - C&amp;I"/>
    <x v="1"/>
    <n v="8177403"/>
  </r>
  <r>
    <x v="9"/>
    <s v="WI"/>
    <s v="Wisconsin"/>
    <s v="WPS"/>
    <x v="14"/>
    <x v="16"/>
    <m/>
    <s v="C - C&amp;I"/>
    <x v="2"/>
    <n v="1439"/>
  </r>
  <r>
    <x v="9"/>
    <s v="WI"/>
    <s v="Wisconsin"/>
    <s v="WPS"/>
    <x v="14"/>
    <x v="17"/>
    <m/>
    <s v="C - C&amp;I"/>
    <x v="0"/>
    <n v="52047109"/>
  </r>
  <r>
    <x v="20"/>
    <s v="CT"/>
    <s v="Connecticut"/>
    <s v="Eversource"/>
    <x v="33"/>
    <x v="9"/>
    <m/>
    <s v="A - RES"/>
    <x v="0"/>
    <n v="283613102"/>
  </r>
  <r>
    <x v="20"/>
    <s v="CT"/>
    <s v="Connecticut"/>
    <s v="Eversource"/>
    <x v="33"/>
    <x v="10"/>
    <m/>
    <s v="A - RES"/>
    <x v="2"/>
    <n v="219032"/>
  </r>
  <r>
    <x v="20"/>
    <s v="CT"/>
    <s v="Connecticut"/>
    <s v="Eversource"/>
    <x v="33"/>
    <x v="11"/>
    <m/>
    <s v="A - RES"/>
    <x v="1"/>
    <n v="15130574"/>
  </r>
  <r>
    <x v="20"/>
    <s v="CT"/>
    <s v="Connecticut"/>
    <s v="Eversource"/>
    <x v="33"/>
    <x v="12"/>
    <m/>
    <s v="C - C&amp;I"/>
    <x v="1"/>
    <n v="15456186"/>
  </r>
  <r>
    <x v="20"/>
    <s v="CT"/>
    <s v="Connecticut"/>
    <s v="Eversource"/>
    <x v="33"/>
    <x v="13"/>
    <m/>
    <s v="C - C&amp;I"/>
    <x v="0"/>
    <n v="195497148"/>
  </r>
  <r>
    <x v="20"/>
    <s v="CT"/>
    <s v="Connecticut"/>
    <s v="Eversource"/>
    <x v="33"/>
    <x v="14"/>
    <m/>
    <s v="C - C&amp;I"/>
    <x v="2"/>
    <n v="26345"/>
  </r>
  <r>
    <x v="20"/>
    <s v="CT"/>
    <s v="Connecticut"/>
    <s v="Eversource"/>
    <x v="33"/>
    <x v="16"/>
    <m/>
    <s v="C - C&amp;I"/>
    <x v="2"/>
    <n v="1385"/>
  </r>
  <r>
    <x v="20"/>
    <s v="CT"/>
    <s v="Connecticut"/>
    <s v="Eversource"/>
    <x v="33"/>
    <x v="17"/>
    <m/>
    <s v="C - C&amp;I"/>
    <x v="0"/>
    <n v="49527583"/>
  </r>
  <r>
    <x v="20"/>
    <s v="CT"/>
    <s v="Connecticut"/>
    <s v="Eversource"/>
    <x v="33"/>
    <x v="15"/>
    <m/>
    <s v="C - C&amp;I"/>
    <x v="1"/>
    <n v="5434464"/>
  </r>
  <r>
    <x v="21"/>
    <s v="CAN"/>
    <s v="British Columbia"/>
    <s v="FortisBC"/>
    <x v="35"/>
    <x v="11"/>
    <m/>
    <s v="A - RES"/>
    <x v="1"/>
    <n v="82460085.7641761"/>
  </r>
  <r>
    <x v="21"/>
    <s v="CAN"/>
    <s v="British Columbia"/>
    <s v="FortisBC"/>
    <x v="35"/>
    <x v="9"/>
    <m/>
    <s v="A - RES"/>
    <x v="0"/>
    <n v="874680000"/>
  </r>
  <r>
    <x v="21"/>
    <s v="CAN"/>
    <s v="British Columbia"/>
    <s v="FortisBC"/>
    <x v="35"/>
    <x v="10"/>
    <m/>
    <s v="A - RES"/>
    <x v="2"/>
    <n v="976170"/>
  </r>
  <r>
    <x v="21"/>
    <s v="CAN"/>
    <s v="British Columbia"/>
    <s v="FortisBC"/>
    <x v="35"/>
    <x v="13"/>
    <m/>
    <s v="C - C&amp;I"/>
    <x v="0"/>
    <n v="494320000"/>
  </r>
  <r>
    <x v="21"/>
    <s v="CAN"/>
    <s v="British Columbia"/>
    <s v="FortisBC"/>
    <x v="35"/>
    <x v="14"/>
    <m/>
    <s v="C - C&amp;I"/>
    <x v="2"/>
    <n v="97663"/>
  </r>
  <r>
    <x v="21"/>
    <s v="CAN"/>
    <s v="British Columbia"/>
    <s v="FortisBC"/>
    <x v="35"/>
    <x v="12"/>
    <m/>
    <s v="C - C&amp;I"/>
    <x v="1"/>
    <n v="57816841.7426982"/>
  </r>
  <r>
    <x v="21"/>
    <s v="CAN"/>
    <s v="British Columbia"/>
    <s v="FortisBC"/>
    <x v="35"/>
    <x v="15"/>
    <m/>
    <s v="C - C&amp;I"/>
    <x v="1"/>
    <n v="18008524.477233902"/>
  </r>
  <r>
    <x v="21"/>
    <s v="CAN"/>
    <s v="British Columbia"/>
    <s v="FortisBC"/>
    <x v="35"/>
    <x v="16"/>
    <m/>
    <s v="C - C&amp;I"/>
    <x v="2"/>
    <n v="781"/>
  </r>
  <r>
    <x v="21"/>
    <s v="CAN"/>
    <s v="British Columbia"/>
    <s v="FortisBC"/>
    <x v="35"/>
    <x v="17"/>
    <m/>
    <s v="C - C&amp;I"/>
    <x v="0"/>
    <n v="60680000"/>
  </r>
  <r>
    <x v="22"/>
    <s v="WA"/>
    <s v="Washington"/>
    <s v="Avista"/>
    <x v="36"/>
    <x v="10"/>
    <m/>
    <s v="A - RES"/>
    <x v="2"/>
    <n v="158391"/>
  </r>
  <r>
    <x v="22"/>
    <s v="WA"/>
    <s v="Washington"/>
    <s v="Avista"/>
    <x v="36"/>
    <x v="11"/>
    <m/>
    <s v="A - RES"/>
    <x v="1"/>
    <n v="10808791"/>
  </r>
  <r>
    <x v="22"/>
    <s v="WA"/>
    <s v="Washington"/>
    <s v="Avista"/>
    <x v="36"/>
    <x v="9"/>
    <m/>
    <s v="A - RES"/>
    <x v="0"/>
    <n v="108498566"/>
  </r>
  <r>
    <x v="22"/>
    <s v="WA"/>
    <s v="Washington"/>
    <s v="Avista"/>
    <x v="36"/>
    <x v="14"/>
    <m/>
    <s v="C - C&amp;I"/>
    <x v="2"/>
    <n v="15192"/>
  </r>
  <r>
    <x v="22"/>
    <s v="WA"/>
    <s v="Washington"/>
    <s v="Avista"/>
    <x v="36"/>
    <x v="12"/>
    <m/>
    <s v="C - C&amp;I"/>
    <x v="1"/>
    <n v="6572604"/>
  </r>
  <r>
    <x v="22"/>
    <s v="WA"/>
    <s v="Washington"/>
    <s v="Avista"/>
    <x v="36"/>
    <x v="13"/>
    <m/>
    <s v="C - C&amp;I"/>
    <x v="0"/>
    <n v="50009367"/>
  </r>
  <r>
    <x v="22"/>
    <s v="WA"/>
    <s v="Washington"/>
    <s v="Avista"/>
    <x v="36"/>
    <x v="15"/>
    <m/>
    <s v="C - C&amp;I"/>
    <x v="1"/>
    <n v="250673"/>
  </r>
  <r>
    <x v="22"/>
    <s v="WA"/>
    <s v="Washington"/>
    <s v="Avista"/>
    <x v="36"/>
    <x v="17"/>
    <m/>
    <s v="C - C&amp;I"/>
    <x v="0"/>
    <n v="1640405"/>
  </r>
  <r>
    <x v="22"/>
    <s v="WA"/>
    <s v="Washington"/>
    <s v="Avista"/>
    <x v="36"/>
    <x v="16"/>
    <m/>
    <s v="C - C&amp;I"/>
    <x v="2"/>
    <n v="95"/>
  </r>
  <r>
    <x v="22"/>
    <s v="WA"/>
    <s v="Washington"/>
    <s v="Avista"/>
    <x v="36"/>
    <x v="1"/>
    <n v="1"/>
    <s v="C - C&amp;I"/>
    <x v="1"/>
    <n v="2619971"/>
  </r>
  <r>
    <x v="22"/>
    <s v="WA"/>
    <s v="Washington"/>
    <s v="Avista"/>
    <x v="36"/>
    <x v="2"/>
    <n v="1"/>
    <s v="C - C&amp;I"/>
    <x v="2"/>
    <n v="20"/>
  </r>
  <r>
    <x v="22"/>
    <s v="WA"/>
    <s v="Washington"/>
    <s v="Avista"/>
    <x v="36"/>
    <x v="0"/>
    <n v="1"/>
    <s v="C - C&amp;I"/>
    <x v="0"/>
    <n v="2145507"/>
  </r>
  <r>
    <x v="22"/>
    <s v="WA"/>
    <s v="Washington"/>
    <s v="Avista"/>
    <x v="36"/>
    <x v="5"/>
    <n v="1"/>
    <s v="C - C&amp;I"/>
    <x v="1"/>
    <n v="5127117"/>
  </r>
  <r>
    <x v="22"/>
    <s v="WA"/>
    <s v="Washington"/>
    <s v="Avista"/>
    <x v="36"/>
    <x v="3"/>
    <n v="1"/>
    <s v="C - C&amp;I"/>
    <x v="2"/>
    <n v="23"/>
  </r>
  <r>
    <x v="22"/>
    <s v="WA"/>
    <s v="Washington"/>
    <s v="Avista"/>
    <x v="36"/>
    <x v="4"/>
    <n v="1"/>
    <s v="C - C&amp;I"/>
    <x v="0"/>
    <n v="2984524"/>
  </r>
  <r>
    <x v="23"/>
    <s v="CAN"/>
    <s v="Canada"/>
    <s v="Enbridge"/>
    <x v="37"/>
    <x v="10"/>
    <m/>
    <s v="A - RES"/>
    <x v="2"/>
    <n v="3711979"/>
  </r>
  <r>
    <x v="23"/>
    <s v="CAN"/>
    <s v="Canada"/>
    <s v="Enbridge"/>
    <x v="37"/>
    <x v="11"/>
    <m/>
    <s v="A - RES"/>
    <x v="1"/>
    <n v="270776347.77599996"/>
  </r>
  <r>
    <x v="23"/>
    <s v="CAN"/>
    <s v="Canada"/>
    <s v="Enbridge"/>
    <x v="37"/>
    <x v="9"/>
    <m/>
    <s v="A - RES"/>
    <x v="0"/>
    <n v="1047994412.7701588"/>
  </r>
  <r>
    <x v="23"/>
    <s v="CAN"/>
    <s v="Canada"/>
    <s v="Enbridge"/>
    <x v="37"/>
    <x v="14"/>
    <m/>
    <s v="C - C&amp;I"/>
    <x v="2"/>
    <n v="16513"/>
  </r>
  <r>
    <x v="23"/>
    <s v="CAN"/>
    <s v="Canada"/>
    <s v="Enbridge"/>
    <x v="37"/>
    <x v="12"/>
    <m/>
    <s v="C - C&amp;I"/>
    <x v="1"/>
    <n v="614176841.51999986"/>
  </r>
  <r>
    <x v="23"/>
    <s v="CAN"/>
    <s v="Canada"/>
    <s v="Enbridge"/>
    <x v="37"/>
    <x v="13"/>
    <m/>
    <s v="C - C&amp;I"/>
    <x v="0"/>
    <n v="2377068394.82984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0">
  <r>
    <x v="0"/>
    <x v="0"/>
    <x v="0"/>
    <x v="0"/>
    <s v="Eversource"/>
    <x v="0"/>
    <x v="0"/>
    <m/>
    <s v="A1 - Residential New Buildings"/>
    <s v="A1a - Residential New Homes &amp; Renovations"/>
    <x v="0"/>
    <n v="82676.961230808898"/>
    <n v="118399"/>
    <n v="1275000"/>
    <n v="990000"/>
    <n v="684203348"/>
    <n v="44515571"/>
    <n v="576322"/>
    <n v="985639997"/>
    <n v="84062939"/>
    <n v="631529"/>
    <n v="9.4933650406934888E-5"/>
    <n v="1.3595140783115975E-4"/>
    <n v="1.293575751674777E-3"/>
    <n v="1.4640161233180067E-3"/>
    <n v="0.74938560610346228"/>
    <n v="0.30704351525463736"/>
    <m/>
    <m/>
  </r>
  <r>
    <x v="0"/>
    <x v="0"/>
    <x v="0"/>
    <x v="0"/>
    <s v="Eversource"/>
    <x v="0"/>
    <x v="0"/>
    <m/>
    <s v="A2 - Residential Existing Buildings"/>
    <s v="A2a - Residential Coordinated Delivery"/>
    <x v="1"/>
    <n v="1174163.3984679312"/>
    <n v="1211987"/>
    <n v="27155000"/>
    <n v="22680000"/>
    <n v="684203348"/>
    <n v="44515571"/>
    <n v="576322"/>
    <n v="985639997"/>
    <n v="84062939"/>
    <n v="631529"/>
    <n v="1.3482307033466012E-3"/>
    <n v="1.3916615758837812E-3"/>
    <n v="2.7550627087630251E-2"/>
    <n v="3.1180672806823899E-2"/>
    <n v="15.960444026462367"/>
    <n v="6.5394248288154326"/>
    <m/>
    <m/>
  </r>
  <r>
    <x v="0"/>
    <x v="0"/>
    <x v="0"/>
    <x v="0"/>
    <s v="Eversource"/>
    <x v="0"/>
    <x v="0"/>
    <m/>
    <s v="A2 - Residential Existing Buildings"/>
    <s v="A2c - Residential Retail"/>
    <x v="2"/>
    <n v="444553.4082300904"/>
    <n v="565811"/>
    <n v="8100000"/>
    <n v="7450000"/>
    <n v="684203348"/>
    <n v="44515571"/>
    <n v="576322"/>
    <n v="985639997"/>
    <n v="84062939"/>
    <n v="631529"/>
    <n v="5.1045753515672489E-4"/>
    <n v="6.4969131509857623E-4"/>
    <n v="8.2180106576985844E-3"/>
    <n v="9.3008083128438071E-3"/>
    <n v="4.7608026740690548"/>
    <n v="1.9506293910294608"/>
    <m/>
    <m/>
  </r>
  <r>
    <x v="0"/>
    <x v="0"/>
    <x v="0"/>
    <x v="0"/>
    <s v="Eversource"/>
    <x v="0"/>
    <x v="1"/>
    <n v="1"/>
    <s v="B1 - Income Eligible Existing Buildings"/>
    <s v="B1a - Income Eligible Coordinated Delivery"/>
    <x v="3"/>
    <n v="488350.80554349697"/>
    <n v="488351"/>
    <n v="16100000"/>
    <n v="13570000"/>
    <n v="0"/>
    <n v="0"/>
    <n v="0"/>
    <n v="985639997"/>
    <n v="84062939"/>
    <n v="631529"/>
    <n v="5.6074780639295383E-4"/>
    <n v="5.6074802967723291E-4"/>
    <n v="1.6334564393697185E-2"/>
    <n v="1.8486791831701887E-2"/>
    <n v="32.968103701768108"/>
    <n v="3.8771769377252245"/>
    <m/>
    <m/>
  </r>
  <r>
    <x v="0"/>
    <x v="0"/>
    <x v="0"/>
    <x v="0"/>
    <s v="Eversource"/>
    <x v="0"/>
    <x v="2"/>
    <m/>
    <s v="C1 - C&amp;I New Buildings"/>
    <s v="C1a - C&amp;I New Buildings &amp; Major Renovations"/>
    <x v="0"/>
    <n v="121109.14720866902"/>
    <n v="3479051"/>
    <n v="1210000"/>
    <n v="705000"/>
    <n v="301436649"/>
    <n v="39547368"/>
    <n v="55207"/>
    <n v="985639997"/>
    <n v="84062939"/>
    <n v="631529"/>
    <n v="1.3906332878022386E-4"/>
    <n v="3.9948131434083406E-3"/>
    <n v="1.2276287525697885E-3"/>
    <n v="1.3893800072272849E-3"/>
    <n v="0.61647842812923215"/>
    <n v="0.29139031643773428"/>
    <m/>
    <m/>
  </r>
  <r>
    <x v="0"/>
    <x v="0"/>
    <x v="0"/>
    <x v="0"/>
    <s v="Eversource"/>
    <x v="0"/>
    <x v="2"/>
    <m/>
    <s v="C2 - C&amp;I Existing Buildings"/>
    <s v="C2a - C&amp;I Existing Building Retrofit"/>
    <x v="2"/>
    <n v="1530955.0358768031"/>
    <n v="24595847"/>
    <n v="12065000"/>
    <n v="9440000"/>
    <n v="301436649"/>
    <n v="39547368"/>
    <n v="55207"/>
    <n v="985639997"/>
    <n v="84062939"/>
    <n v="631529"/>
    <n v="1.757915965959637E-3"/>
    <n v="2.8242130646794372E-2"/>
    <n v="1.224077760310289E-2"/>
    <n v="1.3853611394377843E-2"/>
    <n v="6.1469522606439551"/>
    <n v="2.9054745188605486"/>
    <m/>
    <m/>
  </r>
  <r>
    <x v="0"/>
    <x v="0"/>
    <x v="0"/>
    <x v="0"/>
    <s v="Eversource"/>
    <x v="0"/>
    <x v="2"/>
    <m/>
    <s v="C2 - C&amp;I Existing Buildings"/>
    <s v="C2b - C&amp;I New &amp; Replacement Equipment"/>
    <x v="0"/>
    <n v="310697.11526501639"/>
    <n v="7274196"/>
    <n v="3460000"/>
    <n v="1785000"/>
    <n v="301436649"/>
    <n v="39547368"/>
    <n v="55207"/>
    <n v="985639997"/>
    <n v="84062939"/>
    <n v="631529"/>
    <n v="3.5675732252264875E-4"/>
    <n v="8.3525805711179239E-3"/>
    <n v="3.510409490819395E-3"/>
    <n v="3.9729378719061195E-3"/>
    <n v="1.7628226126670605"/>
    <n v="0.83323181394591783"/>
    <m/>
    <m/>
  </r>
  <r>
    <x v="0"/>
    <x v="0"/>
    <x v="1"/>
    <x v="0"/>
    <s v="Eversource"/>
    <x v="0"/>
    <x v="0"/>
    <m/>
    <s v="A1 - Residential New Buildings"/>
    <s v="A1a - Residential New Homes &amp; Renovations"/>
    <x v="0"/>
    <n v="89779"/>
    <n v="116811"/>
    <n v="1270000"/>
    <n v="990000"/>
    <n v="684203348"/>
    <n v="44515571"/>
    <n v="576322"/>
    <n v="985639997"/>
    <n v="84062939"/>
    <n v="631529"/>
    <n v="1.0308855179244497E-4"/>
    <n v="1.3412799010266641E-4"/>
    <n v="1.2885029055897778E-3"/>
    <n v="1.4582748836187204E-3"/>
    <n v="0.70677513531683001"/>
    <n v="0.27889200379293128"/>
    <m/>
    <m/>
  </r>
  <r>
    <x v="0"/>
    <x v="0"/>
    <x v="1"/>
    <x v="0"/>
    <s v="Eversource"/>
    <x v="0"/>
    <x v="0"/>
    <m/>
    <s v="A2 - Residential Existing Buildings"/>
    <s v="A2a - Residential Coordinated Delivery"/>
    <x v="1"/>
    <n v="1275632"/>
    <n v="1316676"/>
    <n v="29500000"/>
    <n v="24850000"/>
    <n v="684203348"/>
    <n v="44515571"/>
    <n v="576322"/>
    <n v="985639997"/>
    <n v="84062939"/>
    <n v="631529"/>
    <n v="1.4647418160159966E-3"/>
    <n v="1.5118705044594978E-3"/>
    <n v="2.9929791901494841E-2"/>
    <n v="3.3873314225789174E-2"/>
    <n v="16.417217710115345"/>
    <n v="6.4782000881035211"/>
    <m/>
    <m/>
  </r>
  <r>
    <x v="0"/>
    <x v="0"/>
    <x v="1"/>
    <x v="0"/>
    <s v="Eversource"/>
    <x v="0"/>
    <x v="0"/>
    <m/>
    <s v="A2 - Residential Existing Buildings"/>
    <s v="A2c - Residential Retail"/>
    <x v="2"/>
    <n v="431483"/>
    <n v="548374"/>
    <n v="7950000"/>
    <n v="7320000"/>
    <n v="684203348"/>
    <n v="44515571"/>
    <n v="576322"/>
    <n v="985639997"/>
    <n v="84062939"/>
    <n v="631529"/>
    <n v="4.9544946583343023E-4"/>
    <n v="6.2966931577128522E-4"/>
    <n v="8.0658252751486092E-3"/>
    <n v="9.1285711218652178E-3"/>
    <n v="4.4243010439124397"/>
    <n v="1.7458200237431523"/>
    <m/>
    <m/>
  </r>
  <r>
    <x v="0"/>
    <x v="0"/>
    <x v="1"/>
    <x v="0"/>
    <s v="Eversource"/>
    <x v="0"/>
    <x v="1"/>
    <n v="1"/>
    <s v="B1 - Income Eligible Existing Buildings"/>
    <s v="B1a - Income Eligible Coordinated Delivery"/>
    <x v="3"/>
    <n v="561158"/>
    <n v="561158"/>
    <n v="16990000"/>
    <n v="14210000"/>
    <n v="0"/>
    <n v="0"/>
    <n v="0"/>
    <n v="985639997"/>
    <n v="84062939"/>
    <n v="631529"/>
    <n v="6.4434851743442039E-4"/>
    <n v="6.4434851743442039E-4"/>
    <n v="1.7237530996827028E-2"/>
    <n v="1.9508732498174853E-2"/>
    <n v="30.276677869690889"/>
    <n v="3.7310040507416553"/>
    <m/>
    <m/>
  </r>
  <r>
    <x v="0"/>
    <x v="0"/>
    <x v="1"/>
    <x v="0"/>
    <s v="Eversource"/>
    <x v="0"/>
    <x v="2"/>
    <m/>
    <s v="C1 - C&amp;I New Buildings"/>
    <s v="C1a - C&amp;I New Buildings &amp; Major Renovations"/>
    <x v="0"/>
    <n v="123285"/>
    <n v="187097"/>
    <n v="1250000"/>
    <n v="745000"/>
    <n v="301436649"/>
    <n v="39547368"/>
    <n v="55207"/>
    <n v="985639997"/>
    <n v="84062939"/>
    <n v="631529"/>
    <n v="1.4156174726530233E-4"/>
    <n v="2.1483374480347377E-4"/>
    <n v="1.2682115212497814E-3"/>
    <n v="1.4353099248215753E-3"/>
    <n v="0.56929919724258793"/>
    <n v="0.27450000373320005"/>
    <m/>
    <m/>
  </r>
  <r>
    <x v="0"/>
    <x v="0"/>
    <x v="1"/>
    <x v="0"/>
    <s v="Eversource"/>
    <x v="0"/>
    <x v="2"/>
    <m/>
    <s v="C2 - C&amp;I Existing Buildings"/>
    <s v="C2a - C&amp;I Existing Building Retrofit"/>
    <x v="2"/>
    <n v="1683955"/>
    <n v="1868792"/>
    <n v="15700000"/>
    <n v="12940000"/>
    <n v="301436649"/>
    <n v="39547368"/>
    <n v="55207"/>
    <n v="985639997"/>
    <n v="84062939"/>
    <n v="631529"/>
    <n v="1.9335978595623326E-3"/>
    <n v="2.145836564021729E-3"/>
    <n v="1.5928736706897255E-2"/>
    <n v="1.8027492655758984E-2"/>
    <n v="7.150397917366905"/>
    <n v="3.4477200468889926"/>
    <m/>
    <m/>
  </r>
  <r>
    <x v="0"/>
    <x v="0"/>
    <x v="1"/>
    <x v="0"/>
    <s v="Eversource"/>
    <x v="0"/>
    <x v="2"/>
    <m/>
    <s v="C2 - C&amp;I Existing Buildings"/>
    <s v="C2b - C&amp;I New &amp; Replacement Equipment"/>
    <x v="0"/>
    <n v="388442"/>
    <n v="542976"/>
    <n v="4110000"/>
    <n v="2385000"/>
    <n v="301436649"/>
    <n v="39547368"/>
    <n v="55207"/>
    <n v="985639997"/>
    <n v="84062939"/>
    <n v="631529"/>
    <n v="4.4602772625403384E-4"/>
    <n v="6.2347107339193566E-4"/>
    <n v="4.1698794818692811E-3"/>
    <n v="4.7192990328133394E-3"/>
    <n v="1.8718557605336292"/>
    <n v="0.90255601227476179"/>
    <m/>
    <m/>
  </r>
  <r>
    <x v="0"/>
    <x v="0"/>
    <x v="2"/>
    <x v="0"/>
    <s v="Eversource"/>
    <x v="0"/>
    <x v="0"/>
    <m/>
    <s v="A1 - Residential New Buildings"/>
    <s v="A1a - Residential New Homes &amp; Renovations"/>
    <x v="0"/>
    <n v="154553"/>
    <n v="211550"/>
    <n v="2785000"/>
    <n v="2210000"/>
    <n v="684203348"/>
    <n v="44515571"/>
    <n v="576322"/>
    <n v="985639997"/>
    <n v="84062939"/>
    <n v="631529"/>
    <n v="1.7746516384875913E-4"/>
    <n v="2.4291185167680339E-4"/>
    <n v="2.8255752693445131E-3"/>
    <n v="3.1978705125024699E-3"/>
    <n v="0.63629320482266838"/>
    <n v="0.26647295629594747"/>
    <m/>
    <m/>
  </r>
  <r>
    <x v="0"/>
    <x v="0"/>
    <x v="2"/>
    <x v="0"/>
    <s v="Eversource"/>
    <x v="0"/>
    <x v="0"/>
    <m/>
    <s v="A2 - Residential Existing Buildings"/>
    <s v="A2a - Residential Coordinated Delivery"/>
    <x v="1"/>
    <n v="2676921"/>
    <n v="2769383"/>
    <n v="58770000"/>
    <n v="50930000"/>
    <n v="684203348"/>
    <n v="44515571"/>
    <n v="576322"/>
    <n v="985639997"/>
    <n v="84062939"/>
    <n v="631529"/>
    <n v="3.0737690234106368E-3"/>
    <n v="3.1799383244257191E-3"/>
    <n v="5.9626232883079722E-2"/>
    <n v="6.7482531425411177E-2"/>
    <n v="13.427271686688769"/>
    <n v="5.6232013075450027"/>
    <m/>
    <m/>
  </r>
  <r>
    <x v="0"/>
    <x v="0"/>
    <x v="2"/>
    <x v="0"/>
    <s v="Eversource"/>
    <x v="0"/>
    <x v="0"/>
    <m/>
    <s v="A2 - Residential Existing Buildings"/>
    <s v="A2b - Residential Conservation Services (RCS)"/>
    <x v="4"/>
    <m/>
    <m/>
    <n v="12585000"/>
    <m/>
    <n v="684203348"/>
    <n v="44515571"/>
    <n v="576322"/>
    <n v="985639997"/>
    <n v="84062939"/>
    <n v="631529"/>
    <n v="0"/>
    <n v="0"/>
    <n v="1.27683535959428E-2"/>
    <n v="1.4450700323103621E-2"/>
    <n v="2.8753141769096162"/>
    <n v="1.2041515816820463"/>
    <m/>
    <m/>
  </r>
  <r>
    <x v="0"/>
    <x v="0"/>
    <x v="2"/>
    <x v="0"/>
    <s v="Eversource"/>
    <x v="0"/>
    <x v="0"/>
    <m/>
    <s v="A2 - Residential Existing Buildings"/>
    <s v="A2d - Residential Behavior"/>
    <x v="5"/>
    <n v="520952"/>
    <n v="520952"/>
    <n v="0"/>
    <m/>
    <n v="684203348"/>
    <n v="44515571"/>
    <n v="576322"/>
    <n v="985639997"/>
    <n v="84062939"/>
    <n v="631529"/>
    <n v="5.9818206076451934E-4"/>
    <n v="5.9818206076451934E-4"/>
    <n v="0"/>
    <n v="0"/>
    <n v="0"/>
    <n v="0"/>
    <m/>
    <m/>
  </r>
  <r>
    <x v="0"/>
    <x v="0"/>
    <x v="2"/>
    <x v="0"/>
    <s v="Eversource"/>
    <x v="0"/>
    <x v="0"/>
    <m/>
    <s v="A2 - Residential Existing Buildings"/>
    <s v="A2c - Residential Retail"/>
    <x v="6"/>
    <n v="1024487"/>
    <n v="1258341"/>
    <n v="16230000"/>
    <n v="14865000"/>
    <n v="684203348"/>
    <n v="44515571"/>
    <n v="576322"/>
    <n v="985639997"/>
    <n v="84062939"/>
    <n v="631529"/>
    <n v="1.1763650871605448E-3"/>
    <n v="1.4448874608879246E-3"/>
    <n v="1.6466458391907163E-2"/>
    <n v="1.8636064063883333E-2"/>
    <n v="3.7080928956093029"/>
    <n v="1.5529106214302431"/>
    <m/>
    <m/>
  </r>
  <r>
    <x v="0"/>
    <x v="0"/>
    <x v="2"/>
    <x v="0"/>
    <s v="Eversource"/>
    <x v="0"/>
    <x v="0"/>
    <m/>
    <s v="A2 - Residential Existing Buildings"/>
    <s v="Cost only "/>
    <x v="4"/>
    <m/>
    <m/>
    <n v="4260000"/>
    <n v="415000"/>
    <n v="684203348"/>
    <n v="44515571"/>
    <n v="576322"/>
    <n v="985639997"/>
    <n v="84062939"/>
    <n v="631529"/>
    <n v="0"/>
    <n v="0"/>
    <n v="4.3220648644192554E-3"/>
    <n v="4.8915362237919278E-3"/>
    <n v="0.97328870827453051"/>
    <n v="0.40760315756579396"/>
    <m/>
    <m/>
  </r>
  <r>
    <x v="0"/>
    <x v="0"/>
    <x v="2"/>
    <x v="0"/>
    <s v="Eversource"/>
    <x v="0"/>
    <x v="1"/>
    <n v="1"/>
    <s v="B1 - Income Eligible Existing Buildings"/>
    <s v="B1a - Income Eligible Coordinated Delivery"/>
    <x v="1"/>
    <n v="376500.41518724244"/>
    <n v="376500.41518724244"/>
    <n v="9136769.9874556847"/>
    <n v="8725005.7626561485"/>
    <n v="0"/>
    <n v="0"/>
    <n v="0"/>
    <n v="985639997"/>
    <n v="84062939"/>
    <n v="631529"/>
    <n v="4.3231582609415419E-4"/>
    <n v="4.3231582609415419E-4"/>
    <n v="9.2698855720804163E-3"/>
    <n v="1.0491277315045634E-2"/>
    <n v="7.7028855459606547"/>
    <n v="0.87421978799044986"/>
    <m/>
    <m/>
  </r>
  <r>
    <x v="0"/>
    <x v="0"/>
    <x v="2"/>
    <x v="0"/>
    <s v="Eversource"/>
    <x v="0"/>
    <x v="1"/>
    <n v="1"/>
    <s v="B1 - Income Eligible Existing Buildings"/>
    <s v="B1a - Income Eligible Coordinated Delivery"/>
    <x v="6"/>
    <n v="809648.58481275756"/>
    <n v="809648.58481275756"/>
    <n v="26903230.012544315"/>
    <n v="19824994.237343851"/>
    <n v="0"/>
    <n v="0"/>
    <n v="0"/>
    <n v="985639997"/>
    <n v="84062939"/>
    <n v="631529"/>
    <n v="9.2967731951959509E-4"/>
    <n v="9.2967731951959509E-4"/>
    <n v="2.7295189008593283E-2"/>
    <n v="3.0891578437410024E-2"/>
    <n v="22.68115558209324"/>
    <n v="2.5741411976131214"/>
    <m/>
    <m/>
  </r>
  <r>
    <x v="0"/>
    <x v="0"/>
    <x v="2"/>
    <x v="0"/>
    <s v="Eversource"/>
    <x v="0"/>
    <x v="1"/>
    <n v="1"/>
    <s v="B1 - Income Eligible Existing Buildings"/>
    <s v="Cost only "/>
    <x v="4"/>
    <m/>
    <m/>
    <n v="3851788"/>
    <m/>
    <n v="0"/>
    <n v="0"/>
    <n v="0"/>
    <n v="985639997"/>
    <n v="84062939"/>
    <n v="631529"/>
    <n v="0"/>
    <n v="0"/>
    <n v="3.9079055352093228E-3"/>
    <n v="4.4228076357669165E-3"/>
    <n v="3.2473053553980149"/>
    <n v="0.36854482419578272"/>
    <m/>
    <m/>
  </r>
  <r>
    <x v="0"/>
    <x v="0"/>
    <x v="2"/>
    <x v="0"/>
    <s v="Eversource"/>
    <x v="0"/>
    <x v="2"/>
    <m/>
    <s v="C1 - C&amp;I New Buildings"/>
    <s v="C1a - C&amp;I New Buildings &amp; Major Renovations"/>
    <x v="0"/>
    <n v="416325"/>
    <n v="633079"/>
    <n v="2780000"/>
    <n v="1845000"/>
    <n v="301436649"/>
    <n v="39547368"/>
    <n v="55207"/>
    <n v="985639997"/>
    <n v="84062939"/>
    <n v="631529"/>
    <n v="4.7804432356107383E-4"/>
    <n v="7.2693165751689433E-4"/>
    <n v="2.8205024232595137E-3"/>
    <n v="3.1921292728031834E-3"/>
    <n v="0.56870719353228538"/>
    <n v="0.26599454883401574"/>
    <m/>
    <m/>
  </r>
  <r>
    <x v="0"/>
    <x v="0"/>
    <x v="2"/>
    <x v="0"/>
    <s v="Eversource"/>
    <x v="0"/>
    <x v="2"/>
    <m/>
    <s v="C2 - C&amp;I Existing Buildings"/>
    <s v="C2a - C&amp;I Existing Building Retrofit"/>
    <x v="6"/>
    <n v="3456127"/>
    <n v="3772734"/>
    <n v="35400000"/>
    <n v="30440000"/>
    <n v="301436649"/>
    <n v="39547368"/>
    <n v="55207"/>
    <n v="985639997"/>
    <n v="84062939"/>
    <n v="631529"/>
    <n v="3.9684907076350528E-3"/>
    <n v="4.3320340431294404E-3"/>
    <n v="3.5915750281793807E-2"/>
    <n v="4.0647977070947014E-2"/>
    <n v="7.241811025555001"/>
    <n v="3.3871248304763157"/>
    <m/>
    <m/>
  </r>
  <r>
    <x v="0"/>
    <x v="0"/>
    <x v="2"/>
    <x v="0"/>
    <s v="Eversource"/>
    <x v="0"/>
    <x v="2"/>
    <m/>
    <s v="C2 - C&amp;I Existing Buildings"/>
    <s v="C2b - C&amp;I New &amp; Replacement Equipment"/>
    <x v="0"/>
    <n v="1015828"/>
    <n v="1404647"/>
    <n v="12175000"/>
    <n v="7595000"/>
    <n v="301436649"/>
    <n v="39547368"/>
    <n v="55207"/>
    <n v="985639997"/>
    <n v="84062939"/>
    <n v="631529"/>
    <n v="1.1664224082493209E-3"/>
    <n v="1.6128830239766812E-3"/>
    <n v="1.2352380216972872E-2"/>
    <n v="1.3979918667762143E-2"/>
    <n v="2.4906511083653147"/>
    <n v="1.1649221698036483"/>
    <m/>
    <m/>
  </r>
  <r>
    <x v="0"/>
    <x v="0"/>
    <x v="2"/>
    <x v="0"/>
    <s v="Eversource"/>
    <x v="0"/>
    <x v="2"/>
    <m/>
    <s v="C2 - C&amp;I Existing Buildings"/>
    <s v="Cost only "/>
    <x v="4"/>
    <m/>
    <m/>
    <n v="2880000"/>
    <m/>
    <n v="301436649"/>
    <n v="39547368"/>
    <n v="55207"/>
    <n v="985639997"/>
    <n v="84062939"/>
    <n v="631529"/>
    <n v="0"/>
    <n v="0"/>
    <n v="2.9219593449594963E-3"/>
    <n v="3.3069540667889094E-3"/>
    <n v="0.58916428682481359"/>
    <n v="0.27556269807264944"/>
    <m/>
    <m/>
  </r>
  <r>
    <x v="0"/>
    <x v="0"/>
    <x v="0"/>
    <x v="0"/>
    <s v="Ngrid"/>
    <x v="1"/>
    <x v="0"/>
    <m/>
    <s v="A1 - Residential New Buildings"/>
    <s v="A1a - Residential New Homes &amp; Renovations"/>
    <x v="0"/>
    <n v="461728.86076247424"/>
    <n v="702376"/>
    <n v="6267341.5016537793"/>
    <n v="5518813.3214729168"/>
    <n v="803991920"/>
    <n v="48678482"/>
    <n v="670202"/>
    <n v="1231007132"/>
    <n v="120192643"/>
    <n v="731793"/>
    <n v="3.7080824367528625E-4"/>
    <n v="5.6406872754192778E-4"/>
    <n v="5.0912308618970533E-3"/>
    <n v="5.0332177436423833E-3"/>
    <n v="0.70296621894491262"/>
    <n v="0.40408914357238751"/>
    <m/>
    <m/>
  </r>
  <r>
    <x v="0"/>
    <x v="0"/>
    <x v="0"/>
    <x v="0"/>
    <s v="Ngrid"/>
    <x v="1"/>
    <x v="0"/>
    <m/>
    <s v="A2 - Residential Existing Buildings"/>
    <s v="A2a - Residential Coordinated Delivery"/>
    <x v="1"/>
    <n v="2342143.2389959916"/>
    <n v="2457814"/>
    <n v="69390132.226335943"/>
    <n v="64237651.15319968"/>
    <n v="803991920"/>
    <n v="48678482"/>
    <n v="670202"/>
    <n v="1231007132"/>
    <n v="120192643"/>
    <n v="731793"/>
    <n v="1.8809437630861511E-3"/>
    <n v="1.9738373969422872E-3"/>
    <n v="5.6368586682027398E-2"/>
    <n v="5.5726282772867286E-2"/>
    <n v="7.7830319076060386"/>
    <n v="4.4739542430097172"/>
    <m/>
    <m/>
  </r>
  <r>
    <x v="0"/>
    <x v="0"/>
    <x v="0"/>
    <x v="0"/>
    <s v="Ngrid"/>
    <x v="1"/>
    <x v="0"/>
    <m/>
    <s v="A2 - Residential Existing Buildings"/>
    <s v="A2c - Residential Retail"/>
    <x v="2"/>
    <n v="2024699.0405337538"/>
    <n v="2490909"/>
    <n v="27440576.298445228"/>
    <n v="24679459.899999999"/>
    <n v="803991920"/>
    <n v="48678482"/>
    <n v="670202"/>
    <n v="1231007132"/>
    <n v="120192643"/>
    <n v="731793"/>
    <n v="1.6260085929035682E-3"/>
    <n v="2.0004155467338519E-3"/>
    <n v="2.2291159478388164E-2"/>
    <n v="2.2037158097203184E-2"/>
    <n v="3.0778278415333489"/>
    <n v="1.7692412281420364"/>
    <m/>
    <m/>
  </r>
  <r>
    <x v="0"/>
    <x v="0"/>
    <x v="0"/>
    <x v="0"/>
    <s v="Ngrid"/>
    <x v="1"/>
    <x v="0"/>
    <m/>
    <s v="A2 - Residential Existing Buildings"/>
    <s v="A2d - Residential Behavior"/>
    <x v="5"/>
    <n v="4086994.548"/>
    <n v="4086995"/>
    <n v="2441106.6819784148"/>
    <n v="0"/>
    <n v="803991920"/>
    <n v="48678482"/>
    <n v="670202"/>
    <n v="1231007132"/>
    <n v="120192643"/>
    <n v="731793"/>
    <n v="3.2822104032044891E-3"/>
    <n v="3.2822107661996162E-3"/>
    <n v="1.9830158725501314E-3"/>
    <n v="1.9604199743408972E-3"/>
    <n v="0.27380278126199409"/>
    <n v="0.1573912492608229"/>
    <m/>
    <m/>
  </r>
  <r>
    <x v="0"/>
    <x v="0"/>
    <x v="0"/>
    <x v="0"/>
    <s v="Ngrid"/>
    <x v="1"/>
    <x v="1"/>
    <n v="1"/>
    <s v="B1 - Income Eligible Existing Buildings"/>
    <s v="B1a - Income Eligible Coordinated Delivery"/>
    <x v="3"/>
    <n v="1571935.197240243"/>
    <n v="1571935"/>
    <n v="39009232.228641428"/>
    <n v="30391525.995000001"/>
    <n v="0"/>
    <n v="0"/>
    <n v="0"/>
    <n v="1231007132"/>
    <n v="120192643"/>
    <n v="731793"/>
    <n v="1.2624000342917087E-3"/>
    <n v="1.26239987589072E-3"/>
    <n v="3.1688875892427755E-2"/>
    <n v="3.1327790222896758E-2"/>
    <n v="24.816056219828727"/>
    <n v="2.5151345651946064"/>
    <m/>
    <m/>
  </r>
  <r>
    <x v="0"/>
    <x v="0"/>
    <x v="0"/>
    <x v="0"/>
    <s v="Ngrid"/>
    <x v="1"/>
    <x v="2"/>
    <m/>
    <s v="C1 - C&amp;I New Buildings"/>
    <s v="C1a - C&amp;I New Buildings &amp; Major Renovations"/>
    <x v="0"/>
    <n v="715027.15000000014"/>
    <n v="1112988"/>
    <n v="4688178.0419468889"/>
    <n v="2337400"/>
    <n v="427015212"/>
    <n v="71514161"/>
    <n v="61591"/>
    <n v="1231007132"/>
    <n v="120192643"/>
    <n v="731793"/>
    <n v="5.7422869610925095E-4"/>
    <n v="8.9382570721299596E-4"/>
    <n v="3.8084085137102919E-3"/>
    <n v="3.7650127888922578E-3"/>
    <n v="0.93347262318223567"/>
    <n v="0.30227199991979048"/>
    <m/>
    <m/>
  </r>
  <r>
    <x v="0"/>
    <x v="0"/>
    <x v="0"/>
    <x v="0"/>
    <s v="Ngrid"/>
    <x v="1"/>
    <x v="2"/>
    <m/>
    <s v="C2 - C&amp;I Existing Buildings"/>
    <s v="C2a - C&amp;I Existing Building Retrofit"/>
    <x v="2"/>
    <n v="3571368.2680396689"/>
    <n v="3933754"/>
    <n v="29690030.19952473"/>
    <n v="23200557.32676756"/>
    <n v="427015212"/>
    <n v="71514161"/>
    <n v="61591"/>
    <n v="1231007132"/>
    <n v="120192643"/>
    <n v="731793"/>
    <n v="2.8681178664088105E-3"/>
    <n v="3.159144978249497E-3"/>
    <n v="2.4118487560090537E-2"/>
    <n v="2.3843664298505821E-2"/>
    <n v="5.9116420333731261"/>
    <n v="1.9142755940135829"/>
    <m/>
    <m/>
  </r>
  <r>
    <x v="0"/>
    <x v="0"/>
    <x v="0"/>
    <x v="0"/>
    <s v="Ngrid"/>
    <x v="1"/>
    <x v="2"/>
    <m/>
    <s v="C2 - C&amp;I Existing Buildings"/>
    <s v="C2b - C&amp;I New &amp; Replacement Equipment"/>
    <x v="0"/>
    <n v="735902.96063666663"/>
    <n v="1213971"/>
    <n v="7403035.7158435583"/>
    <n v="4921147.3685555551"/>
    <n v="427015212"/>
    <n v="71514161"/>
    <n v="61591"/>
    <n v="1231007132"/>
    <n v="120192643"/>
    <n v="731793"/>
    <n v="5.9099377911640198E-4"/>
    <n v="9.7492379757110393E-4"/>
    <n v="6.0138040823662408E-3"/>
    <n v="5.9452785063602983E-3"/>
    <n v="1.4740334320388753"/>
    <n v="0.47731344485722516"/>
    <m/>
    <m/>
  </r>
  <r>
    <x v="0"/>
    <x v="0"/>
    <x v="1"/>
    <x v="0"/>
    <s v="Ngrid"/>
    <x v="1"/>
    <x v="0"/>
    <m/>
    <s v="A1 - Residential New Buildings"/>
    <s v="A1a - Residential New Homes &amp; Renovations"/>
    <x v="0"/>
    <n v="515461"/>
    <n v="702376"/>
    <n v="6253253"/>
    <n v="5514540.0097355135"/>
    <n v="803991920"/>
    <n v="48678482"/>
    <n v="670202"/>
    <n v="1231007132"/>
    <n v="120192643"/>
    <n v="731793"/>
    <n v="4.1395980268045844E-4"/>
    <n v="5.6406872754192778E-4"/>
    <n v="5.0797861665028924E-3"/>
    <n v="5.0219034572760784E-3"/>
    <n v="0.6771435034591613"/>
    <n v="0.38871617457591989"/>
    <m/>
    <m/>
  </r>
  <r>
    <x v="0"/>
    <x v="0"/>
    <x v="1"/>
    <x v="0"/>
    <s v="Ngrid"/>
    <x v="1"/>
    <x v="0"/>
    <m/>
    <s v="A2 - Residential Existing Buildings"/>
    <s v="A2a - Residential Coordinated Delivery"/>
    <x v="1"/>
    <n v="2457242"/>
    <n v="2579804"/>
    <n v="75119410"/>
    <n v="70161559.090728968"/>
    <n v="803991920"/>
    <n v="48678482"/>
    <n v="670202"/>
    <n v="1231007132"/>
    <n v="120192643"/>
    <n v="731793"/>
    <n v="1.9733780314284397E-3"/>
    <n v="2.0718059267224045E-3"/>
    <n v="6.1022725252577986E-2"/>
    <n v="6.0327388766700983E-2"/>
    <n v="8.1344254686616964"/>
    <n v="4.6695903222850736"/>
    <m/>
    <m/>
  </r>
  <r>
    <x v="0"/>
    <x v="0"/>
    <x v="1"/>
    <x v="0"/>
    <s v="Ngrid"/>
    <x v="1"/>
    <x v="0"/>
    <m/>
    <s v="A2 - Residential Existing Buildings"/>
    <s v="A2c - Residential Retail"/>
    <x v="2"/>
    <n v="1737070"/>
    <n v="2094182"/>
    <n v="30955373"/>
    <n v="20243673.300000001"/>
    <n v="803991920"/>
    <n v="48678482"/>
    <n v="670202"/>
    <n v="1231007132"/>
    <n v="120192643"/>
    <n v="731793"/>
    <n v="1.3950175754172361E-3"/>
    <n v="1.6818094239854572E-3"/>
    <n v="2.5146379899283963E-2"/>
    <n v="2.485984409873878E-2"/>
    <n v="3.3520520797903313"/>
    <n v="1.9242551317099625"/>
    <m/>
    <m/>
  </r>
  <r>
    <x v="0"/>
    <x v="0"/>
    <x v="1"/>
    <x v="0"/>
    <s v="Ngrid"/>
    <x v="1"/>
    <x v="0"/>
    <m/>
    <s v="A2 - Residential Existing Buildings (Furnace)"/>
    <s v="A2c - Residential Retail (Furnace) "/>
    <x v="7"/>
    <n v="437985"/>
    <n v="576333"/>
    <m/>
    <n v="7500850"/>
    <n v="803991920"/>
    <n v="48678482"/>
    <n v="670202"/>
    <n v="1231007132"/>
    <n v="120192643"/>
    <n v="731793"/>
    <m/>
    <n v="4.6284528792330876E-4"/>
    <m/>
    <m/>
    <n v="0"/>
    <n v="0"/>
    <m/>
    <m/>
  </r>
  <r>
    <x v="0"/>
    <x v="0"/>
    <x v="1"/>
    <x v="0"/>
    <s v="Ngrid"/>
    <x v="1"/>
    <x v="0"/>
    <m/>
    <s v="A2 - Residential Existing Buildings"/>
    <s v="A2d - Residential Behavior"/>
    <x v="5"/>
    <n v="4086995"/>
    <n v="4086995"/>
    <n v="2487797"/>
    <n v="0"/>
    <n v="803991920"/>
    <n v="48678482"/>
    <n v="670202"/>
    <n v="1231007132"/>
    <n v="120192643"/>
    <n v="731793"/>
    <n v="3.2822107661996162E-3"/>
    <n v="3.2822107661996162E-3"/>
    <n v="2.0209444245526923E-3"/>
    <n v="1.9979163413508228E-3"/>
    <n v="0.26939507748610059"/>
    <n v="0.15464701859359439"/>
    <m/>
    <m/>
  </r>
  <r>
    <x v="0"/>
    <x v="0"/>
    <x v="1"/>
    <x v="0"/>
    <s v="Ngrid"/>
    <x v="1"/>
    <x v="1"/>
    <n v="1"/>
    <s v="B1 - Income Eligible Existing Buildings"/>
    <s v="B1a - Income Eligible Coordinated Delivery"/>
    <x v="3"/>
    <n v="1513888.84"/>
    <n v="1513888.84"/>
    <n v="43733400"/>
    <n v="31800075.055"/>
    <n v="0"/>
    <n v="0"/>
    <n v="0"/>
    <n v="1231007132"/>
    <n v="120192643"/>
    <n v="731793"/>
    <n v="1.2157837847801252E-3"/>
    <n v="1.2157837847801252E-3"/>
    <n v="3.5526520410118959E-2"/>
    <n v="3.512170587987367E-2"/>
    <n v="27.955525213629322"/>
    <n v="2.718565832727148"/>
    <m/>
    <m/>
  </r>
  <r>
    <x v="0"/>
    <x v="0"/>
    <x v="1"/>
    <x v="0"/>
    <s v="Ngrid"/>
    <x v="1"/>
    <x v="1"/>
    <n v="1"/>
    <s v="B1 - Income Eligible Existing Buildings (Furnace) "/>
    <s v="B1a - Income Eligible Coordinated Delivery (Furnace)"/>
    <x v="7"/>
    <n v="50503.16"/>
    <n v="50503.16"/>
    <m/>
    <n v="1479936"/>
    <n v="0"/>
    <n v="0"/>
    <n v="0"/>
    <n v="1231007132"/>
    <n v="120192643"/>
    <n v="731793"/>
    <m/>
    <n v="4.055840916837476E-5"/>
    <m/>
    <m/>
    <n v="0"/>
    <n v="0"/>
    <m/>
    <m/>
  </r>
  <r>
    <x v="0"/>
    <x v="0"/>
    <x v="1"/>
    <x v="0"/>
    <s v="Ngrid"/>
    <x v="1"/>
    <x v="2"/>
    <m/>
    <s v="C1 - C&amp;I New Buildings"/>
    <s v="C1a - C&amp;I New Buildings &amp; Major Renovations"/>
    <x v="0"/>
    <n v="708661"/>
    <n v="1106622"/>
    <n v="4718077"/>
    <n v="2346044"/>
    <n v="427015212"/>
    <n v="71514161"/>
    <n v="61591"/>
    <n v="1231007132"/>
    <n v="120192643"/>
    <n v="731793"/>
    <n v="5.69116126588309E-4"/>
    <n v="8.8871325815503843E-4"/>
    <n v="3.8326967223452284E-3"/>
    <n v="3.7890242403425464E-3"/>
    <n v="0.89225826351371929"/>
    <n v="0.29328620524303628"/>
    <m/>
    <m/>
  </r>
  <r>
    <x v="0"/>
    <x v="0"/>
    <x v="1"/>
    <x v="0"/>
    <s v="Ngrid"/>
    <x v="1"/>
    <x v="2"/>
    <m/>
    <s v="C2 - C&amp;I Existing Buildings"/>
    <s v="C2a - C&amp;I Existing Building Retrofit"/>
    <x v="8"/>
    <n v="3862272"/>
    <n v="4217436"/>
    <n v="37041691"/>
    <n v="30377497.633223876"/>
    <n v="427015212"/>
    <n v="71514161"/>
    <n v="61591"/>
    <n v="1231007132"/>
    <n v="120192643"/>
    <n v="731793"/>
    <n v="3.1017387445767177E-3"/>
    <n v="3.3869661805208573E-3"/>
    <n v="3.0090557590693148E-2"/>
    <n v="2.974768430067554E-2"/>
    <n v="7.0051325761050025"/>
    <n v="2.3025942537977082"/>
    <m/>
    <m/>
  </r>
  <r>
    <x v="0"/>
    <x v="0"/>
    <x v="1"/>
    <x v="0"/>
    <s v="Ngrid"/>
    <x v="1"/>
    <x v="2"/>
    <m/>
    <s v="C2 - C&amp;I Existing Buildings"/>
    <s v="C2b - C&amp;I New &amp; Replacement Equipment"/>
    <x v="0"/>
    <n v="715703.72"/>
    <n v="1167317"/>
    <n v="7563748"/>
    <n v="5055681.9993333304"/>
    <n v="427015212"/>
    <n v="71514161"/>
    <n v="61591"/>
    <n v="1231007132"/>
    <n v="120192643"/>
    <n v="731793"/>
    <n v="5.7477204038495642E-4"/>
    <n v="9.3745659707629621E-4"/>
    <n v="6.1443575779380616E-3"/>
    <n v="6.0743443822223447E-3"/>
    <n v="1.4304168109455118"/>
    <n v="0.4701794710714991"/>
    <m/>
    <m/>
  </r>
  <r>
    <x v="0"/>
    <x v="0"/>
    <x v="1"/>
    <x v="0"/>
    <s v="Ngrid"/>
    <x v="1"/>
    <x v="2"/>
    <m/>
    <s v="C2 - C&amp;I Existing Buildings (Furnace) "/>
    <s v="C2b - C&amp;I New &amp; Replacement Equipment (Furnace)"/>
    <x v="7"/>
    <n v="1156.28"/>
    <n v="1370"/>
    <m/>
    <n v="6900"/>
    <n v="427015212"/>
    <n v="71514161"/>
    <n v="61591"/>
    <n v="1231007132"/>
    <n v="120192643"/>
    <n v="731793"/>
    <m/>
    <n v="1.1002285908579468E-6"/>
    <m/>
    <m/>
    <n v="0"/>
    <n v="0"/>
    <m/>
    <m/>
  </r>
  <r>
    <x v="0"/>
    <x v="0"/>
    <x v="2"/>
    <x v="0"/>
    <s v="Ngrid"/>
    <x v="1"/>
    <x v="0"/>
    <m/>
    <s v="A1 - Residential New Buildings"/>
    <s v="A1a - Residential New Homes &amp; Renovations"/>
    <x v="0"/>
    <n v="389397"/>
    <n v="521547"/>
    <n v="5232163"/>
    <n v="4372460"/>
    <n v="803991920"/>
    <n v="48678482"/>
    <n v="670202"/>
    <n v="1231007132"/>
    <n v="120192643"/>
    <n v="731793"/>
    <n v="3.1271949824402323E-4"/>
    <n v="4.1884738750086822E-4"/>
    <n v="4.2503108747220485E-3"/>
    <n v="4.2018797989993332E-3"/>
    <n v="0.55435197774693667"/>
    <n v="0.31617156921781336"/>
    <m/>
    <m/>
  </r>
  <r>
    <x v="0"/>
    <x v="0"/>
    <x v="2"/>
    <x v="0"/>
    <s v="Ngrid"/>
    <x v="1"/>
    <x v="0"/>
    <m/>
    <s v="A1 - Residential New Buildings"/>
    <s v="Cost only"/>
    <x v="4"/>
    <m/>
    <m/>
    <n v="1099042"/>
    <m/>
    <n v="803991920"/>
    <n v="48678482"/>
    <n v="670202"/>
    <n v="1231007132"/>
    <n v="120192643"/>
    <n v="731793"/>
    <n v="0"/>
    <n v="0"/>
    <n v="8.9279905163051486E-4"/>
    <n v="8.8262586200999957E-4"/>
    <n v="0.11644440479529189"/>
    <n v="6.6413419034591248E-2"/>
    <m/>
    <m/>
  </r>
  <r>
    <x v="0"/>
    <x v="0"/>
    <x v="2"/>
    <x v="0"/>
    <s v="Ngrid"/>
    <x v="1"/>
    <x v="0"/>
    <m/>
    <s v="A2 - Residential Existing Buildings"/>
    <s v="A2a - Residential Coordinated Delivery"/>
    <x v="1"/>
    <n v="2556757"/>
    <n v="2684688"/>
    <n v="82340584"/>
    <n v="76853053.948173553"/>
    <n v="803991920"/>
    <n v="48678482"/>
    <n v="670202"/>
    <n v="1231007132"/>
    <n v="120192643"/>
    <n v="731793"/>
    <n v="2.0532971907125486E-3"/>
    <n v="2.1560368577614882E-3"/>
    <n v="6.6888795247044927E-2"/>
    <n v="6.6126616572803207E-2"/>
    <n v="8.7240526698495007"/>
    <n v="4.9757149487871795"/>
    <m/>
    <m/>
  </r>
  <r>
    <x v="0"/>
    <x v="0"/>
    <x v="2"/>
    <x v="0"/>
    <s v="Ngrid"/>
    <x v="1"/>
    <x v="0"/>
    <m/>
    <s v="A2 - Residential Existing Buildings"/>
    <s v="Cost only"/>
    <x v="4"/>
    <m/>
    <m/>
    <n v="7112346"/>
    <m/>
    <n v="803991920"/>
    <n v="48678482"/>
    <n v="670202"/>
    <n v="1231007132"/>
    <n v="120192643"/>
    <n v="731793"/>
    <n v="0"/>
    <n v="0"/>
    <n v="5.7776643328172044E-3"/>
    <n v="5.711829501659966E-3"/>
    <n v="0.7535589146440036"/>
    <n v="0.4297881384123618"/>
    <m/>
    <m/>
  </r>
  <r>
    <x v="0"/>
    <x v="0"/>
    <x v="2"/>
    <x v="0"/>
    <s v="Ngrid"/>
    <x v="1"/>
    <x v="0"/>
    <m/>
    <s v="A2 - Residential Existing Buildings"/>
    <s v="A2c - Residential Retail"/>
    <x v="6"/>
    <n v="1967207"/>
    <n v="2372863"/>
    <n v="36115882"/>
    <n v="25646205.600000001"/>
    <n v="803991920"/>
    <n v="48678482"/>
    <n v="670202"/>
    <n v="1231007132"/>
    <n v="120192643"/>
    <n v="731793"/>
    <n v="1.5798375076904296E-3"/>
    <n v="1.9056143903569049E-3"/>
    <n v="2.9338483150234098E-2"/>
    <n v="2.9004179533176556E-2"/>
    <n v="3.826507433880594"/>
    <n v="2.1824272457921094"/>
    <m/>
    <m/>
  </r>
  <r>
    <x v="0"/>
    <x v="0"/>
    <x v="2"/>
    <x v="0"/>
    <s v="Ngrid"/>
    <x v="1"/>
    <x v="0"/>
    <m/>
    <s v="A2 - Residential Existing Buildings (Furnace)"/>
    <s v="A2c - Residential Retail (Furnace) "/>
    <x v="9"/>
    <n v="437985"/>
    <n v="576333"/>
    <m/>
    <n v="7500850"/>
    <n v="803991920"/>
    <n v="48678482"/>
    <n v="670202"/>
    <n v="1231007132"/>
    <n v="120192643"/>
    <n v="731793"/>
    <n v="3.5173986815103484E-4"/>
    <n v="4.6284528792330876E-4"/>
    <n v="0"/>
    <n v="0"/>
    <n v="0"/>
    <n v="0"/>
    <m/>
    <m/>
  </r>
  <r>
    <x v="0"/>
    <x v="0"/>
    <x v="2"/>
    <x v="0"/>
    <s v="Ngrid"/>
    <x v="1"/>
    <x v="0"/>
    <m/>
    <s v="A2 - Residential Existing Buildings"/>
    <s v="Cost only"/>
    <x v="4"/>
    <m/>
    <m/>
    <n v="3829803"/>
    <m/>
    <n v="803991920"/>
    <n v="48678482"/>
    <n v="670202"/>
    <n v="1231007132"/>
    <n v="120192643"/>
    <n v="731793"/>
    <n v="0"/>
    <n v="0"/>
    <n v="3.1111135755791867E-3"/>
    <n v="3.0756633269733843E-3"/>
    <n v="0.40577078111502857"/>
    <n v="0.23142910958719928"/>
    <m/>
    <m/>
  </r>
  <r>
    <x v="0"/>
    <x v="0"/>
    <x v="2"/>
    <x v="0"/>
    <s v="Ngrid"/>
    <x v="1"/>
    <x v="0"/>
    <m/>
    <s v="A2 - Residential Existing Buildings"/>
    <s v="A2d - Residential Behavior"/>
    <x v="5"/>
    <n v="4086995"/>
    <n v="4086995"/>
    <n v="2536128"/>
    <n v="0"/>
    <n v="803991920"/>
    <n v="48678482"/>
    <n v="670202"/>
    <n v="1231007132"/>
    <n v="120192643"/>
    <n v="731793"/>
    <n v="3.2822107661996162E-3"/>
    <n v="3.2822107661996162E-3"/>
    <n v="2.0602057730401517E-3"/>
    <n v="2.0367303180112281E-3"/>
    <n v="0.26870484971882241"/>
    <n v="0.15325431747773044"/>
    <m/>
    <m/>
  </r>
  <r>
    <x v="0"/>
    <x v="0"/>
    <x v="2"/>
    <x v="0"/>
    <s v="Ngrid"/>
    <x v="1"/>
    <x v="1"/>
    <n v="1"/>
    <s v="B1 - Income Eligible Existing Buildings"/>
    <s v="B1a - Income Eligible Coordinated Delivery"/>
    <x v="1"/>
    <n v="440181.52200000006"/>
    <n v="440181.52200000006"/>
    <n v="10254217"/>
    <n v="10254217"/>
    <n v="0"/>
    <n v="0"/>
    <n v="0"/>
    <n v="1231007132"/>
    <n v="120192643"/>
    <n v="731793"/>
    <n v="3.5350386545384403E-4"/>
    <n v="3.5350386545384403E-4"/>
    <n v="8.3299411786023677E-3"/>
    <n v="8.2350238834026281E-3"/>
    <n v="6.287069719761055"/>
    <n v="0.61964657446451465"/>
    <m/>
    <m/>
  </r>
  <r>
    <x v="0"/>
    <x v="0"/>
    <x v="2"/>
    <x v="0"/>
    <s v="Ngrid"/>
    <x v="1"/>
    <x v="1"/>
    <n v="1"/>
    <s v="B1 - Income Eligible Existing Buildings"/>
    <s v="B1a - Income Eligible Coordinated Delivery"/>
    <x v="6"/>
    <n v="1140316.318"/>
    <n v="1140316.318"/>
    <n v="48726521"/>
    <n v="36332468.455977798"/>
    <n v="0"/>
    <n v="0"/>
    <n v="0"/>
    <n v="1231007132"/>
    <n v="120192643"/>
    <n v="731793"/>
    <n v="9.157727121791694E-4"/>
    <n v="9.157727121791694E-4"/>
    <n v="3.9582647194606177E-2"/>
    <n v="3.9131614260759229E-2"/>
    <n v="29.875224478709701"/>
    <n v="2.9444687803294234"/>
    <m/>
    <m/>
  </r>
  <r>
    <x v="0"/>
    <x v="0"/>
    <x v="2"/>
    <x v="0"/>
    <s v="Ngrid"/>
    <x v="1"/>
    <x v="1"/>
    <n v="1"/>
    <s v="B1 - Income Eligible Existing Buildings (Furnace) "/>
    <s v="B1a - Income Eligible Coordinated Delivery (Furnace)"/>
    <x v="9"/>
    <n v="50503.16"/>
    <n v="50503.16"/>
    <m/>
    <n v="1479936"/>
    <n v="0"/>
    <n v="0"/>
    <n v="0"/>
    <n v="1231007132"/>
    <n v="120192643"/>
    <n v="731793"/>
    <n v="4.055840916837476E-5"/>
    <n v="4.055840916837476E-5"/>
    <n v="0"/>
    <n v="0"/>
    <n v="0"/>
    <n v="0"/>
    <m/>
    <m/>
  </r>
  <r>
    <x v="0"/>
    <x v="0"/>
    <x v="2"/>
    <x v="0"/>
    <s v="Ngrid"/>
    <x v="1"/>
    <x v="1"/>
    <n v="1"/>
    <s v="B1 - Income Eligible Existing Buildings "/>
    <s v="Cost only"/>
    <x v="4"/>
    <m/>
    <m/>
    <n v="12611260"/>
    <m/>
    <n v="0"/>
    <n v="0"/>
    <n v="0"/>
    <n v="1231007132"/>
    <n v="120192643"/>
    <n v="731793"/>
    <n v="0"/>
    <n v="0"/>
    <n v="1.024466850936165E-2"/>
    <n v="1.0127933444338095E-2"/>
    <n v="7.7322208876634653"/>
    <n v="0.76207906061295128"/>
    <m/>
    <m/>
  </r>
  <r>
    <x v="0"/>
    <x v="0"/>
    <x v="2"/>
    <x v="0"/>
    <s v="Ngrid"/>
    <x v="1"/>
    <x v="2"/>
    <m/>
    <s v="C1 - C&amp;I New Buildings"/>
    <s v="C1a - C&amp;I New Buildings &amp; Major Renovations"/>
    <x v="0"/>
    <n v="704823"/>
    <n v="1102784"/>
    <n v="4741803"/>
    <n v="2346044"/>
    <n v="427015212"/>
    <n v="71514161"/>
    <n v="61591"/>
    <n v="1231007132"/>
    <n v="120192643"/>
    <n v="731793"/>
    <n v="5.6603388036078142E-4"/>
    <n v="8.8563101192751085E-4"/>
    <n v="3.8519703718499659E-3"/>
    <n v="3.8080782721284555E-3"/>
    <n v="0.86542659620076179"/>
    <n v="0.28653986801094217"/>
    <m/>
    <m/>
  </r>
  <r>
    <x v="0"/>
    <x v="0"/>
    <x v="2"/>
    <x v="0"/>
    <s v="Ngrid"/>
    <x v="1"/>
    <x v="2"/>
    <m/>
    <s v="C1 - C&amp;I New Buildings"/>
    <s v="Cost only"/>
    <x v="4"/>
    <m/>
    <m/>
    <n v="2675160"/>
    <m/>
    <n v="427015212"/>
    <n v="71514161"/>
    <n v="61591"/>
    <n v="1231007132"/>
    <n v="120192643"/>
    <n v="731793"/>
    <n v="0"/>
    <n v="0"/>
    <n v="2.1731474420084839E-3"/>
    <n v="2.1483850489923684E-3"/>
    <n v="0.4882435253198899"/>
    <n v="0.16165580757111842"/>
    <m/>
    <m/>
  </r>
  <r>
    <x v="0"/>
    <x v="0"/>
    <x v="2"/>
    <x v="0"/>
    <s v="Ngrid"/>
    <x v="1"/>
    <x v="2"/>
    <m/>
    <s v="C2 - C&amp;I Existing Buildings"/>
    <s v="C2a - C&amp;I Existing Building Retrofit"/>
    <x v="6"/>
    <n v="4073941"/>
    <n v="4414891"/>
    <n v="44445447"/>
    <n v="37543436.017730519"/>
    <n v="427015212"/>
    <n v="71514161"/>
    <n v="61591"/>
    <n v="1231007132"/>
    <n v="120192643"/>
    <n v="731793"/>
    <n v="3.2717272742105214E-3"/>
    <n v="3.5455396377528691E-3"/>
    <n v="3.6104946790836305E-2"/>
    <n v="3.5693541257563174E-2"/>
    <n v="8.1117397567615868"/>
    <n v="2.6857700577327495"/>
    <m/>
    <m/>
  </r>
  <r>
    <x v="0"/>
    <x v="0"/>
    <x v="2"/>
    <x v="0"/>
    <s v="Ngrid"/>
    <x v="1"/>
    <x v="2"/>
    <m/>
    <s v="C2 - C&amp;I Existing Buildings"/>
    <s v="Cost only"/>
    <x v="4"/>
    <m/>
    <m/>
    <n v="6577726"/>
    <m/>
    <n v="427015212"/>
    <n v="71514161"/>
    <n v="61591"/>
    <n v="1231007132"/>
    <n v="120192643"/>
    <n v="731793"/>
    <n v="0"/>
    <n v="0"/>
    <n v="5.3433695297225945E-3"/>
    <n v="5.2824833635253124E-3"/>
    <n v="1.2005009535236391"/>
    <n v="0.39748187342496988"/>
    <m/>
    <m/>
  </r>
  <r>
    <x v="0"/>
    <x v="0"/>
    <x v="2"/>
    <x v="0"/>
    <s v="Ngrid"/>
    <x v="1"/>
    <x v="2"/>
    <m/>
    <s v="C2 - C&amp;I Existing Buildings"/>
    <s v="C2b - C&amp;I New &amp; Replacement Equipment"/>
    <x v="0"/>
    <n v="699230.71999999997"/>
    <n v="1127077"/>
    <n v="7725233"/>
    <n v="5195393.1131111104"/>
    <n v="427015212"/>
    <n v="71514161"/>
    <n v="61591"/>
    <n v="1231007132"/>
    <n v="120192643"/>
    <n v="731793"/>
    <n v="5.6154279543809294E-4"/>
    <n v="9.0514039379445399E-4"/>
    <n v="6.2755387837996699E-3"/>
    <n v="6.2040308157951156E-3"/>
    <n v="1.4099324877157062"/>
    <n v="0.46682395792777021"/>
    <m/>
    <m/>
  </r>
  <r>
    <x v="0"/>
    <x v="0"/>
    <x v="2"/>
    <x v="0"/>
    <s v="Ngrid"/>
    <x v="1"/>
    <x v="2"/>
    <m/>
    <s v="C2 - C&amp;I Existing Buildings (Furnace) "/>
    <s v="C2b - C&amp;I New &amp; Replacement Equipment (Furnace)"/>
    <x v="9"/>
    <n v="1156.28"/>
    <n v="1370"/>
    <m/>
    <n v="6900"/>
    <n v="427015212"/>
    <n v="71514161"/>
    <n v="61591"/>
    <n v="1231007132"/>
    <n v="120192643"/>
    <n v="731793"/>
    <n v="9.2859293068410697E-7"/>
    <n v="1.1002285908579468E-6"/>
    <n v="0"/>
    <n v="0"/>
    <n v="0"/>
    <n v="0"/>
    <m/>
    <m/>
  </r>
  <r>
    <x v="0"/>
    <x v="0"/>
    <x v="2"/>
    <x v="0"/>
    <s v="Ngrid"/>
    <x v="1"/>
    <x v="2"/>
    <m/>
    <s v="C2 - C&amp;I Existing Buildings"/>
    <s v="Cost only"/>
    <x v="4"/>
    <m/>
    <m/>
    <n v="2965730"/>
    <m/>
    <n v="427015212"/>
    <n v="71514161"/>
    <n v="61591"/>
    <n v="1231007132"/>
    <n v="120192643"/>
    <n v="731793"/>
    <n v="0"/>
    <n v="0"/>
    <n v="2.409189941232607E-3"/>
    <n v="2.3817379115074E-3"/>
    <n v="0.5412754640271823"/>
    <n v="0.17921450611847253"/>
    <m/>
    <m/>
  </r>
  <r>
    <x v="0"/>
    <x v="0"/>
    <x v="1"/>
    <x v="0"/>
    <s v="Eversource"/>
    <x v="0"/>
    <x v="0"/>
    <m/>
    <s v="Cost only"/>
    <s v="Cost only"/>
    <x v="4"/>
    <m/>
    <m/>
    <n v="8945000"/>
    <m/>
    <n v="684203348"/>
    <n v="44515571"/>
    <n v="576322"/>
    <n v="985639997"/>
    <n v="84062939"/>
    <n v="631529"/>
    <n v="0"/>
    <n v="0"/>
    <n v="9.0753216460634362E-3"/>
    <n v="1.0271077822023193E-2"/>
    <n v="4.9780343192197201"/>
    <n v="1.9643220267147796"/>
    <m/>
    <m/>
  </r>
  <r>
    <x v="0"/>
    <x v="0"/>
    <x v="1"/>
    <x v="0"/>
    <s v="Eversource"/>
    <x v="0"/>
    <x v="1"/>
    <n v="1"/>
    <s v="Cost only"/>
    <s v="Cost only"/>
    <x v="4"/>
    <m/>
    <m/>
    <n v="395000"/>
    <m/>
    <n v="0"/>
    <n v="0"/>
    <n v="0"/>
    <n v="985639997"/>
    <n v="84062939"/>
    <n v="631529"/>
    <n v="0"/>
    <n v="0"/>
    <n v="4.0075484071493091E-4"/>
    <n v="4.5355793624361778E-4"/>
    <n v="0.70390157495749861"/>
    <n v="8.6742001179691219E-2"/>
    <m/>
    <m/>
  </r>
  <r>
    <x v="0"/>
    <x v="0"/>
    <x v="1"/>
    <x v="0"/>
    <s v="Eversource"/>
    <x v="0"/>
    <x v="2"/>
    <m/>
    <s v="Cost only"/>
    <s v="Cost only"/>
    <x v="4"/>
    <m/>
    <m/>
    <n v="1395000"/>
    <m/>
    <n v="301436649"/>
    <n v="39547368"/>
    <n v="55207"/>
    <n v="985639997"/>
    <n v="84062939"/>
    <n v="631529"/>
    <n v="0"/>
    <n v="0"/>
    <n v="1.4153240577147561E-3"/>
    <n v="1.6018058761008778E-3"/>
    <n v="0.63533790412272817"/>
    <n v="0.30634200416625124"/>
    <m/>
    <m/>
  </r>
  <r>
    <x v="0"/>
    <x v="0"/>
    <x v="1"/>
    <x v="0"/>
    <s v="Eversource"/>
    <x v="0"/>
    <x v="0"/>
    <m/>
    <s v="Cost only"/>
    <s v="Cost only"/>
    <x v="4"/>
    <m/>
    <m/>
    <n v="6790000"/>
    <m/>
    <n v="684203348"/>
    <n v="44515571"/>
    <n v="576322"/>
    <n v="985639997"/>
    <n v="84062939"/>
    <n v="631529"/>
    <n v="0"/>
    <n v="0"/>
    <n v="6.8889249834288126E-3"/>
    <n v="7.7966035116307968E-3"/>
    <n v="3.7787426525994299"/>
    <n v="1.4910840202787428"/>
    <m/>
    <m/>
  </r>
  <r>
    <x v="0"/>
    <x v="0"/>
    <x v="1"/>
    <x v="0"/>
    <s v="Eversource"/>
    <x v="0"/>
    <x v="1"/>
    <n v="1"/>
    <s v="Cost only"/>
    <s v="Cost only"/>
    <x v="4"/>
    <m/>
    <m/>
    <n v="425000"/>
    <m/>
    <n v="0"/>
    <n v="0"/>
    <n v="0"/>
    <n v="985639997"/>
    <n v="84062939"/>
    <n v="631529"/>
    <n v="0"/>
    <n v="0"/>
    <n v="4.3119191722492566E-4"/>
    <n v="4.8800537443933556E-4"/>
    <n v="0.75736245406819469"/>
    <n v="9.3330001269288018E-2"/>
    <m/>
    <m/>
  </r>
  <r>
    <x v="0"/>
    <x v="0"/>
    <x v="1"/>
    <x v="0"/>
    <s v="Eversource"/>
    <x v="0"/>
    <x v="2"/>
    <m/>
    <s v="Cost only"/>
    <s v="Cost only"/>
    <x v="4"/>
    <m/>
    <m/>
    <n v="1290000"/>
    <m/>
    <n v="301436649"/>
    <n v="39547368"/>
    <n v="55207"/>
    <n v="985639997"/>
    <n v="84062939"/>
    <n v="631529"/>
    <n v="0"/>
    <n v="0"/>
    <n v="1.3087942899297745E-3"/>
    <n v="1.4812398424158657E-3"/>
    <n v="0.58751677155435078"/>
    <n v="0.28328400385266245"/>
    <m/>
    <m/>
  </r>
  <r>
    <x v="0"/>
    <x v="0"/>
    <x v="1"/>
    <x v="0"/>
    <s v="Ngrid"/>
    <x v="1"/>
    <x v="0"/>
    <m/>
    <s v="Cost only"/>
    <s v="Cost only"/>
    <x v="4"/>
    <m/>
    <m/>
    <n v="16822062.999703366"/>
    <m/>
    <n v="803991920"/>
    <n v="48678482"/>
    <n v="670202"/>
    <n v="1231007132"/>
    <n v="120192643"/>
    <n v="731793"/>
    <n v="0"/>
    <n v="0"/>
    <n v="1.3665284759457727E-2"/>
    <n v="1.350957275145054E-2"/>
    <n v="1.8216039995550901"/>
    <n v="1.0456970120543367"/>
    <m/>
    <m/>
  </r>
  <r>
    <x v="0"/>
    <x v="0"/>
    <x v="1"/>
    <x v="0"/>
    <s v="Ngrid"/>
    <x v="1"/>
    <x v="1"/>
    <n v="1"/>
    <s v="Cost only"/>
    <s v="Cost only"/>
    <x v="4"/>
    <m/>
    <m/>
    <n v="1417925.0974051654"/>
    <m/>
    <n v="0"/>
    <n v="0"/>
    <n v="0"/>
    <n v="1231007132"/>
    <n v="120192643"/>
    <n v="731793"/>
    <n v="0"/>
    <n v="0"/>
    <n v="1.1518414967275474E-3"/>
    <n v="1.1387165925986877E-3"/>
    <n v="0.90637455152235846"/>
    <n v="8.8141391320409476E-2"/>
    <m/>
    <m/>
  </r>
  <r>
    <x v="0"/>
    <x v="0"/>
    <x v="1"/>
    <x v="0"/>
    <s v="Ngrid"/>
    <x v="1"/>
    <x v="2"/>
    <m/>
    <s v="Cost only"/>
    <s v="Cost only"/>
    <x v="4"/>
    <m/>
    <m/>
    <n v="3029163.2479442791"/>
    <m/>
    <n v="427015212"/>
    <n v="71514161"/>
    <n v="61591"/>
    <n v="1231007132"/>
    <n v="120192643"/>
    <n v="731793"/>
    <n v="0"/>
    <n v="0"/>
    <n v="2.4607194947951602E-3"/>
    <n v="2.4326803005579674E-3"/>
    <n v="0.57285965013083517"/>
    <n v="0.18829955383331987"/>
    <m/>
    <m/>
  </r>
  <r>
    <x v="0"/>
    <x v="0"/>
    <x v="0"/>
    <x v="1"/>
    <s v="Ameren"/>
    <x v="2"/>
    <x v="2"/>
    <m/>
    <s v="Standard"/>
    <m/>
    <x v="2"/>
    <n v="781957.41979522188"/>
    <n v="868841.5775502465"/>
    <n v="2031991.4441699944"/>
    <m/>
    <n v="278274544"/>
    <n v="103403271"/>
    <n v="68751"/>
    <n v="934881707"/>
    <n v="155630500"/>
    <n v="814853"/>
    <n v="4.8498536870503672E-4"/>
    <n v="5.3887263189448522E-4"/>
    <n v="2.1735278687723797E-3"/>
    <n v="1.2602810521503112E-3"/>
    <n v="0.74450727758584589"/>
    <n v="0.36716650166266085"/>
    <m/>
    <m/>
  </r>
  <r>
    <x v="0"/>
    <x v="0"/>
    <x v="0"/>
    <x v="1"/>
    <s v="Ameren"/>
    <x v="2"/>
    <x v="2"/>
    <m/>
    <s v="Small Business Direct Install"/>
    <s v="Cost only"/>
    <x v="4"/>
    <n v="0"/>
    <n v="0"/>
    <n v="0"/>
    <m/>
    <n v="278274544"/>
    <n v="103403271"/>
    <n v="68751"/>
    <n v="934881707"/>
    <n v="155630500"/>
    <n v="814853"/>
    <n v="0"/>
    <n v="0"/>
    <n v="0"/>
    <n v="0"/>
    <n v="0"/>
    <n v="0"/>
    <m/>
    <m/>
  </r>
  <r>
    <x v="0"/>
    <x v="0"/>
    <x v="0"/>
    <x v="1"/>
    <s v="Ameren"/>
    <x v="2"/>
    <x v="2"/>
    <m/>
    <s v="Small Business Energy Performance"/>
    <m/>
    <x v="10"/>
    <n v="20546.296928327643"/>
    <n v="22829.218809252936"/>
    <n v="259927.45208784795"/>
    <m/>
    <n v="278274544"/>
    <n v="103403271"/>
    <n v="68751"/>
    <n v="934881707"/>
    <n v="155630500"/>
    <n v="814853"/>
    <n v="1.2743217391450391E-5"/>
    <n v="1.4159130434944879E-5"/>
    <n v="2.7803245067436962E-4"/>
    <n v="1.6121211717691537E-4"/>
    <n v="9.5235578023211184E-2"/>
    <n v="4.6967054680767589E-2"/>
    <m/>
    <m/>
  </r>
  <r>
    <x v="0"/>
    <x v="0"/>
    <x v="0"/>
    <x v="1"/>
    <s v="Ameren"/>
    <x v="2"/>
    <x v="2"/>
    <m/>
    <s v="One Stop Shop for Homeless Facilities"/>
    <s v="Cost only"/>
    <x v="4"/>
    <n v="0"/>
    <n v="0"/>
    <n v="0"/>
    <m/>
    <n v="278274544"/>
    <n v="103403271"/>
    <n v="68751"/>
    <n v="934881707"/>
    <n v="155630500"/>
    <n v="814853"/>
    <n v="0"/>
    <n v="0"/>
    <n v="0"/>
    <n v="0"/>
    <n v="0"/>
    <n v="0"/>
    <m/>
    <m/>
  </r>
  <r>
    <x v="0"/>
    <x v="0"/>
    <x v="0"/>
    <x v="1"/>
    <s v="Ameren"/>
    <x v="2"/>
    <x v="2"/>
    <m/>
    <s v="Midstream Lighting &amp; HVAC"/>
    <m/>
    <x v="2"/>
    <n v="32350.38466"/>
    <n v="35944.871844444446"/>
    <n v="86519.939999999988"/>
    <m/>
    <n v="278274544"/>
    <n v="103403271"/>
    <n v="68751"/>
    <n v="934881707"/>
    <n v="155630500"/>
    <n v="814853"/>
    <n v="2.0064344726326148E-5"/>
    <n v="2.2293716362584613E-5"/>
    <n v="9.2546403841443431E-5"/>
    <n v="5.3661368175554016E-5"/>
    <n v="3.1700293409750127E-2"/>
    <n v="1.5633542053047001E-2"/>
    <m/>
    <m/>
  </r>
  <r>
    <x v="0"/>
    <x v="0"/>
    <x v="0"/>
    <x v="1"/>
    <s v="Ameren"/>
    <x v="2"/>
    <x v="2"/>
    <m/>
    <s v="Midstream Food Service"/>
    <m/>
    <x v="2"/>
    <n v="26241"/>
    <n v="29156.666666666664"/>
    <n v="44786.865039096549"/>
    <m/>
    <n v="278274544"/>
    <n v="103403271"/>
    <n v="68751"/>
    <n v="934881707"/>
    <n v="155630500"/>
    <n v="814853"/>
    <n v="1.6275184221056015E-5"/>
    <n v="1.808353802339557E-5"/>
    <n v="4.7906451376416277E-5"/>
    <n v="2.7777694416937976E-5"/>
    <n v="1.6409590235987693E-2"/>
    <n v="8.0926701753706309E-3"/>
    <m/>
    <m/>
  </r>
  <r>
    <x v="0"/>
    <x v="0"/>
    <x v="0"/>
    <x v="1"/>
    <s v="Ameren"/>
    <x v="2"/>
    <x v="2"/>
    <m/>
    <s v="Custom"/>
    <m/>
    <x v="11"/>
    <n v="1819597.2832764506"/>
    <n v="2021774.7591960561"/>
    <n v="2797652.0926206694"/>
    <m/>
    <n v="278274544"/>
    <n v="103403271"/>
    <n v="68751"/>
    <n v="934881707"/>
    <n v="155630500"/>
    <n v="814853"/>
    <n v="1.1285500168994047E-3"/>
    <n v="1.2539444632215608E-3"/>
    <n v="2.9925198789034274E-3"/>
    <n v="1.7351588427965497E-3"/>
    <n v="1.0250399179018925"/>
    <n v="0.50551597284718619"/>
    <m/>
    <m/>
  </r>
  <r>
    <x v="0"/>
    <x v="0"/>
    <x v="0"/>
    <x v="1"/>
    <s v="Ameren"/>
    <x v="2"/>
    <x v="2"/>
    <m/>
    <s v="Retro-Commissioning"/>
    <m/>
    <x v="12"/>
    <n v="48618"/>
    <n v="54020"/>
    <n v="347761.87837982504"/>
    <m/>
    <n v="278274544"/>
    <n v="103403271"/>
    <n v="68751"/>
    <n v="934881707"/>
    <n v="155630500"/>
    <n v="814853"/>
    <n v="3.0153839657760805E-5"/>
    <n v="3.3504266286400898E-5"/>
    <n v="3.7198490009584178E-4"/>
    <n v="2.1568875559971527E-4"/>
    <n v="0.12741748990309396"/>
    <n v="6.28381151223361E-2"/>
    <m/>
    <m/>
  </r>
  <r>
    <x v="0"/>
    <x v="0"/>
    <x v="0"/>
    <x v="1"/>
    <s v="Ameren"/>
    <x v="2"/>
    <x v="2"/>
    <m/>
    <s v="Streetlights"/>
    <s v="Cost only"/>
    <x v="4"/>
    <n v="0"/>
    <n v="0"/>
    <n v="0"/>
    <m/>
    <n v="278274544"/>
    <n v="103403271"/>
    <n v="68751"/>
    <n v="934881707"/>
    <n v="155630500"/>
    <n v="814853"/>
    <n v="0"/>
    <n v="0"/>
    <n v="0"/>
    <n v="0"/>
    <n v="0"/>
    <n v="0"/>
    <m/>
    <m/>
  </r>
  <r>
    <x v="0"/>
    <x v="0"/>
    <x v="0"/>
    <x v="1"/>
    <s v="Ameren"/>
    <x v="2"/>
    <x v="2"/>
    <m/>
    <s v="Business Market Transformation"/>
    <s v="Cost only"/>
    <x v="4"/>
    <m/>
    <n v="0"/>
    <n v="70668.612800000046"/>
    <m/>
    <n v="278274544"/>
    <n v="103403271"/>
    <n v="68751"/>
    <n v="934881707"/>
    <n v="155630500"/>
    <n v="814853"/>
    <n v="0"/>
    <n v="0"/>
    <n v="7.5590967574681671E-5"/>
    <n v="4.3830063334723444E-5"/>
    <n v="2.5892479359324861E-2"/>
    <n v="1.2769319188608966E-2"/>
    <m/>
    <m/>
  </r>
  <r>
    <x v="0"/>
    <x v="0"/>
    <x v="0"/>
    <x v="1"/>
    <s v="Ameren"/>
    <x v="2"/>
    <x v="0"/>
    <m/>
    <s v="Market Rate Single Family Home Efficiency"/>
    <m/>
    <x v="2"/>
    <n v="15660"/>
    <n v="17400"/>
    <n v="169664.08913099766"/>
    <m/>
    <n v="656607163"/>
    <n v="52227229"/>
    <n v="746102"/>
    <n v="934881707"/>
    <n v="155630500"/>
    <n v="814853"/>
    <n v="9.7126399490010748E-6"/>
    <n v="1.0791822165556749E-5"/>
    <n v="1.8148187932293946E-4"/>
    <n v="1.0522900447028141E-4"/>
    <n v="0.11913563999247424"/>
    <n v="3.0657102539846499E-2"/>
    <m/>
    <m/>
  </r>
  <r>
    <x v="0"/>
    <x v="0"/>
    <x v="0"/>
    <x v="1"/>
    <s v="Ameren"/>
    <x v="2"/>
    <x v="0"/>
    <m/>
    <s v="Market Rate Single Family Midstream HVAC"/>
    <m/>
    <x v="2"/>
    <n v="43710"/>
    <n v="48566.666666666664"/>
    <n v="54468.217193083736"/>
    <m/>
    <n v="656607163"/>
    <n v="52227229"/>
    <n v="746102"/>
    <n v="934881707"/>
    <n v="155630500"/>
    <n v="814853"/>
    <n v="2.7109801543476178E-5"/>
    <n v="3.0122001714973528E-5"/>
    <n v="5.8262148874289326E-5"/>
    <n v="3.3782259403602314E-5"/>
    <n v="3.8246784854612817E-2"/>
    <n v="9.8420221285702731E-3"/>
    <m/>
    <m/>
  </r>
  <r>
    <x v="0"/>
    <x v="0"/>
    <x v="0"/>
    <x v="1"/>
    <s v="Ameren"/>
    <x v="2"/>
    <x v="0"/>
    <m/>
    <s v="Market Rate Multifamily"/>
    <m/>
    <x v="2"/>
    <n v="3578"/>
    <n v="3975.5555555555557"/>
    <n v="45697.90896258803"/>
    <m/>
    <n v="656607163"/>
    <n v="52227229"/>
    <n v="746102"/>
    <n v="934881707"/>
    <n v="155630500"/>
    <n v="814853"/>
    <n v="2.2191459602506924E-6"/>
    <n v="2.4657177336118803E-6"/>
    <n v="4.8880953194849528E-5"/>
    <n v="2.8342741773681149E-5"/>
    <n v="3.2088402787299582E-2"/>
    <n v="8.2572893774883974E-3"/>
    <m/>
    <m/>
  </r>
  <r>
    <x v="0"/>
    <x v="0"/>
    <x v="0"/>
    <x v="1"/>
    <s v="Ameren"/>
    <x v="2"/>
    <x v="0"/>
    <m/>
    <s v="Direct Distribution Efficient Products Initiative - School Kits"/>
    <m/>
    <x v="13"/>
    <n v="105449"/>
    <n v="117165.55555555555"/>
    <n v="87788.151933523215"/>
    <m/>
    <n v="656607163"/>
    <n v="52227229"/>
    <n v="746102"/>
    <n v="934881707"/>
    <n v="155630500"/>
    <n v="814853"/>
    <n v="6.5401543421597332E-5"/>
    <n v="7.2668381579552585E-5"/>
    <n v="9.3902951866746946E-5"/>
    <n v="5.4447938155716058E-5"/>
    <n v="6.1643555321136294E-2"/>
    <n v="1.5862698991839508E-2"/>
    <m/>
    <m/>
  </r>
  <r>
    <x v="0"/>
    <x v="0"/>
    <x v="0"/>
    <x v="1"/>
    <s v="Ameren"/>
    <x v="2"/>
    <x v="0"/>
    <m/>
    <s v="Retail Products"/>
    <m/>
    <x v="2"/>
    <n v="1026156"/>
    <n v="1140173.3333333333"/>
    <n v="1734164.1578644533"/>
    <m/>
    <n v="656607163"/>
    <n v="52227229"/>
    <n v="746102"/>
    <n v="934881707"/>
    <n v="155630500"/>
    <n v="814853"/>
    <n v="6.3644213023672709E-4"/>
    <n v="7.0715792248525228E-4"/>
    <n v="1.8549557071015116E-3"/>
    <n v="1.0755627125031988E-3"/>
    <n v="1.2177046884663691"/>
    <n v="0.31335121463168802"/>
    <m/>
    <m/>
  </r>
  <r>
    <x v="0"/>
    <x v="0"/>
    <x v="0"/>
    <x v="1"/>
    <s v="Ameren"/>
    <x v="2"/>
    <x v="0"/>
    <m/>
    <s v="Residential Market Transformation"/>
    <m/>
    <x v="2"/>
    <n v="246"/>
    <n v="273.33333333333331"/>
    <n v="7470.0852663504957"/>
    <m/>
    <n v="656607163"/>
    <n v="52227229"/>
    <n v="746102"/>
    <n v="934881707"/>
    <n v="155630500"/>
    <n v="814853"/>
    <n v="1.525740375130437E-7"/>
    <n v="1.6952670834782633E-7"/>
    <n v="7.9904069257293693E-6"/>
    <n v="4.63309377908047E-6"/>
    <n v="5.2453845334228958E-3"/>
    <n v="1.3497916451552935E-3"/>
    <m/>
    <m/>
  </r>
  <r>
    <x v="0"/>
    <x v="0"/>
    <x v="0"/>
    <x v="1"/>
    <s v="Ameren"/>
    <x v="2"/>
    <x v="0"/>
    <m/>
    <s v="Public Housing"/>
    <m/>
    <x v="2"/>
    <n v="6117"/>
    <n v="6796.6666666666661"/>
    <n v="52684.659711823144"/>
    <m/>
    <n v="656607163"/>
    <n v="52227229"/>
    <n v="746102"/>
    <n v="934881707"/>
    <n v="155630500"/>
    <n v="814853"/>
    <n v="3.7938836888914157E-6"/>
    <n v="4.2154263209904611E-6"/>
    <n v="5.635435939899415E-5"/>
    <n v="3.2676061980624582E-5"/>
    <n v="3.6994396897434167E-2"/>
    <n v="9.519745889274291E-3"/>
    <m/>
    <m/>
  </r>
  <r>
    <x v="0"/>
    <x v="0"/>
    <x v="0"/>
    <x v="1"/>
    <s v="Ameren"/>
    <x v="2"/>
    <x v="0"/>
    <m/>
    <s v="Residential Targeted / Direct Distribution High School Innovation"/>
    <m/>
    <x v="2"/>
    <n v="20850"/>
    <n v="23166.666666666668"/>
    <n v="17695.738799999999"/>
    <m/>
    <n v="656607163"/>
    <n v="52227229"/>
    <n v="746102"/>
    <n v="934881707"/>
    <n v="155630500"/>
    <n v="814853"/>
    <n v="1.2931580008727484E-5"/>
    <n v="1.4368422231919428E-5"/>
    <n v="1.8928318596354779E-5"/>
    <n v="1.0975245184927736E-5"/>
    <n v="1.2425688770532472E-2"/>
    <n v="3.1974950131673169E-3"/>
    <m/>
    <m/>
  </r>
  <r>
    <x v="0"/>
    <x v="0"/>
    <x v="0"/>
    <x v="1"/>
    <s v="Ameren"/>
    <x v="2"/>
    <x v="1"/>
    <n v="1"/>
    <s v="IQ CAA"/>
    <m/>
    <x v="3"/>
    <n v="92278"/>
    <n v="102531.11111111111"/>
    <n v="1171145.9725393795"/>
    <m/>
    <n v="0"/>
    <n v="0"/>
    <n v="0"/>
    <n v="934881707"/>
    <n v="155630500"/>
    <n v="814853"/>
    <n v="5.7232630218002618E-5"/>
    <n v="6.359181135333625E-5"/>
    <n v="1.2527210274522779E-3"/>
    <n v="7.2636776238810296E-4"/>
    <n v="0.84815568220837045"/>
    <n v="0.21161780523600709"/>
    <m/>
    <m/>
  </r>
  <r>
    <x v="0"/>
    <x v="0"/>
    <x v="0"/>
    <x v="1"/>
    <s v="Ameren"/>
    <x v="2"/>
    <x v="1"/>
    <n v="1"/>
    <s v="IQ Single Family"/>
    <m/>
    <x v="3"/>
    <n v="385049.53924914676"/>
    <n v="427832.82138794084"/>
    <n v="3335865.7387795099"/>
    <m/>
    <n v="0"/>
    <n v="0"/>
    <n v="0"/>
    <n v="934881707"/>
    <n v="155630500"/>
    <n v="814853"/>
    <n v="2.3881529612105492E-4"/>
    <n v="2.6535032902339438E-4"/>
    <n v="3.5682222828855819E-3"/>
    <n v="2.0689695299472444E-3"/>
    <n v="2.41586749027985"/>
    <n v="0.6027673772141795"/>
    <m/>
    <m/>
  </r>
  <r>
    <x v="0"/>
    <x v="0"/>
    <x v="0"/>
    <x v="1"/>
    <s v="Ameren"/>
    <x v="2"/>
    <x v="1"/>
    <n v="1"/>
    <s v="IQ Multifamily"/>
    <m/>
    <x v="3"/>
    <n v="65065"/>
    <n v="72294.444444444438"/>
    <n v="236254.77455419535"/>
    <m/>
    <n v="0"/>
    <n v="0"/>
    <n v="0"/>
    <n v="934881707"/>
    <n v="155630500"/>
    <n v="814853"/>
    <n v="4.0354592482870681E-5"/>
    <n v="4.4838436092078532E-5"/>
    <n v="2.5271087538157952E-4"/>
    <n v="1.4652985705474586E-4"/>
    <n v="0.17109808186635811"/>
    <n v="4.2689569054557272E-2"/>
    <m/>
    <m/>
  </r>
  <r>
    <x v="0"/>
    <x v="0"/>
    <x v="0"/>
    <x v="1"/>
    <s v="Ameren"/>
    <x v="2"/>
    <x v="1"/>
    <n v="1"/>
    <s v="IQ Retail Products"/>
    <m/>
    <x v="3"/>
    <n v="451429"/>
    <n v="501587.77777777775"/>
    <n v="700212.7546602356"/>
    <m/>
    <n v="0"/>
    <n v="0"/>
    <n v="0"/>
    <n v="934881707"/>
    <n v="155630500"/>
    <n v="814853"/>
    <n v="2.7998514301006425E-4"/>
    <n v="3.1109460334451583E-4"/>
    <n v="7.4898540576560414E-4"/>
    <n v="4.3428571990505063E-4"/>
    <n v="0.50710111339249397"/>
    <n v="0.12652349904612367"/>
    <m/>
    <m/>
  </r>
  <r>
    <x v="0"/>
    <x v="0"/>
    <x v="0"/>
    <x v="1"/>
    <s v="Ameren"/>
    <x v="2"/>
    <x v="1"/>
    <n v="1"/>
    <s v="IQ Community Kits"/>
    <m/>
    <x v="3"/>
    <n v="53778"/>
    <n v="59753.333333333328"/>
    <n v="32309.696833256763"/>
    <m/>
    <n v="0"/>
    <n v="0"/>
    <n v="0"/>
    <n v="934881707"/>
    <n v="155630500"/>
    <n v="814853"/>
    <n v="3.33541731275466E-5"/>
    <n v="3.7060192363940661E-5"/>
    <n v="3.4560197928075156E-5"/>
    <n v="2.0039109336066611E-5"/>
    <n v="2.3399007128152915E-2"/>
    <n v="5.8381340089223265E-3"/>
    <m/>
    <m/>
  </r>
  <r>
    <x v="0"/>
    <x v="0"/>
    <x v="0"/>
    <x v="1"/>
    <s v="Ameren"/>
    <x v="2"/>
    <x v="1"/>
    <n v="1"/>
    <s v="IQ Smart Savers"/>
    <m/>
    <x v="3"/>
    <n v="110459.66211604096"/>
    <n v="122732.95790671217"/>
    <n v="38917.839631069379"/>
    <m/>
    <n v="0"/>
    <n v="0"/>
    <n v="0"/>
    <n v="934881707"/>
    <n v="155630500"/>
    <n v="814853"/>
    <n v="6.8509254599068964E-5"/>
    <n v="7.6121393998965505E-5"/>
    <n v="4.1628624605304613E-5"/>
    <n v="2.4137609446330888E-5"/>
    <n v="2.8184690547834939E-2"/>
    <n v="7.0321787380580982E-3"/>
    <m/>
    <m/>
  </r>
  <r>
    <x v="0"/>
    <x v="0"/>
    <x v="0"/>
    <x v="1"/>
    <s v="Ameren"/>
    <x v="2"/>
    <x v="1"/>
    <n v="1"/>
    <s v="IQ Electrification"/>
    <s v="Cost only"/>
    <x v="4"/>
    <m/>
    <n v="0"/>
    <n v="55653.09"/>
    <m/>
    <n v="0"/>
    <n v="0"/>
    <n v="0"/>
    <n v="934881707"/>
    <n v="155630500"/>
    <n v="814853"/>
    <n v="0"/>
    <n v="0"/>
    <n v="5.9529552865665384E-5"/>
    <n v="3.4517140818604866E-5"/>
    <n v="4.0304527038252415E-2"/>
    <n v="1.0056120275823232E-2"/>
    <m/>
    <m/>
  </r>
  <r>
    <x v="0"/>
    <x v="0"/>
    <x v="0"/>
    <x v="1"/>
    <s v="Ameren"/>
    <x v="2"/>
    <x v="1"/>
    <n v="1"/>
    <s v="IQ Manufactured Homes Weatherization and Air Sealing"/>
    <m/>
    <x v="3"/>
    <n v="29259"/>
    <n v="32510"/>
    <n v="602339.93378618313"/>
    <m/>
    <n v="0"/>
    <n v="0"/>
    <n v="0"/>
    <n v="934881707"/>
    <n v="155630500"/>
    <n v="814853"/>
    <n v="1.8147007169081895E-5"/>
    <n v="2.0163341298979878E-5"/>
    <n v="6.4429534696862259E-4"/>
    <n v="3.7358307176055836E-4"/>
    <n v="0.43622063298739366"/>
    <n v="0.10883857160645097"/>
    <m/>
    <m/>
  </r>
  <r>
    <x v="0"/>
    <x v="0"/>
    <x v="0"/>
    <x v="1"/>
    <s v="Ameren"/>
    <x v="2"/>
    <x v="1"/>
    <n v="1"/>
    <s v="IQ Healthier Homes"/>
    <s v="Cost only"/>
    <x v="4"/>
    <m/>
    <n v="0"/>
    <n v="18429.12"/>
    <m/>
    <n v="0"/>
    <n v="0"/>
    <n v="0"/>
    <n v="934881707"/>
    <n v="155630500"/>
    <n v="814853"/>
    <n v="0"/>
    <n v="0"/>
    <n v="1.9712782763862551E-5"/>
    <n v="1.1430102626879607E-5"/>
    <n v="1.3346553899005398E-2"/>
    <n v="3.3300118160120031E-3"/>
    <m/>
    <m/>
  </r>
  <r>
    <x v="0"/>
    <x v="0"/>
    <x v="0"/>
    <x v="1"/>
    <s v="Ameren"/>
    <x v="2"/>
    <x v="0"/>
    <m/>
    <s v="Midstream Lighting &amp; HVAC"/>
    <m/>
    <x v="2"/>
    <n v="32350.38466"/>
    <n v="35944.871844444446"/>
    <n v="86519.939999999988"/>
    <m/>
    <n v="656607163"/>
    <n v="52227229"/>
    <n v="746102"/>
    <n v="934881707"/>
    <n v="155630500"/>
    <n v="814853"/>
    <n v="2.0064344726326148E-5"/>
    <n v="2.2293716362584613E-5"/>
    <n v="9.2546403841443431E-5"/>
    <n v="5.3661368175554016E-5"/>
    <n v="6.0753035464399099E-2"/>
    <n v="1.5633542053047001E-2"/>
    <m/>
    <m/>
  </r>
  <r>
    <x v="0"/>
    <x v="0"/>
    <x v="0"/>
    <x v="1"/>
    <s v="Ameren"/>
    <x v="2"/>
    <x v="0"/>
    <m/>
    <s v="Market Rate Single Family Midstream HVAC"/>
    <m/>
    <x v="2"/>
    <n v="43710"/>
    <n v="48566.666666666664"/>
    <n v="54468.217193083736"/>
    <m/>
    <n v="656607163"/>
    <n v="52227229"/>
    <n v="746102"/>
    <n v="934881707"/>
    <n v="155630500"/>
    <n v="814853"/>
    <n v="2.7109801543476178E-5"/>
    <n v="3.0122001714973528E-5"/>
    <n v="5.8262148874289326E-5"/>
    <n v="3.3782259403602314E-5"/>
    <n v="3.8246784854612817E-2"/>
    <n v="9.8420221285702731E-3"/>
    <m/>
    <m/>
  </r>
  <r>
    <x v="0"/>
    <x v="0"/>
    <x v="0"/>
    <x v="1"/>
    <s v="Ameren"/>
    <x v="2"/>
    <x v="0"/>
    <m/>
    <s v="Direct Distribution Efficient Products Initiative - School Kits"/>
    <m/>
    <x v="13"/>
    <n v="105449"/>
    <n v="117165.55555555555"/>
    <n v="87788.151933523215"/>
    <m/>
    <n v="656607163"/>
    <n v="52227229"/>
    <n v="746102"/>
    <n v="934881707"/>
    <n v="155630500"/>
    <n v="814853"/>
    <n v="6.5401543421597332E-5"/>
    <n v="7.2668381579552585E-5"/>
    <n v="9.3902951866746946E-5"/>
    <n v="5.4447938155716058E-5"/>
    <n v="6.1643555321136294E-2"/>
    <n v="1.5862698991839508E-2"/>
    <m/>
    <m/>
  </r>
  <r>
    <x v="0"/>
    <x v="0"/>
    <x v="0"/>
    <x v="1"/>
    <s v="Ameren"/>
    <x v="2"/>
    <x v="1"/>
    <n v="1"/>
    <s v="IQ Community Kits"/>
    <m/>
    <x v="3"/>
    <n v="53778"/>
    <n v="59753.333333333328"/>
    <n v="32309.696833256763"/>
    <m/>
    <n v="0"/>
    <n v="0"/>
    <n v="0"/>
    <n v="934881707"/>
    <n v="155630500"/>
    <n v="814853"/>
    <n v="3.33541731275466E-5"/>
    <n v="3.7060192363940661E-5"/>
    <n v="3.4560197928075156E-5"/>
    <n v="2.0039109336066611E-5"/>
    <n v="2.3399007128152915E-2"/>
    <n v="5.8381340089223265E-3"/>
    <m/>
    <m/>
  </r>
  <r>
    <x v="0"/>
    <x v="0"/>
    <x v="0"/>
    <x v="1"/>
    <s v="Ameren"/>
    <x v="2"/>
    <x v="1"/>
    <n v="1"/>
    <s v="IQ Smart Savers"/>
    <m/>
    <x v="3"/>
    <n v="110459.66211604096"/>
    <n v="122732.95790671217"/>
    <n v="38917.839631069379"/>
    <m/>
    <n v="0"/>
    <n v="0"/>
    <n v="0"/>
    <n v="934881707"/>
    <n v="155630500"/>
    <n v="814853"/>
    <n v="6.8509254599068964E-5"/>
    <n v="7.6121393998965505E-5"/>
    <n v="4.1628624605304613E-5"/>
    <n v="2.4137609446330888E-5"/>
    <n v="2.8184690547834939E-2"/>
    <n v="7.0321787380580982E-3"/>
    <m/>
    <m/>
  </r>
  <r>
    <x v="0"/>
    <x v="0"/>
    <x v="0"/>
    <x v="1"/>
    <s v="Ameren"/>
    <x v="2"/>
    <x v="1"/>
    <n v="1"/>
    <s v="IQ Manufactured Homes Weatherization and Air Sealing"/>
    <m/>
    <x v="3"/>
    <n v="29259"/>
    <n v="32510"/>
    <n v="602339.93378618313"/>
    <m/>
    <n v="0"/>
    <n v="0"/>
    <n v="0"/>
    <n v="934881707"/>
    <n v="155630500"/>
    <n v="814853"/>
    <n v="1.8147007169081895E-5"/>
    <n v="2.0163341298979878E-5"/>
    <n v="6.4429534696862259E-4"/>
    <n v="3.7358307176055836E-4"/>
    <n v="0.43622063298739366"/>
    <n v="0.10883857160645097"/>
    <m/>
    <m/>
  </r>
  <r>
    <x v="0"/>
    <x v="0"/>
    <x v="0"/>
    <x v="1"/>
    <s v="Ameren"/>
    <x v="2"/>
    <x v="1"/>
    <n v="1"/>
    <s v="IQ Healthier Homes"/>
    <s v="Cost only"/>
    <x v="4"/>
    <m/>
    <n v="0"/>
    <n v="18429.12"/>
    <m/>
    <n v="0"/>
    <n v="0"/>
    <n v="0"/>
    <n v="934881707"/>
    <n v="155630500"/>
    <n v="814853"/>
    <n v="0"/>
    <n v="0"/>
    <n v="1.9712782763862551E-5"/>
    <n v="1.1430102626879607E-5"/>
    <n v="1.3346553899005398E-2"/>
    <n v="3.3300118160120031E-3"/>
    <m/>
    <m/>
  </r>
  <r>
    <x v="0"/>
    <x v="0"/>
    <x v="0"/>
    <x v="1"/>
    <s v="Ameren"/>
    <x v="2"/>
    <x v="1"/>
    <n v="1"/>
    <s v="One Stop Shop for Homeless Facilities"/>
    <s v="Cost only"/>
    <x v="4"/>
    <n v="0"/>
    <m/>
    <n v="0"/>
    <m/>
    <n v="0"/>
    <n v="0"/>
    <n v="0"/>
    <n v="934881707"/>
    <n v="155630500"/>
    <n v="814853"/>
    <n v="0"/>
    <n v="0"/>
    <n v="0"/>
    <n v="0"/>
    <n v="0"/>
    <n v="0"/>
    <m/>
    <m/>
  </r>
  <r>
    <x v="0"/>
    <x v="0"/>
    <x v="0"/>
    <x v="1"/>
    <s v="Ameren"/>
    <x v="2"/>
    <x v="0"/>
    <m/>
    <s v="Residential Targeted / Direct Distribution High School Innovation"/>
    <m/>
    <x v="2"/>
    <n v="20850"/>
    <n v="23166.666666666668"/>
    <n v="17695.738799999999"/>
    <m/>
    <n v="656607163"/>
    <n v="52227229"/>
    <n v="746102"/>
    <n v="934881707"/>
    <n v="155630500"/>
    <n v="814853"/>
    <n v="1.2931580008727484E-5"/>
    <n v="1.4368422231919428E-5"/>
    <n v="1.8928318596354779E-5"/>
    <n v="1.0975245184927736E-5"/>
    <n v="1.2425688770532472E-2"/>
    <n v="3.1974950131673169E-3"/>
    <m/>
    <m/>
  </r>
  <r>
    <x v="0"/>
    <x v="0"/>
    <x v="0"/>
    <x v="1"/>
    <s v="Ameren"/>
    <x v="2"/>
    <x v="0"/>
    <m/>
    <s v="Smart Home Engagement"/>
    <s v="Cost only"/>
    <x v="4"/>
    <n v="0"/>
    <n v="0"/>
    <n v="0"/>
    <m/>
    <n v="656607163"/>
    <n v="52227229"/>
    <n v="746102"/>
    <n v="934881707"/>
    <n v="155630500"/>
    <n v="814853"/>
    <n v="0"/>
    <n v="0"/>
    <n v="0"/>
    <n v="0"/>
    <n v="0"/>
    <n v="0"/>
    <m/>
    <m/>
  </r>
  <r>
    <x v="0"/>
    <x v="0"/>
    <x v="0"/>
    <x v="1"/>
    <s v="Ameren"/>
    <x v="2"/>
    <x v="0"/>
    <m/>
    <s v="Advanced Thermostats with TOU"/>
    <s v="Cost only"/>
    <x v="4"/>
    <n v="0"/>
    <n v="0"/>
    <n v="0"/>
    <m/>
    <n v="656607163"/>
    <n v="52227229"/>
    <n v="746102"/>
    <n v="934881707"/>
    <n v="155630500"/>
    <n v="814853"/>
    <n v="0"/>
    <n v="0"/>
    <n v="0"/>
    <n v="0"/>
    <n v="0"/>
    <n v="0"/>
    <m/>
    <m/>
  </r>
  <r>
    <x v="0"/>
    <x v="0"/>
    <x v="1"/>
    <x v="2"/>
    <s v="DTE"/>
    <x v="3"/>
    <x v="0"/>
    <m/>
    <s v="ES products"/>
    <m/>
    <x v="2"/>
    <n v="273504"/>
    <n v="297286.95652173914"/>
    <n v="426247"/>
    <m/>
    <n v="931968579"/>
    <n v="108792722"/>
    <n v="1214769"/>
    <n v="1280322374"/>
    <n v="233428713"/>
    <n v="1305155"/>
    <n v="1.1309662663478764E-4"/>
    <n v="1.2293111590737789E-4"/>
    <n v="3.3292162087921145E-4"/>
    <n v="1.7625737763688403E-4"/>
    <n v="5.327913437068011E-2"/>
    <n v="2.2781642705839614E-2"/>
    <m/>
    <m/>
  </r>
  <r>
    <x v="0"/>
    <x v="0"/>
    <x v="1"/>
    <x v="2"/>
    <s v="DTE"/>
    <x v="3"/>
    <x v="0"/>
    <m/>
    <s v="HVAC"/>
    <m/>
    <x v="2"/>
    <n v="2727591.1599999997"/>
    <n v="2964772.9999999995"/>
    <n v="5183365"/>
    <m/>
    <n v="931968579"/>
    <n v="108792722"/>
    <n v="1214769"/>
    <n v="1280322374"/>
    <n v="233428713"/>
    <n v="1305155"/>
    <n v="1.1278860968573306E-3"/>
    <n v="1.2259631487579676E-3"/>
    <n v="4.0484842765076915E-3"/>
    <n v="2.1433730260501716E-3"/>
    <n v="0.64789945812470306"/>
    <n v="0.277035543813691"/>
    <m/>
    <m/>
  </r>
  <r>
    <x v="0"/>
    <x v="0"/>
    <x v="1"/>
    <x v="2"/>
    <s v="DTE"/>
    <x v="3"/>
    <x v="0"/>
    <m/>
    <s v="MF"/>
    <m/>
    <x v="2"/>
    <n v="95384.51999999999"/>
    <n v="103678.82608695651"/>
    <n v="163153"/>
    <m/>
    <n v="931968579"/>
    <n v="108792722"/>
    <n v="1214769"/>
    <n v="1280322374"/>
    <n v="233428713"/>
    <n v="1305155"/>
    <n v="3.944244853888219E-5"/>
    <n v="4.2872226672698033E-5"/>
    <n v="1.2743118710819312E-4"/>
    <n v="6.7465389629934143E-5"/>
    <n v="2.039345874570278E-2"/>
    <n v="8.7200457771804858E-3"/>
    <m/>
    <m/>
  </r>
  <r>
    <x v="0"/>
    <x v="0"/>
    <x v="1"/>
    <x v="2"/>
    <s v="DTE"/>
    <x v="3"/>
    <x v="0"/>
    <m/>
    <s v="Home Energy Consult"/>
    <m/>
    <x v="2"/>
    <n v="222294.52"/>
    <n v="241624.47826086954"/>
    <n v="1279653"/>
    <m/>
    <n v="931968579"/>
    <n v="108792722"/>
    <n v="1214769"/>
    <n v="1280322374"/>
    <n v="233428713"/>
    <n v="1305155"/>
    <n v="9.1920996882675693E-5"/>
    <n v="9.9914127046386614E-5"/>
    <n v="9.9947718323635266E-4"/>
    <n v="5.2914925398928688E-4"/>
    <n v="0.15995139938778202"/>
    <n v="6.8393671822806437E-2"/>
    <m/>
    <m/>
  </r>
  <r>
    <x v="0"/>
    <x v="0"/>
    <x v="1"/>
    <x v="2"/>
    <s v="DTE"/>
    <x v="3"/>
    <x v="0"/>
    <m/>
    <s v="Audit and Wx"/>
    <m/>
    <x v="1"/>
    <n v="483294"/>
    <n v="525319.56521739124"/>
    <n v="1587328"/>
    <m/>
    <n v="931968579"/>
    <n v="108792722"/>
    <n v="1214769"/>
    <n v="1280322374"/>
    <n v="233428713"/>
    <n v="1305155"/>
    <n v="1.998468800194259E-4"/>
    <n v="2.1722486958633249E-4"/>
    <n v="1.23978775364274E-3"/>
    <n v="6.5637592928419403E-4"/>
    <n v="0.19840951796104822"/>
    <n v="8.4837991476714156E-2"/>
    <m/>
    <m/>
  </r>
  <r>
    <x v="0"/>
    <x v="0"/>
    <x v="1"/>
    <x v="2"/>
    <s v="DTE"/>
    <x v="3"/>
    <x v="0"/>
    <m/>
    <s v="School"/>
    <m/>
    <x v="2"/>
    <n v="1135632.1199999999"/>
    <n v="1234382.7391304346"/>
    <n v="582124"/>
    <m/>
    <n v="931968579"/>
    <n v="108792722"/>
    <n v="1214769"/>
    <n v="1280322374"/>
    <n v="233428713"/>
    <n v="1305155"/>
    <n v="4.6959518643278474E-4"/>
    <n v="5.1042955047041812E-4"/>
    <n v="4.5466986426342026E-4"/>
    <n v="2.407140688368328E-4"/>
    <n v="7.2763122828777185E-2"/>
    <n v="3.1112807781624688E-2"/>
    <m/>
    <m/>
  </r>
  <r>
    <x v="0"/>
    <x v="0"/>
    <x v="1"/>
    <x v="2"/>
    <s v="DTE"/>
    <x v="3"/>
    <x v="0"/>
    <m/>
    <s v="Kits"/>
    <m/>
    <x v="13"/>
    <n v="74592"/>
    <n v="81078.260869565216"/>
    <n v="111613"/>
    <m/>
    <n v="931968579"/>
    <n v="108792722"/>
    <n v="1214769"/>
    <n v="1280322374"/>
    <n v="233428713"/>
    <n v="1305155"/>
    <n v="3.0844534536760265E-5"/>
    <n v="3.3526667974739415E-5"/>
    <n v="8.7175700641157428E-5"/>
    <n v="4.6153086567613467E-5"/>
    <n v="1.3951169215301738E-2"/>
    <n v="5.9653850638875508E-3"/>
    <m/>
    <m/>
  </r>
  <r>
    <x v="0"/>
    <x v="0"/>
    <x v="1"/>
    <x v="2"/>
    <s v="DTE"/>
    <x v="3"/>
    <x v="0"/>
    <m/>
    <s v="New Home"/>
    <m/>
    <x v="0"/>
    <n v="452182.92"/>
    <n v="491503.17391304346"/>
    <n v="1061115"/>
    <m/>
    <n v="931968579"/>
    <n v="108792722"/>
    <n v="1214769"/>
    <n v="1280322374"/>
    <n v="233428713"/>
    <n v="1305155"/>
    <n v="1.869821387397188E-4"/>
    <n v="2.0324145515186824E-4"/>
    <n v="8.2878735976850155E-4"/>
    <n v="4.3878161552142822E-4"/>
    <n v="0.13263504181318397"/>
    <n v="5.671346144326412E-2"/>
    <m/>
    <m/>
  </r>
  <r>
    <x v="0"/>
    <x v="0"/>
    <x v="1"/>
    <x v="2"/>
    <s v="DTE"/>
    <x v="3"/>
    <x v="0"/>
    <m/>
    <s v="HER"/>
    <m/>
    <x v="2"/>
    <n v="1977931.2"/>
    <n v="2149925.2173913042"/>
    <n v="462265"/>
    <m/>
    <n v="931968579"/>
    <n v="108792722"/>
    <n v="1214769"/>
    <n v="1280322374"/>
    <n v="233428713"/>
    <n v="1305155"/>
    <n v="8.1789424079975969E-4"/>
    <n v="8.8901547913017363E-4"/>
    <n v="3.6105359820885237E-4"/>
    <n v="1.9115117918322991E-4"/>
    <n v="5.7781237286977837E-2"/>
    <n v="2.4706698382428376E-2"/>
    <m/>
    <m/>
  </r>
  <r>
    <x v="0"/>
    <x v="0"/>
    <x v="1"/>
    <x v="2"/>
    <s v="DTE"/>
    <x v="3"/>
    <x v="0"/>
    <m/>
    <s v="Insights"/>
    <m/>
    <x v="2"/>
    <n v="310800"/>
    <n v="337826.08695652173"/>
    <n v="163501"/>
    <m/>
    <n v="931968579"/>
    <n v="108792722"/>
    <n v="1214769"/>
    <n v="1280322374"/>
    <n v="233428713"/>
    <n v="1305155"/>
    <n v="1.2851889390316779E-4"/>
    <n v="1.3969444989474756E-4"/>
    <n v="1.2770299365244084E-4"/>
    <n v="6.7609291094150055E-5"/>
    <n v="2.0436957324604207E-2"/>
    <n v="8.7386453489349657E-3"/>
    <m/>
    <m/>
  </r>
  <r>
    <x v="0"/>
    <x v="0"/>
    <x v="1"/>
    <x v="2"/>
    <s v="DTE"/>
    <x v="3"/>
    <x v="0"/>
    <m/>
    <s v="Emerging"/>
    <m/>
    <x v="2"/>
    <n v="247054.91999999998"/>
    <n v="268537.95652173908"/>
    <n v="471818"/>
    <m/>
    <n v="931968579"/>
    <n v="108792722"/>
    <n v="1214769"/>
    <n v="1280322374"/>
    <n v="233428713"/>
    <n v="1305155"/>
    <n v="1.0215966876362806E-4"/>
    <n v="1.1104311822133484E-4"/>
    <n v="3.6851500026976802E-4"/>
    <n v="1.9510143977993826E-4"/>
    <n v="5.8975323276188568E-2"/>
    <n v="2.5217278005906986E-2"/>
    <m/>
    <m/>
  </r>
  <r>
    <x v="0"/>
    <x v="0"/>
    <x v="1"/>
    <x v="2"/>
    <s v="DTE"/>
    <x v="3"/>
    <x v="0"/>
    <m/>
    <s v="Admin"/>
    <s v="Cost only"/>
    <x v="4"/>
    <m/>
    <n v="0"/>
    <n v="1824075"/>
    <m/>
    <n v="931968579"/>
    <n v="108792722"/>
    <n v="1214769"/>
    <n v="1280322374"/>
    <n v="233428713"/>
    <n v="1305155"/>
    <n v="0"/>
    <n v="0"/>
    <n v="1.4246997764330251E-3"/>
    <n v="7.5427317051615433E-4"/>
    <n v="0.22800192617707182"/>
    <n v="9.7491419103605162E-2"/>
    <m/>
    <m/>
  </r>
  <r>
    <x v="0"/>
    <x v="0"/>
    <x v="1"/>
    <x v="2"/>
    <s v="DTE"/>
    <x v="3"/>
    <x v="1"/>
    <n v="1"/>
    <s v="EEA"/>
    <m/>
    <x v="3"/>
    <n v="725054.96"/>
    <n v="788103.21739130432"/>
    <n v="9491434"/>
    <m/>
    <n v="0"/>
    <n v="0"/>
    <n v="0"/>
    <n v="1280322374"/>
    <n v="233428713"/>
    <n v="1305155"/>
    <n v="2.9981744362356997E-4"/>
    <n v="3.2588852567779348E-4"/>
    <n v="7.4133157341824286E-3"/>
    <n v="3.924802442840796E-3"/>
    <n v="6.7712345938092788"/>
    <n v="0.50728910268942207"/>
    <m/>
    <m/>
  </r>
  <r>
    <x v="0"/>
    <x v="0"/>
    <x v="1"/>
    <x v="2"/>
    <s v="DTE"/>
    <x v="3"/>
    <x v="1"/>
    <n v="1"/>
    <s v="NF"/>
    <m/>
    <x v="3"/>
    <n v="369447.95999999996"/>
    <n v="401573.86956521735"/>
    <n v="4715168"/>
    <m/>
    <n v="0"/>
    <n v="0"/>
    <n v="0"/>
    <n v="1280322374"/>
    <n v="233428713"/>
    <n v="1305155"/>
    <n v="1.5277040918269553E-4"/>
    <n v="1.6605479258988644E-4"/>
    <n v="3.6827974701940185E-3"/>
    <n v="1.9497689058159968E-3"/>
    <n v="3.3638234936072369"/>
    <n v="0.25201179755871211"/>
    <m/>
    <m/>
  </r>
  <r>
    <x v="0"/>
    <x v="0"/>
    <x v="1"/>
    <x v="2"/>
    <s v="DTE"/>
    <x v="3"/>
    <x v="1"/>
    <n v="1"/>
    <s v="Home Energy Consult"/>
    <m/>
    <x v="3"/>
    <n v="307225.8"/>
    <n v="333941.08695652173"/>
    <n v="1185117"/>
    <m/>
    <n v="0"/>
    <n v="0"/>
    <n v="0"/>
    <n v="1280322374"/>
    <n v="233428713"/>
    <n v="1305155"/>
    <n v="1.2704092662328134E-4"/>
    <n v="1.3808796372095797E-4"/>
    <n v="9.2563952959553606E-4"/>
    <n v="4.9005767691711873E-4"/>
    <n v="0.84546815877468784"/>
    <n v="6.3341001951020243E-2"/>
    <m/>
    <m/>
  </r>
  <r>
    <x v="0"/>
    <x v="0"/>
    <x v="1"/>
    <x v="2"/>
    <s v="DTE"/>
    <x v="3"/>
    <x v="1"/>
    <n v="1"/>
    <s v="Admin"/>
    <s v="Cost only"/>
    <x v="4"/>
    <m/>
    <m/>
    <n v="102856"/>
    <m/>
    <n v="0"/>
    <n v="0"/>
    <n v="0"/>
    <n v="1280322374"/>
    <n v="233428713"/>
    <n v="1305155"/>
    <n v="0"/>
    <n v="0"/>
    <n v="8.033601699754409E-5"/>
    <n v="4.2531979894801236E-5"/>
    <n v="7.3377964318231279E-2"/>
    <n v="5.4973492884450546E-3"/>
    <m/>
    <m/>
  </r>
  <r>
    <x v="0"/>
    <x v="0"/>
    <x v="1"/>
    <x v="2"/>
    <s v="DTE"/>
    <x v="3"/>
    <x v="2"/>
    <m/>
    <s v="Prescript"/>
    <m/>
    <x v="2"/>
    <n v="5052437.3199999994"/>
    <n v="5491779.6956521729"/>
    <n v="3366149"/>
    <m/>
    <n v="348353795"/>
    <n v="124635991"/>
    <n v="90386"/>
    <n v="1280322374"/>
    <n v="233428713"/>
    <n v="1305155"/>
    <n v="2.0892331270318059E-3"/>
    <n v="2.2709055728606584E-3"/>
    <n v="2.6291417445775261E-3"/>
    <n v="1.3919361203129162E-3"/>
    <n v="0.36163582762957036"/>
    <n v="0.17991071799360303"/>
    <m/>
    <m/>
  </r>
  <r>
    <x v="0"/>
    <x v="0"/>
    <x v="1"/>
    <x v="2"/>
    <s v="DTE"/>
    <x v="3"/>
    <x v="2"/>
    <m/>
    <s v="Non-prescipt"/>
    <m/>
    <x v="2"/>
    <n v="1900790.64"/>
    <n v="2066076.7826086956"/>
    <n v="1129020"/>
    <m/>
    <n v="348353795"/>
    <n v="124635991"/>
    <n v="90386"/>
    <n v="1280322374"/>
    <n v="233428713"/>
    <n v="1305155"/>
    <n v="7.8599585133299352E-4"/>
    <n v="8.5434331666629727E-4"/>
    <n v="8.8182478329477357E-4"/>
    <n v="4.6686100899148806E-4"/>
    <n v="0.12129412040594088"/>
    <n v="6.0342783052425096E-2"/>
    <m/>
    <m/>
  </r>
  <r>
    <x v="0"/>
    <x v="0"/>
    <x v="1"/>
    <x v="2"/>
    <s v="DTE"/>
    <x v="3"/>
    <x v="2"/>
    <m/>
    <s v="Rcx"/>
    <m/>
    <x v="12"/>
    <n v="104221.59999999999"/>
    <n v="113284.34782608695"/>
    <n v="222919"/>
    <m/>
    <n v="348353795"/>
    <n v="124635991"/>
    <n v="90386"/>
    <n v="1280322374"/>
    <n v="233428713"/>
    <n v="1305155"/>
    <n v="4.3096669088862259E-5"/>
    <n v="4.684420553137202E-5"/>
    <n v="1.7411161792287792E-4"/>
    <n v="9.2179225579151414E-5"/>
    <n v="2.394887958297633E-2"/>
    <n v="1.1914361884876752E-2"/>
    <m/>
    <m/>
  </r>
  <r>
    <x v="0"/>
    <x v="0"/>
    <x v="1"/>
    <x v="2"/>
    <s v="DTE"/>
    <x v="3"/>
    <x v="2"/>
    <m/>
    <s v="SEM"/>
    <m/>
    <x v="14"/>
    <n v="570690.96"/>
    <n v="620316.26086956519"/>
    <n v="619798"/>
    <m/>
    <n v="348353795"/>
    <n v="124635991"/>
    <n v="90386"/>
    <n v="1280322374"/>
    <n v="233428713"/>
    <n v="1305155"/>
    <n v="2.3598639298499666E-4"/>
    <n v="2.5650694889673548E-4"/>
    <n v="4.8409526583810211E-4"/>
    <n v="2.5629264286806816E-4"/>
    <n v="6.6586821526068055E-2"/>
    <n v="3.3126371765183051E-2"/>
    <m/>
    <m/>
  </r>
  <r>
    <x v="0"/>
    <x v="0"/>
    <x v="1"/>
    <x v="2"/>
    <s v="DTE"/>
    <x v="3"/>
    <x v="2"/>
    <m/>
    <s v="Biz energy consult"/>
    <m/>
    <x v="2"/>
    <n v="304832.63999999996"/>
    <n v="331339.82608695648"/>
    <n v="1072973"/>
    <m/>
    <n v="348353795"/>
    <n v="124635991"/>
    <n v="90386"/>
    <n v="1280322374"/>
    <n v="233428713"/>
    <n v="1305155"/>
    <n v="1.2605133114022694E-4"/>
    <n v="1.3701231645676842E-4"/>
    <n v="8.3804908965841437E-4"/>
    <n v="4.4368501656358962E-4"/>
    <n v="0.11527281735870366"/>
    <n v="5.7347236506093524E-2"/>
    <m/>
    <m/>
  </r>
  <r>
    <x v="0"/>
    <x v="0"/>
    <x v="1"/>
    <x v="2"/>
    <s v="DTE"/>
    <x v="3"/>
    <x v="2"/>
    <m/>
    <s v="midstream food"/>
    <m/>
    <x v="2"/>
    <n v="33214.159999999996"/>
    <n v="36102.347826086952"/>
    <n v="168485"/>
    <m/>
    <n v="348353795"/>
    <n v="124635991"/>
    <n v="90386"/>
    <n v="1280322374"/>
    <n v="233428713"/>
    <n v="1305155"/>
    <n v="1.3734385795118529E-5"/>
    <n v="1.4928680212085358E-5"/>
    <n v="1.3159576324017283E-4"/>
    <n v="6.9670224708092739E-5"/>
    <n v="1.8100866128673496E-2"/>
    <n v="9.0050254225681053E-3"/>
    <m/>
    <m/>
  </r>
  <r>
    <x v="0"/>
    <x v="0"/>
    <x v="1"/>
    <x v="2"/>
    <s v="DTE"/>
    <x v="3"/>
    <x v="2"/>
    <m/>
    <s v="midstream hvac"/>
    <m/>
    <x v="2"/>
    <n v="820936.76"/>
    <n v="892322.56521739124"/>
    <n v="1554468"/>
    <m/>
    <n v="348353795"/>
    <n v="124635991"/>
    <n v="90386"/>
    <n v="1280322374"/>
    <n v="233428713"/>
    <n v="1305155"/>
    <n v="3.3946552239269725E-4"/>
    <n v="3.6898426347032308E-4"/>
    <n v="1.2141223425968185E-3"/>
    <n v="6.4278799217461202E-4"/>
    <n v="0.16700131862959214"/>
    <n v="8.3081721569092784E-2"/>
    <m/>
    <m/>
  </r>
  <r>
    <x v="0"/>
    <x v="0"/>
    <x v="1"/>
    <x v="2"/>
    <s v="DTE"/>
    <x v="3"/>
    <x v="2"/>
    <m/>
    <s v="MF common"/>
    <m/>
    <x v="2"/>
    <n v="76405"/>
    <n v="83048.913043478256"/>
    <n v="157182"/>
    <m/>
    <n v="348353795"/>
    <n v="124635991"/>
    <n v="90386"/>
    <n v="1280322374"/>
    <n v="233428713"/>
    <n v="1305155"/>
    <n v="3.1594228084528745E-5"/>
    <n v="3.4341552265792114E-5"/>
    <n v="1.2276751792513781E-4"/>
    <n v="6.4996321690758422E-5"/>
    <n v="1.6886549780913182E-2"/>
    <n v="8.4009134698643795E-3"/>
    <m/>
    <m/>
  </r>
  <r>
    <x v="0"/>
    <x v="0"/>
    <x v="1"/>
    <x v="2"/>
    <s v="DTE"/>
    <x v="3"/>
    <x v="2"/>
    <m/>
    <s v="find and fix"/>
    <m/>
    <x v="2"/>
    <n v="85780.799999999988"/>
    <n v="93239.999999999985"/>
    <n v="310934"/>
    <m/>
    <n v="348353795"/>
    <n v="124635991"/>
    <n v="90386"/>
    <n v="1280322374"/>
    <n v="233428713"/>
    <n v="1305155"/>
    <n v="3.5471214717274308E-5"/>
    <n v="3.8555668170950324E-5"/>
    <n v="2.4285602307220165E-4"/>
    <n v="1.2857430423709001E-4"/>
    <n v="3.3404604023224413E-2"/>
    <n v="1.6618503574447524E-2"/>
    <m/>
    <m/>
  </r>
  <r>
    <x v="0"/>
    <x v="0"/>
    <x v="1"/>
    <x v="2"/>
    <s v="DTE"/>
    <x v="3"/>
    <x v="2"/>
    <m/>
    <s v="small biz focus"/>
    <m/>
    <x v="10"/>
    <n v="245822.07999999999"/>
    <n v="267197.91304347821"/>
    <n v="1140116"/>
    <m/>
    <n v="348353795"/>
    <n v="124635991"/>
    <n v="90386"/>
    <n v="1280322374"/>
    <n v="233428713"/>
    <n v="1305155"/>
    <n v="1.016498771511455E-4"/>
    <n v="1.10488996903419E-4"/>
    <n v="8.9049135057917841E-4"/>
    <n v="4.7144931544821115E-4"/>
    <n v="0.12248619810166313"/>
    <n v="6.0935831466757621E-2"/>
    <m/>
    <m/>
  </r>
  <r>
    <x v="0"/>
    <x v="0"/>
    <x v="1"/>
    <x v="2"/>
    <s v="DTE"/>
    <x v="3"/>
    <x v="2"/>
    <m/>
    <s v="Emerging"/>
    <m/>
    <x v="2"/>
    <n v="112986.15999999999"/>
    <n v="122811.04347826085"/>
    <n v="438383"/>
    <m/>
    <n v="348353795"/>
    <n v="124635991"/>
    <n v="90386"/>
    <n v="1280322374"/>
    <n v="233428713"/>
    <n v="1305155"/>
    <n v="4.6720901896931588E-5"/>
    <n v="5.0783589018403901E-5"/>
    <n v="3.4240048358320731E-4"/>
    <n v="1.8127573444643631E-4"/>
    <n v="4.7096845393276986E-2"/>
    <n v="2.3430276047254495E-2"/>
    <m/>
    <m/>
  </r>
  <r>
    <x v="0"/>
    <x v="0"/>
    <x v="1"/>
    <x v="2"/>
    <s v="DTE"/>
    <x v="3"/>
    <x v="2"/>
    <m/>
    <s v="admin"/>
    <s v="Cost only"/>
    <x v="4"/>
    <n v="0"/>
    <n v="0"/>
    <n v="863973"/>
    <m/>
    <n v="348353795"/>
    <n v="124635991"/>
    <n v="90386"/>
    <n v="1280322374"/>
    <n v="233428713"/>
    <n v="1305155"/>
    <n v="0"/>
    <n v="0"/>
    <n v="6.7480895245215799E-4"/>
    <n v="3.5726143604311963E-4"/>
    <n v="9.2819299117360157E-2"/>
    <n v="4.6176804044350733E-2"/>
    <m/>
    <m/>
  </r>
  <r>
    <x v="0"/>
    <x v="0"/>
    <x v="2"/>
    <x v="2"/>
    <s v="DTE"/>
    <x v="3"/>
    <x v="0"/>
    <m/>
    <s v="Building Envelope (RBE) - furnace "/>
    <m/>
    <x v="9"/>
    <n v="506470.79999999993"/>
    <n v="557906"/>
    <n v="843677.25875239575"/>
    <m/>
    <n v="931968579"/>
    <n v="108792722"/>
    <n v="1214769"/>
    <n v="1280322374"/>
    <n v="233428713"/>
    <n v="1305155"/>
    <n v="2.0943071753620496E-4"/>
    <n v="2.3069968475527902E-4"/>
    <n v="6.5895689701693505E-4"/>
    <n v="3.4886894500036866E-4"/>
    <n v="0.11145192763086571"/>
    <n v="4.4465184020005245E-2"/>
    <m/>
    <m/>
  </r>
  <r>
    <x v="0"/>
    <x v="0"/>
    <x v="2"/>
    <x v="2"/>
    <s v="DTE"/>
    <x v="3"/>
    <x v="0"/>
    <m/>
    <s v="Building Envelope (RBE) "/>
    <m/>
    <x v="1"/>
    <n v="2730676.96"/>
    <n v="2960733"/>
    <n v="8034283.7412476046"/>
    <m/>
    <n v="931968579"/>
    <n v="108792722"/>
    <n v="1214769"/>
    <n v="1280322374"/>
    <n v="233428713"/>
    <n v="1305155"/>
    <n v="1.1291621058753692E-3"/>
    <n v="1.2242925685412088E-3"/>
    <n v="6.2752037333744229E-3"/>
    <n v="3.3222563054354786E-3"/>
    <n v="1.0613494684205582"/>
    <n v="0.4234390595662082"/>
    <m/>
    <m/>
  </r>
  <r>
    <x v="0"/>
    <x v="0"/>
    <x v="2"/>
    <x v="2"/>
    <s v="DTE"/>
    <x v="3"/>
    <x v="0"/>
    <m/>
    <s v="Multifamily - furnace"/>
    <m/>
    <x v="9"/>
    <n v="9955.1999999999989"/>
    <n v="10888.5"/>
    <n v="17621.25"/>
    <m/>
    <n v="931968579"/>
    <n v="108792722"/>
    <n v="1214769"/>
    <n v="1280322374"/>
    <n v="233428713"/>
    <n v="1305155"/>
    <n v="4.1165743004659453E-6"/>
    <n v="4.5025031411346282E-6"/>
    <n v="1.3763135252371994E-5"/>
    <n v="7.2865622882599589E-6"/>
    <n v="2.3278122758335113E-3"/>
    <n v="9.2871073124713697E-4"/>
    <m/>
    <m/>
  </r>
  <r>
    <x v="0"/>
    <x v="0"/>
    <x v="2"/>
    <x v="2"/>
    <s v="DTE"/>
    <x v="3"/>
    <x v="0"/>
    <m/>
    <s v="Multifamily "/>
    <m/>
    <x v="6"/>
    <n v="8299.1200000000008"/>
    <n v="8952.8043478260879"/>
    <n v="34479.75"/>
    <m/>
    <n v="931968579"/>
    <n v="108792722"/>
    <n v="1214769"/>
    <n v="1280322374"/>
    <n v="233428713"/>
    <n v="1305155"/>
    <n v="3.4317687347801087E-6"/>
    <n v="3.7020737198007732E-6"/>
    <n v="2.6930522109269957E-5"/>
    <n v="1.4257719858615668E-5"/>
    <n v="4.5548633222768252E-3"/>
    <n v="1.8172214704245426E-3"/>
    <m/>
    <m/>
  </r>
  <r>
    <x v="0"/>
    <x v="0"/>
    <x v="2"/>
    <x v="2"/>
    <s v="DTE"/>
    <x v="3"/>
    <x v="0"/>
    <m/>
    <s v="Schools "/>
    <m/>
    <x v="13"/>
    <n v="1575455.5599999998"/>
    <n v="1712451.6956521736"/>
    <n v="1090952"/>
    <m/>
    <n v="931968579"/>
    <n v="108792722"/>
    <n v="1214769"/>
    <n v="1280322374"/>
    <n v="233428713"/>
    <n v="1305155"/>
    <n v="6.5146655715828756E-4"/>
    <n v="7.0811582299813865E-4"/>
    <n v="8.5209164672459285E-4"/>
    <n v="4.5111951203812321E-4"/>
    <n v="0.14411755454040551"/>
    <n v="5.7497557192340301E-2"/>
    <m/>
    <m/>
  </r>
  <r>
    <x v="0"/>
    <x v="0"/>
    <x v="2"/>
    <x v="2"/>
    <s v="DTE"/>
    <x v="3"/>
    <x v="0"/>
    <m/>
    <s v="Home Energy Reports "/>
    <m/>
    <x v="5"/>
    <n v="2105141.6399999997"/>
    <n v="2288197.4347826084"/>
    <n v="800320"/>
    <m/>
    <n v="931968579"/>
    <n v="108792722"/>
    <n v="1214769"/>
    <n v="1280322374"/>
    <n v="233428713"/>
    <n v="1305155"/>
    <n v="8.7049702407432611E-4"/>
    <n v="9.4619241747209367E-4"/>
    <n v="6.2509256750675204E-4"/>
    <n v="3.3094028690020346E-4"/>
    <n v="0.10572432265560477"/>
    <n v="4.2180082141261753E-2"/>
    <m/>
    <m/>
  </r>
  <r>
    <x v="0"/>
    <x v="0"/>
    <x v="2"/>
    <x v="2"/>
    <s v="DTE"/>
    <x v="3"/>
    <x v="0"/>
    <m/>
    <s v="Multifamily SEM"/>
    <m/>
    <x v="6"/>
    <n v="91934.64"/>
    <n v="99928.956521739135"/>
    <n v="152557"/>
    <m/>
    <n v="931968579"/>
    <n v="108792722"/>
    <n v="1214769"/>
    <n v="1280322374"/>
    <n v="233428713"/>
    <n v="1305155"/>
    <n v="3.8015888816557031E-5"/>
    <n v="4.1321618278866336E-5"/>
    <n v="1.1915514646782233E-4"/>
    <n v="6.3083838150532708E-5"/>
    <n v="2.0153170595975482E-2"/>
    <n v="8.0403673420937488E-3"/>
    <m/>
    <m/>
  </r>
  <r>
    <x v="0"/>
    <x v="0"/>
    <x v="2"/>
    <x v="2"/>
    <s v="DTE"/>
    <x v="3"/>
    <x v="0"/>
    <m/>
    <s v="Emerging "/>
    <m/>
    <x v="6"/>
    <n v="124703.31999999999"/>
    <n v="135547.08695652173"/>
    <n v="250000"/>
    <m/>
    <n v="931968579"/>
    <n v="108792722"/>
    <n v="1214769"/>
    <n v="1280322374"/>
    <n v="233428713"/>
    <n v="1305155"/>
    <n v="5.1566064197081015E-5"/>
    <n v="5.6050069779435885E-5"/>
    <n v="1.9526332201705318E-4"/>
    <n v="1.0337748866084924E-4"/>
    <n v="3.3025640573647035E-2"/>
    <n v="1.3176005267037482E-2"/>
    <m/>
    <m/>
  </r>
  <r>
    <x v="0"/>
    <x v="0"/>
    <x v="2"/>
    <x v="2"/>
    <s v="DTE"/>
    <x v="3"/>
    <x v="0"/>
    <m/>
    <s v="Shared Savings "/>
    <m/>
    <x v="6"/>
    <n v="417238.63999999996"/>
    <n v="453520.26086956519"/>
    <n v="7928"/>
    <m/>
    <n v="931968579"/>
    <n v="108792722"/>
    <n v="1214769"/>
    <n v="1280322374"/>
    <n v="233428713"/>
    <n v="1305155"/>
    <n v="1.7253233110187263E-4"/>
    <n v="1.8753514250203547E-4"/>
    <n v="6.1921904678047906E-6"/>
    <n v="3.2783069204128512E-6"/>
    <n v="1.0473091138714947E-3"/>
    <n v="4.1783747902829262E-4"/>
    <m/>
    <m/>
  </r>
  <r>
    <x v="0"/>
    <x v="0"/>
    <x v="2"/>
    <x v="2"/>
    <s v="DTE"/>
    <x v="3"/>
    <x v="0"/>
    <m/>
    <s v="Admin "/>
    <s v="Cost only"/>
    <x v="4"/>
    <n v="0"/>
    <n v="0"/>
    <n v="1676479"/>
    <m/>
    <n v="931968579"/>
    <n v="108792722"/>
    <n v="1214769"/>
    <n v="1280322374"/>
    <n v="233428713"/>
    <n v="1305155"/>
    <n v="0"/>
    <n v="0"/>
    <n v="1.3094194353273092E-3"/>
    <n v="6.9324075525060752E-4"/>
    <n v="0.2214671715330688"/>
    <n v="8.8357184536310931E-2"/>
    <m/>
    <m/>
  </r>
  <r>
    <x v="0"/>
    <x v="0"/>
    <x v="2"/>
    <x v="2"/>
    <s v="DTE"/>
    <x v="3"/>
    <x v="0"/>
    <m/>
    <s v="Education"/>
    <s v="Cost only"/>
    <x v="4"/>
    <n v="0"/>
    <n v="0"/>
    <n v="5047544"/>
    <m/>
    <n v="931968579"/>
    <n v="108792722"/>
    <n v="1214769"/>
    <n v="1280322374"/>
    <n v="233428713"/>
    <n v="1305155"/>
    <n v="0"/>
    <n v="0"/>
    <n v="3.9424008378689786E-3"/>
    <n v="2.0872096905005504E-3"/>
    <n v="0.6667934956946745"/>
    <n v="0.26602586531841377"/>
    <m/>
    <m/>
  </r>
  <r>
    <x v="0"/>
    <x v="0"/>
    <x v="2"/>
    <x v="2"/>
    <s v="DTE"/>
    <x v="3"/>
    <x v="1"/>
    <n v="1"/>
    <s v="IQ EEA "/>
    <m/>
    <x v="9"/>
    <n v="14677.698"/>
    <n v="14677.697999999997"/>
    <n v="633835.46416938107"/>
    <m/>
    <n v="0"/>
    <n v="0"/>
    <n v="0"/>
    <n v="1280322374"/>
    <n v="233428713"/>
    <n v="1305155"/>
    <n v="6.0693742342494794E-6"/>
    <n v="6.0693742342494768E-6"/>
    <n v="4.9505927338373693E-4"/>
    <n v="2.6209727404005723E-4"/>
    <n v="0.53154673640294414"/>
    <n v="3.3405677657323649E-2"/>
    <m/>
    <m/>
  </r>
  <r>
    <x v="0"/>
    <x v="0"/>
    <x v="2"/>
    <x v="2"/>
    <s v="DTE"/>
    <x v="3"/>
    <x v="1"/>
    <n v="1"/>
    <s v="IQ EEA "/>
    <m/>
    <x v="1"/>
    <n v="203988.5"/>
    <n v="221726.5"/>
    <n v="6213275.5"/>
    <m/>
    <n v="0"/>
    <n v="0"/>
    <n v="0"/>
    <n v="1280322374"/>
    <n v="233428713"/>
    <n v="1305155"/>
    <n v="8.4351275382774573E-5"/>
    <n v="9.1686114958239166E-5"/>
    <n v="4.8528992589486689E-3"/>
    <n v="2.5692512701919294E-3"/>
    <n v="5.2105735653737391"/>
    <n v="0.3274646028542198"/>
    <m/>
    <m/>
  </r>
  <r>
    <x v="0"/>
    <x v="0"/>
    <x v="2"/>
    <x v="2"/>
    <s v="DTE"/>
    <x v="3"/>
    <x v="1"/>
    <n v="1"/>
    <s v="IQ EEA "/>
    <m/>
    <x v="6"/>
    <n v="189310.802"/>
    <n v="207048.802"/>
    <n v="5579440.0358306188"/>
    <m/>
    <n v="0"/>
    <n v="0"/>
    <n v="0"/>
    <n v="1280322374"/>
    <n v="233428713"/>
    <n v="1305155"/>
    <n v="7.8281901148525096E-5"/>
    <n v="8.5616740723989688E-5"/>
    <n v="4.3578399855649314E-3"/>
    <n v="2.3071539961518725E-3"/>
    <n v="4.6790268289707946"/>
    <n v="0.29405892519689614"/>
    <m/>
    <m/>
  </r>
  <r>
    <x v="0"/>
    <x v="0"/>
    <x v="2"/>
    <x v="2"/>
    <s v="DTE"/>
    <x v="3"/>
    <x v="1"/>
    <n v="1"/>
    <s v="IQ Multifamily"/>
    <m/>
    <x v="9"/>
    <n v="42390.485999999997"/>
    <n v="42390.485999999997"/>
    <n v="505502.9296875"/>
    <m/>
    <n v="0"/>
    <n v="0"/>
    <n v="0"/>
    <n v="1280322374"/>
    <n v="233428713"/>
    <n v="1305155"/>
    <n v="1.7528887943171555E-5"/>
    <n v="1.7528887943171555E-5"/>
    <n v="3.9482472536053645E-4"/>
    <n v="2.0903049352718244E-4"/>
    <n v="0.42392457933801059"/>
    <n v="2.6642037056261513E-2"/>
    <m/>
    <m/>
  </r>
  <r>
    <x v="0"/>
    <x v="0"/>
    <x v="2"/>
    <x v="2"/>
    <s v="DTE"/>
    <x v="3"/>
    <x v="1"/>
    <n v="1"/>
    <s v="IQ Multifamily"/>
    <m/>
    <x v="1"/>
    <n v="392229.5"/>
    <n v="426336.5"/>
    <n v="3357584"/>
    <m/>
    <n v="0"/>
    <n v="0"/>
    <n v="0"/>
    <n v="1280322374"/>
    <n v="233428713"/>
    <n v="1305155"/>
    <n v="1.6219080275480226E-4"/>
    <n v="1.7629438677782463E-4"/>
    <n v="2.6224520231652219E-3"/>
    <n v="1.3883944075513955E-3"/>
    <n v="2.81573518411051"/>
    <n v="0.17695817787408311"/>
    <m/>
    <m/>
  </r>
  <r>
    <x v="0"/>
    <x v="0"/>
    <x v="2"/>
    <x v="2"/>
    <s v="DTE"/>
    <x v="3"/>
    <x v="1"/>
    <n v="1"/>
    <s v="IQ Multifamily"/>
    <m/>
    <x v="6"/>
    <n v="349839.01400000002"/>
    <n v="383946.01400000002"/>
    <n v="2852081.0703125"/>
    <m/>
    <n v="0"/>
    <n v="0"/>
    <n v="0"/>
    <n v="1280322374"/>
    <n v="233428713"/>
    <n v="1305155"/>
    <n v="1.4466191481163075E-4"/>
    <n v="1.5876549883465308E-4"/>
    <n v="2.2276272978046857E-3"/>
    <n v="1.179363914024213E-3"/>
    <n v="2.3918106047724992"/>
    <n v="0.1503161408178216"/>
    <m/>
    <m/>
  </r>
  <r>
    <x v="0"/>
    <x v="0"/>
    <x v="2"/>
    <x v="2"/>
    <s v="DTE"/>
    <x v="3"/>
    <x v="1"/>
    <n v="1"/>
    <s v="IQ Admin "/>
    <s v="Cost only"/>
    <x v="4"/>
    <n v="0"/>
    <n v="0"/>
    <n v="168026"/>
    <m/>
    <n v="0"/>
    <n v="0"/>
    <n v="0"/>
    <n v="1280322374"/>
    <n v="233428713"/>
    <n v="1305155"/>
    <n v="0"/>
    <n v="0"/>
    <n v="1.3123725978094952E-4"/>
    <n v="6.9480423638911419E-5"/>
    <n v="0.14090986853801798"/>
    <n v="8.8556458439969597E-3"/>
    <m/>
    <m/>
  </r>
  <r>
    <x v="0"/>
    <x v="0"/>
    <x v="2"/>
    <x v="2"/>
    <s v="DTE"/>
    <x v="3"/>
    <x v="2"/>
    <m/>
    <s v="Prescriptive "/>
    <m/>
    <x v="6"/>
    <n v="4793665.2399999993"/>
    <n v="5210505.6956521729"/>
    <n v="4087295"/>
    <m/>
    <n v="348353795"/>
    <n v="124635991"/>
    <n v="90386"/>
    <n v="1280322374"/>
    <n v="233428713"/>
    <n v="1305155"/>
    <n v="1.9822282959680282E-3"/>
    <n v="2.1545959738782918E-3"/>
    <n v="3.1923951990547655E-3"/>
    <n v="1.6901371700641832E-3"/>
    <n v="0.40026107791042398"/>
    <n v="0.21541688179174387"/>
    <m/>
    <m/>
  </r>
  <r>
    <x v="0"/>
    <x v="0"/>
    <x v="2"/>
    <x v="2"/>
    <s v="DTE"/>
    <x v="3"/>
    <x v="2"/>
    <m/>
    <s v="Non-Prescriptive"/>
    <m/>
    <x v="6"/>
    <n v="2299246.6"/>
    <n v="2499181.086956522"/>
    <n v="2007038"/>
    <m/>
    <n v="348353795"/>
    <n v="124635991"/>
    <n v="90386"/>
    <n v="1280322374"/>
    <n v="233428713"/>
    <n v="1305155"/>
    <n v="9.5076135727998473E-4"/>
    <n v="1.0334362579130269E-3"/>
    <n v="1.5676036291778495E-3"/>
    <n v="8.2993019234757417E-4"/>
    <n v="0.19654543978038813"/>
    <n v="0.1057789730365775"/>
    <m/>
    <m/>
  </r>
  <r>
    <x v="0"/>
    <x v="0"/>
    <x v="2"/>
    <x v="2"/>
    <s v="DTE"/>
    <x v="3"/>
    <x v="2"/>
    <m/>
    <s v="Retro-Commissioning"/>
    <m/>
    <x v="12"/>
    <n v="175001.12"/>
    <n v="190218.60869565216"/>
    <n v="331427"/>
    <m/>
    <n v="348353795"/>
    <n v="124635991"/>
    <n v="90386"/>
    <n v="1280322374"/>
    <n v="233428713"/>
    <n v="1305155"/>
    <n v="7.2364705193743664E-5"/>
    <n v="7.8657288254069203E-5"/>
    <n v="2.5886214810458356E-4"/>
    <n v="1.3704836373759714E-4"/>
    <n v="3.2456020000665005E-2"/>
    <n v="1.7467535590553727E-2"/>
    <m/>
    <m/>
  </r>
  <r>
    <x v="0"/>
    <x v="0"/>
    <x v="2"/>
    <x v="2"/>
    <s v="DTE"/>
    <x v="3"/>
    <x v="2"/>
    <m/>
    <s v="SEM"/>
    <m/>
    <x v="14"/>
    <n v="786883.44"/>
    <n v="855308.08695652173"/>
    <n v="538338"/>
    <m/>
    <n v="348353795"/>
    <n v="124635991"/>
    <n v="90386"/>
    <n v="1280322374"/>
    <n v="233428713"/>
    <n v="1305155"/>
    <n v="3.2538413558404016E-4"/>
    <n v="3.5367840824352195E-4"/>
    <n v="4.2047066499206553E-4"/>
    <n v="2.2260812196281705E-4"/>
    <n v="5.2718423348483978E-2"/>
    <n v="2.8372577293785697E-2"/>
    <m/>
    <m/>
  </r>
  <r>
    <x v="0"/>
    <x v="0"/>
    <x v="2"/>
    <x v="2"/>
    <s v="DTE"/>
    <x v="3"/>
    <x v="2"/>
    <m/>
    <s v="Small Biz "/>
    <m/>
    <x v="10"/>
    <n v="389453.12"/>
    <n v="423318.60869565216"/>
    <n v="910560"/>
    <m/>
    <n v="348353795"/>
    <n v="124635991"/>
    <n v="90386"/>
    <n v="1280322374"/>
    <n v="233428713"/>
    <n v="1305155"/>
    <n v="1.6104274198692944E-4"/>
    <n v="1.7504645868144503E-4"/>
    <n v="7.1119588198339178E-4"/>
    <n v="3.7652562430009155E-4"/>
    <n v="8.9169420632011054E-2"/>
    <n v="4.7990173423814599E-2"/>
    <m/>
    <m/>
  </r>
  <r>
    <x v="0"/>
    <x v="0"/>
    <x v="2"/>
    <x v="2"/>
    <s v="DTE"/>
    <x v="3"/>
    <x v="2"/>
    <m/>
    <s v="Midstream food "/>
    <m/>
    <x v="6"/>
    <n v="149691.63999999998"/>
    <n v="162708.30434782605"/>
    <n v="526951"/>
    <m/>
    <n v="348353795"/>
    <n v="124635991"/>
    <n v="90386"/>
    <n v="1280322374"/>
    <n v="233428713"/>
    <n v="1305155"/>
    <n v="6.1898983266895702E-5"/>
    <n v="6.7281503550973578E-5"/>
    <n v="4.1157681120083278E-4"/>
    <n v="2.1789948410929269E-4"/>
    <n v="5.1603315950029496E-2"/>
    <n v="2.7772436605882671E-2"/>
    <m/>
    <m/>
  </r>
  <r>
    <x v="0"/>
    <x v="0"/>
    <x v="2"/>
    <x v="2"/>
    <s v="DTE"/>
    <x v="3"/>
    <x v="2"/>
    <m/>
    <s v="Midstream hvac"/>
    <m/>
    <x v="6"/>
    <n v="418844.44"/>
    <n v="455265.69565217389"/>
    <n v="1139134"/>
    <m/>
    <n v="348353795"/>
    <n v="124635991"/>
    <n v="90386"/>
    <n v="1280322374"/>
    <n v="233428713"/>
    <n v="1305155"/>
    <n v="1.7319634538703901E-4"/>
    <n v="1.8825689715982501E-4"/>
    <n v="8.8972435625029548E-4"/>
    <n v="4.7104324867275132E-4"/>
    <n v="0.11155324064556459"/>
    <n v="6.0036942335445903E-2"/>
    <m/>
    <m/>
  </r>
  <r>
    <x v="0"/>
    <x v="0"/>
    <x v="2"/>
    <x v="2"/>
    <s v="DTE"/>
    <x v="3"/>
    <x v="2"/>
    <m/>
    <s v="MF common"/>
    <m/>
    <x v="1"/>
    <n v="27578.5"/>
    <n v="29976.5"/>
    <n v="51544.5"/>
    <m/>
    <n v="348353795"/>
    <n v="124635991"/>
    <n v="90386"/>
    <n v="1280322374"/>
    <n v="233428713"/>
    <n v="1305155"/>
    <n v="1.1403984284132924E-5"/>
    <n v="1.2395581155367789E-5"/>
    <n v="4.0259001206831993E-5"/>
    <n v="2.1314163857116575E-5"/>
    <n v="5.0476555106381722E-3"/>
    <n v="2.7166024139472539E-3"/>
    <m/>
    <m/>
  </r>
  <r>
    <x v="0"/>
    <x v="0"/>
    <x v="2"/>
    <x v="2"/>
    <s v="DTE"/>
    <x v="3"/>
    <x v="2"/>
    <m/>
    <s v="MF common"/>
    <m/>
    <x v="6"/>
    <n v="55156.639999999999"/>
    <n v="59952.869565217392"/>
    <n v="103089"/>
    <m/>
    <n v="348353795"/>
    <n v="124635991"/>
    <n v="90386"/>
    <n v="1280322374"/>
    <n v="233428713"/>
    <n v="1305155"/>
    <n v="2.2807819704682173E-5"/>
    <n v="2.479110837465454E-5"/>
    <n v="8.0518002413663986E-5"/>
    <n v="4.262832771423315E-5"/>
    <n v="1.0095311021276344E-2"/>
    <n v="5.4332048278945078E-3"/>
    <m/>
    <m/>
  </r>
  <r>
    <x v="0"/>
    <x v="0"/>
    <x v="2"/>
    <x v="2"/>
    <s v="DTE"/>
    <x v="3"/>
    <x v="2"/>
    <m/>
    <s v="find and fix"/>
    <m/>
    <x v="6"/>
    <n v="150696.56"/>
    <n v="163800.60869565219"/>
    <n v="539542"/>
    <m/>
    <n v="348353795"/>
    <n v="124635991"/>
    <n v="90386"/>
    <n v="1280322374"/>
    <n v="233428713"/>
    <n v="1305155"/>
    <n v="6.2314527690515944E-5"/>
    <n v="6.7733182272299952E-5"/>
    <n v="4.2141105315089965E-4"/>
    <n v="2.2310598794820767E-4"/>
    <n v="5.2836328793969108E-2"/>
    <n v="2.8436032935151748E-2"/>
    <m/>
    <m/>
  </r>
  <r>
    <x v="0"/>
    <x v="0"/>
    <x v="2"/>
    <x v="2"/>
    <s v="DTE"/>
    <x v="3"/>
    <x v="2"/>
    <m/>
    <s v="Emerging "/>
    <m/>
    <x v="6"/>
    <n v="277461.51999999996"/>
    <n v="301588.60869565216"/>
    <n v="250000"/>
    <m/>
    <n v="348353795"/>
    <n v="124635991"/>
    <n v="90386"/>
    <n v="1280322374"/>
    <n v="233428713"/>
    <n v="1305155"/>
    <n v="1.1473310055048797E-4"/>
    <n v="1.2470989190270434E-4"/>
    <n v="1.9526332201705318E-4"/>
    <n v="1.0337748866084924E-4"/>
    <n v="2.4482027717012349E-2"/>
    <n v="1.3176005267037482E-2"/>
    <m/>
    <m/>
  </r>
  <r>
    <x v="0"/>
    <x v="0"/>
    <x v="2"/>
    <x v="2"/>
    <s v="DTE"/>
    <x v="3"/>
    <x v="2"/>
    <m/>
    <s v="Shared Savings "/>
    <m/>
    <x v="6"/>
    <n v="687893.64"/>
    <n v="747710.47826086963"/>
    <n v="13072"/>
    <m/>
    <n v="348353795"/>
    <n v="124635991"/>
    <n v="90386"/>
    <n v="1280322374"/>
    <n v="233428713"/>
    <n v="1305155"/>
    <n v="2.8445086787588124E-4"/>
    <n v="3.0918572595204486E-4"/>
    <n v="1.0209928581627677E-5"/>
    <n v="5.4054021270984851E-6"/>
    <n v="1.2801162652671418E-3"/>
    <n v="6.8894696340285582E-4"/>
    <m/>
    <m/>
  </r>
  <r>
    <x v="0"/>
    <x v="0"/>
    <x v="2"/>
    <x v="2"/>
    <s v="DTE"/>
    <x v="3"/>
    <x v="2"/>
    <m/>
    <s v="Admin "/>
    <s v="Cost only"/>
    <x v="4"/>
    <n v="0"/>
    <n v="0"/>
    <n v="1186727"/>
    <m/>
    <n v="348353795"/>
    <n v="124635991"/>
    <n v="90386"/>
    <n v="1280322374"/>
    <n v="233428713"/>
    <n v="1305155"/>
    <n v="0"/>
    <n v="0"/>
    <n v="9.2689702538932594E-4"/>
    <n v="4.9072342794409453E-4"/>
    <n v="0.11621393322610765"/>
    <n v="6.2545284810142363E-2"/>
    <m/>
    <m/>
  </r>
  <r>
    <x v="0"/>
    <x v="0"/>
    <x v="2"/>
    <x v="2"/>
    <s v="DTE"/>
    <x v="3"/>
    <x v="2"/>
    <m/>
    <s v="Education"/>
    <s v="Cost only"/>
    <x v="4"/>
    <n v="0"/>
    <n v="0"/>
    <n v="890743"/>
    <m/>
    <n v="348353795"/>
    <n v="124635991"/>
    <n v="90386"/>
    <n v="1280322374"/>
    <n v="233428713"/>
    <n v="1305155"/>
    <n v="0"/>
    <n v="0"/>
    <n v="6.9571774897374402E-4"/>
    <n v="3.6833109752892337E-4"/>
    <n v="8.7228779258938918E-2"/>
    <n v="4.6945737838307071E-2"/>
    <m/>
    <m/>
  </r>
  <r>
    <x v="0"/>
    <x v="0"/>
    <x v="3"/>
    <x v="2"/>
    <s v="DTE"/>
    <x v="3"/>
    <x v="0"/>
    <m/>
    <s v="Building Envelope (RBE) - furnace "/>
    <m/>
    <x v="9"/>
    <n v="506470.79999999993"/>
    <n v="557906"/>
    <n v="843677.25875239575"/>
    <m/>
    <m/>
    <m/>
    <m/>
    <m/>
    <m/>
    <m/>
    <m/>
    <m/>
    <m/>
    <m/>
    <n v="0.11299134879885871"/>
    <n v="4.4370022206308778E-2"/>
    <m/>
    <m/>
  </r>
  <r>
    <x v="0"/>
    <x v="0"/>
    <x v="3"/>
    <x v="2"/>
    <s v="DTE"/>
    <x v="3"/>
    <x v="0"/>
    <m/>
    <s v="Building Envelope (RBE) "/>
    <m/>
    <x v="1"/>
    <n v="2719653.92"/>
    <n v="2948751.3043478262"/>
    <n v="8012640.7412476046"/>
    <m/>
    <n v="931968579"/>
    <n v="108792722"/>
    <n v="1214769"/>
    <n v="1280322374"/>
    <n v="233428713"/>
    <n v="1305155"/>
    <n v="1.1246039691049368E-3"/>
    <n v="1.2193380181155272E-3"/>
    <n v="6.2582993970607629E-3"/>
    <n v="3.3133067094871316E-3"/>
    <n v="1.0731106894276981"/>
    <n v="0.42139460786944088"/>
    <m/>
    <m/>
  </r>
  <r>
    <x v="0"/>
    <x v="0"/>
    <x v="3"/>
    <x v="2"/>
    <s v="DTE"/>
    <x v="3"/>
    <x v="0"/>
    <m/>
    <s v="Multifamily - furnace"/>
    <m/>
    <x v="9"/>
    <n v="9955.1999999999989"/>
    <n v="10888.5"/>
    <n v="17621.25"/>
    <m/>
    <m/>
    <m/>
    <m/>
    <m/>
    <m/>
    <m/>
    <m/>
    <m/>
    <m/>
    <m/>
    <n v="2.3599650036391774E-3"/>
    <n v="9.2672315828342018E-4"/>
    <m/>
    <m/>
  </r>
  <r>
    <x v="0"/>
    <x v="0"/>
    <x v="3"/>
    <x v="2"/>
    <s v="DTE"/>
    <x v="3"/>
    <x v="0"/>
    <m/>
    <s v="Multifamily "/>
    <m/>
    <x v="6"/>
    <n v="8299.1200000000008"/>
    <n v="8952.8043478260879"/>
    <n v="34535.75"/>
    <m/>
    <n v="931968579"/>
    <n v="108792722"/>
    <n v="1214769"/>
    <n v="1280322374"/>
    <n v="233428713"/>
    <n v="1305155"/>
    <n v="3.4317687347801087E-6"/>
    <n v="3.7020737198007732E-6"/>
    <n v="2.6974261093401778E-5"/>
    <n v="1.4280876416075699E-5"/>
    <n v="4.6252769454171372E-3"/>
    <n v="1.8162774669042566E-3"/>
    <m/>
    <m/>
  </r>
  <r>
    <x v="0"/>
    <x v="0"/>
    <x v="3"/>
    <x v="2"/>
    <s v="DTE"/>
    <x v="3"/>
    <x v="0"/>
    <m/>
    <s v="Schools "/>
    <m/>
    <x v="2"/>
    <n v="1436320.76"/>
    <n v="1561218.2173913042"/>
    <n v="1009899"/>
    <m/>
    <n v="931968579"/>
    <n v="108792722"/>
    <n v="1214769"/>
    <n v="1280322374"/>
    <n v="233428713"/>
    <n v="1305155"/>
    <n v="5.9393293232096948E-4"/>
    <n v="6.4557927426192336E-4"/>
    <n v="7.8878493456679998E-4"/>
    <n v="4.1760328968441199E-4"/>
    <n v="0.1352529643022034"/>
    <n v="5.31118275279715E-2"/>
    <m/>
    <m/>
  </r>
  <r>
    <x v="0"/>
    <x v="0"/>
    <x v="3"/>
    <x v="2"/>
    <s v="DTE"/>
    <x v="3"/>
    <x v="0"/>
    <m/>
    <s v="Home Energy Reports "/>
    <m/>
    <x v="2"/>
    <n v="2112735.52"/>
    <n v="2296451.6521739131"/>
    <n v="809663"/>
    <m/>
    <n v="931968579"/>
    <n v="108792722"/>
    <n v="1214769"/>
    <n v="1280322374"/>
    <n v="233428713"/>
    <n v="1305155"/>
    <n v="8.7363716904869369E-4"/>
    <n v="9.4960561853118879E-4"/>
    <n v="6.3238994837717336E-4"/>
    <n v="3.3480371040643669E-4"/>
    <n v="0.1084359137258428"/>
    <n v="4.2581170603971277E-2"/>
    <m/>
    <m/>
  </r>
  <r>
    <x v="0"/>
    <x v="0"/>
    <x v="3"/>
    <x v="2"/>
    <s v="DTE"/>
    <x v="3"/>
    <x v="0"/>
    <m/>
    <s v="Multifamily SEM"/>
    <m/>
    <x v="2"/>
    <n v="131364.79999999999"/>
    <n v="142787.82608695651"/>
    <n v="154929"/>
    <m/>
    <n v="931968579"/>
    <n v="108792722"/>
    <n v="1214769"/>
    <n v="1280322374"/>
    <n v="233428713"/>
    <n v="1305155"/>
    <n v="5.4320652489738911E-5"/>
    <n v="5.9044187488846645E-5"/>
    <n v="1.2100780486712012E-4"/>
    <n v="6.4064683762946845E-5"/>
    <n v="2.0749210075835377E-2"/>
    <n v="8.1479062035719387E-3"/>
    <m/>
    <m/>
  </r>
  <r>
    <x v="0"/>
    <x v="0"/>
    <x v="3"/>
    <x v="2"/>
    <s v="DTE"/>
    <x v="3"/>
    <x v="0"/>
    <m/>
    <s v="Emerging "/>
    <m/>
    <x v="2"/>
    <n v="124703.31999999999"/>
    <n v="135547.08695652173"/>
    <n v="250000"/>
    <m/>
    <n v="931968579"/>
    <n v="108792722"/>
    <n v="1214769"/>
    <n v="1280322374"/>
    <n v="233428713"/>
    <n v="1305155"/>
    <n v="5.1566064197081015E-5"/>
    <n v="5.6050069779435885E-5"/>
    <n v="1.9526332201705318E-4"/>
    <n v="1.0337748866084924E-4"/>
    <n v="3.3481804690915482E-2"/>
    <n v="1.3147806743043488E-2"/>
    <m/>
    <m/>
  </r>
  <r>
    <x v="0"/>
    <x v="0"/>
    <x v="3"/>
    <x v="2"/>
    <s v="DTE"/>
    <x v="3"/>
    <x v="0"/>
    <m/>
    <s v="Shared Savings "/>
    <m/>
    <x v="2"/>
    <n v="417238.63999999996"/>
    <n v="453520.26086956519"/>
    <n v="7928"/>
    <m/>
    <n v="931968579"/>
    <n v="108792722"/>
    <n v="1214769"/>
    <n v="1280322374"/>
    <n v="233428713"/>
    <n v="1305155"/>
    <n v="1.7253233110187263E-4"/>
    <n v="1.8753514250203547E-4"/>
    <n v="6.1921904678047906E-6"/>
    <n v="3.2783069204128512E-6"/>
    <n v="1.0617749903583116E-3"/>
    <n v="4.1694324743539506E-4"/>
    <m/>
    <m/>
  </r>
  <r>
    <x v="0"/>
    <x v="0"/>
    <x v="3"/>
    <x v="2"/>
    <s v="DTE"/>
    <x v="3"/>
    <x v="0"/>
    <m/>
    <s v="Admin "/>
    <s v="Cost only"/>
    <x v="4"/>
    <n v="0"/>
    <n v="0"/>
    <n v="1676479"/>
    <m/>
    <n v="931968579"/>
    <n v="108792722"/>
    <n v="1214769"/>
    <n v="1280322374"/>
    <n v="233428713"/>
    <n v="1305155"/>
    <n v="0"/>
    <n v="0"/>
    <n v="1.3094194353273092E-3"/>
    <n v="6.9324075525060752E-4"/>
    <n v="0.22452616978568515"/>
    <n v="8.8168087603083214E-2"/>
    <m/>
    <m/>
  </r>
  <r>
    <x v="0"/>
    <x v="0"/>
    <x v="3"/>
    <x v="2"/>
    <s v="DTE"/>
    <x v="3"/>
    <x v="0"/>
    <m/>
    <s v="Education"/>
    <s v="Cost only"/>
    <x v="4"/>
    <n v="0"/>
    <n v="0"/>
    <n v="5339435"/>
    <m/>
    <n v="931968579"/>
    <n v="108792722"/>
    <n v="1214769"/>
    <n v="1280322374"/>
    <n v="233428713"/>
    <n v="1305155"/>
    <m/>
    <n v="0"/>
    <m/>
    <m/>
    <n v="0.71509567931935314"/>
    <n v="0.28080743798816959"/>
    <m/>
    <m/>
  </r>
  <r>
    <x v="0"/>
    <x v="0"/>
    <x v="3"/>
    <x v="2"/>
    <s v="DTE"/>
    <x v="3"/>
    <x v="1"/>
    <n v="1"/>
    <s v="IQ EEA "/>
    <m/>
    <x v="9"/>
    <n v="14677.697999999997"/>
    <n v="14677.697999999997"/>
    <n v="634250.16286644957"/>
    <m/>
    <m/>
    <m/>
    <m/>
    <m/>
    <m/>
    <m/>
    <m/>
    <m/>
    <m/>
    <m/>
    <n v="0.53133132727901133"/>
    <n v="3.3355994272447745E-2"/>
    <m/>
    <m/>
  </r>
  <r>
    <x v="0"/>
    <x v="0"/>
    <x v="3"/>
    <x v="2"/>
    <s v="DTE"/>
    <x v="3"/>
    <x v="1"/>
    <n v="1"/>
    <s v="IQ EEA "/>
    <m/>
    <x v="6"/>
    <n v="393330.18200000003"/>
    <n v="428809.12808695657"/>
    <n v="11792300.837133551"/>
    <m/>
    <n v="0"/>
    <n v="0"/>
    <n v="0"/>
    <n v="1280322374"/>
    <n v="233428713"/>
    <n v="1305155"/>
    <n v="1.626459457186991E-4"/>
    <n v="1.7731684310591202E-4"/>
    <n v="9.2104153427326977E-3"/>
    <n v="4.8762337843043868E-3"/>
    <n v="9.878781626402013"/>
    <n v="0.62017156984984745"/>
    <m/>
    <m/>
  </r>
  <r>
    <x v="0"/>
    <x v="0"/>
    <x v="3"/>
    <x v="2"/>
    <s v="DTE"/>
    <x v="3"/>
    <x v="1"/>
    <n v="1"/>
    <s v="IQ Multifamily"/>
    <m/>
    <x v="9"/>
    <n v="42390.485999999997"/>
    <n v="42390.485999999997"/>
    <n v="505502.9296875"/>
    <m/>
    <m/>
    <m/>
    <m/>
    <m/>
    <m/>
    <m/>
    <m/>
    <m/>
    <m/>
    <m/>
    <n v="0.42347571715301785"/>
    <n v="2.6585019310294201E-2"/>
    <m/>
    <m/>
  </r>
  <r>
    <x v="0"/>
    <x v="0"/>
    <x v="3"/>
    <x v="2"/>
    <s v="DTE"/>
    <x v="3"/>
    <x v="1"/>
    <n v="1"/>
    <s v="IQ Multifamily"/>
    <m/>
    <x v="6"/>
    <n v="743301.55399999989"/>
    <n v="811622.6009565217"/>
    <n v="6209665.0703125"/>
    <m/>
    <n v="0"/>
    <n v="0"/>
    <n v="0"/>
    <n v="1280322374"/>
    <n v="233428713"/>
    <n v="1305155"/>
    <n v="3.0736259188090642E-4"/>
    <n v="3.3561402490908719E-4"/>
    <n v="4.850079320969908E-3"/>
    <n v="2.5677583215756084E-3"/>
    <n v="5.2020319062369547"/>
    <n v="0.32657390513398521"/>
    <m/>
    <m/>
  </r>
  <r>
    <x v="0"/>
    <x v="0"/>
    <x v="3"/>
    <x v="2"/>
    <s v="DTE"/>
    <x v="3"/>
    <x v="1"/>
    <n v="1"/>
    <s v="IQ Admin "/>
    <s v="Cost only"/>
    <x v="4"/>
    <n v="0"/>
    <n v="0"/>
    <n v="168026"/>
    <m/>
    <n v="0"/>
    <n v="0"/>
    <n v="0"/>
    <n v="1280322374"/>
    <n v="233428713"/>
    <n v="1305155"/>
    <n v="0"/>
    <n v="0"/>
    <n v="1.3123725978094952E-4"/>
    <n v="6.9480423638911419E-5"/>
    <n v="0.14076066956593244"/>
    <n v="8.8366935032265E-3"/>
    <m/>
    <m/>
  </r>
  <r>
    <x v="0"/>
    <x v="0"/>
    <x v="3"/>
    <x v="2"/>
    <s v="DTE"/>
    <x v="3"/>
    <x v="2"/>
    <m/>
    <s v="Prescriptive "/>
    <m/>
    <x v="2"/>
    <n v="4622797.76"/>
    <n v="5024780.173913043"/>
    <n v="3931202"/>
    <m/>
    <n v="348353795"/>
    <n v="124635991"/>
    <n v="90386"/>
    <n v="1280322374"/>
    <n v="233428713"/>
    <n v="1305155"/>
    <n v="1.911572892063197E-3"/>
    <n v="2.0777966218078225E-3"/>
    <n v="3.070478248160334E-3"/>
    <n v="1.6255911607140315E-3"/>
    <n v="0.37967454830399255"/>
    <n v="0.20674673665546417"/>
    <m/>
    <m/>
  </r>
  <r>
    <x v="0"/>
    <x v="0"/>
    <x v="3"/>
    <x v="2"/>
    <s v="DTE"/>
    <x v="3"/>
    <x v="2"/>
    <m/>
    <s v="Non-Prescriptive"/>
    <m/>
    <x v="2"/>
    <n v="2640256.36"/>
    <n v="2869843.8695652173"/>
    <n v="2301072"/>
    <m/>
    <n v="348353795"/>
    <n v="124635991"/>
    <n v="90386"/>
    <n v="1280322374"/>
    <n v="233428713"/>
    <n v="1305155"/>
    <n v="1.0917722876705404E-3"/>
    <n v="1.186709008337544E-3"/>
    <n v="1.7972598516816983E-3"/>
    <n v="9.5151617835119082E-4"/>
    <n v="0.2222369830435996"/>
    <n v="0.12101619983131426"/>
    <m/>
    <m/>
  </r>
  <r>
    <x v="0"/>
    <x v="0"/>
    <x v="3"/>
    <x v="2"/>
    <s v="DTE"/>
    <x v="3"/>
    <x v="2"/>
    <m/>
    <s v="Retro-Commissioning"/>
    <m/>
    <x v="12"/>
    <n v="175001.12"/>
    <n v="190218.60869565216"/>
    <n v="331169"/>
    <m/>
    <n v="348353795"/>
    <n v="124635991"/>
    <n v="90386"/>
    <n v="1280322374"/>
    <n v="233428713"/>
    <n v="1305155"/>
    <n v="7.2364705193743664E-5"/>
    <n v="7.8657288254069203E-5"/>
    <n v="2.5866063635626192E-4"/>
    <n v="1.3694167816929914E-4"/>
    <n v="3.1984222761202531E-2"/>
    <n v="1.7416584045147874E-2"/>
    <m/>
    <m/>
  </r>
  <r>
    <x v="0"/>
    <x v="0"/>
    <x v="3"/>
    <x v="2"/>
    <s v="DTE"/>
    <x v="3"/>
    <x v="2"/>
    <m/>
    <s v="SEM"/>
    <m/>
    <x v="14"/>
    <n v="786883.44"/>
    <n v="855308.08695652173"/>
    <n v="537178"/>
    <m/>
    <n v="348353795"/>
    <n v="124635991"/>
    <n v="90386"/>
    <n v="1280322374"/>
    <n v="233428713"/>
    <n v="1305155"/>
    <n v="3.2538413558404016E-4"/>
    <n v="3.5367840824352195E-4"/>
    <n v="4.1956464317790637E-4"/>
    <n v="2.2212845041543071E-4"/>
    <n v="5.188052267699348E-2"/>
    <n v="2.8250850122458458E-2"/>
    <m/>
    <m/>
  </r>
  <r>
    <x v="0"/>
    <x v="0"/>
    <x v="3"/>
    <x v="2"/>
    <s v="DTE"/>
    <x v="3"/>
    <x v="2"/>
    <m/>
    <s v="Small Biz "/>
    <m/>
    <x v="10"/>
    <n v="389453.12"/>
    <n v="423318.60869565216"/>
    <n v="909986"/>
    <m/>
    <n v="348353795"/>
    <n v="124635991"/>
    <n v="90386"/>
    <n v="1280322374"/>
    <n v="233428713"/>
    <n v="1305155"/>
    <n v="1.6104274198692944E-4"/>
    <n v="1.7504645868144503E-4"/>
    <n v="7.1074755739604064E-4"/>
    <n v="3.7628826958612622E-4"/>
    <n v="8.7886230092718967E-2"/>
    <n v="4.7857280267500683E-2"/>
    <m/>
    <m/>
  </r>
  <r>
    <x v="0"/>
    <x v="0"/>
    <x v="3"/>
    <x v="2"/>
    <s v="DTE"/>
    <x v="3"/>
    <x v="2"/>
    <m/>
    <s v="Midstream food "/>
    <m/>
    <x v="2"/>
    <n v="149691.63999999998"/>
    <n v="162708.30434782605"/>
    <n v="526731"/>
    <m/>
    <n v="348353795"/>
    <n v="124635991"/>
    <n v="90386"/>
    <n v="1280322374"/>
    <n v="233428713"/>
    <n v="1305155"/>
    <n v="6.1898983266895702E-5"/>
    <n v="6.7281503550973578E-5"/>
    <n v="4.1140497947745778E-4"/>
    <n v="2.1780851191927111E-4"/>
    <n v="5.0871553917277795E-2"/>
    <n v="2.7701429574280158E-2"/>
    <m/>
    <m/>
  </r>
  <r>
    <x v="0"/>
    <x v="0"/>
    <x v="3"/>
    <x v="2"/>
    <s v="DTE"/>
    <x v="3"/>
    <x v="2"/>
    <m/>
    <s v="Midstream hvac"/>
    <m/>
    <x v="2"/>
    <n v="418844.44"/>
    <n v="455265.69565217389"/>
    <n v="1138516"/>
    <m/>
    <n v="348353795"/>
    <n v="124635991"/>
    <n v="90386"/>
    <n v="1280322374"/>
    <n v="233428713"/>
    <n v="1305155"/>
    <n v="1.7319634538703901E-4"/>
    <n v="1.8825689715982501E-4"/>
    <n v="8.8924166531826926E-4"/>
    <n v="4.7078769952078176E-4"/>
    <n v="0.10995760279855077"/>
    <n v="5.98759533674516E-2"/>
    <m/>
    <m/>
  </r>
  <r>
    <x v="0"/>
    <x v="0"/>
    <x v="3"/>
    <x v="2"/>
    <s v="DTE"/>
    <x v="3"/>
    <x v="2"/>
    <m/>
    <s v="MF common"/>
    <m/>
    <x v="2"/>
    <n v="55156.639999999999"/>
    <n v="59952.869565217392"/>
    <n v="103598"/>
    <m/>
    <n v="348353795"/>
    <n v="124635991"/>
    <n v="90386"/>
    <n v="1280322374"/>
    <n v="233428713"/>
    <n v="1305155"/>
    <n v="2.2807819704682173E-5"/>
    <n v="2.479110837465454E-5"/>
    <n v="8.0915558537290698E-5"/>
    <n v="4.2838804281146639E-5"/>
    <n v="1.0005470045852902E-2"/>
    <n v="5.4483459318632769E-3"/>
    <m/>
    <m/>
  </r>
  <r>
    <x v="0"/>
    <x v="0"/>
    <x v="3"/>
    <x v="2"/>
    <s v="DTE"/>
    <x v="3"/>
    <x v="2"/>
    <m/>
    <s v="find and fix"/>
    <m/>
    <x v="2"/>
    <n v="150696.56"/>
    <n v="163800.60869565219"/>
    <n v="539320"/>
    <m/>
    <n v="348353795"/>
    <n v="124635991"/>
    <n v="90386"/>
    <n v="1280322374"/>
    <n v="233428713"/>
    <n v="1305155"/>
    <n v="6.2314527690515944E-5"/>
    <n v="6.7733182272299952E-5"/>
    <n v="4.2123765932094851E-4"/>
    <n v="2.2301418873827688E-4"/>
    <n v="5.2087396524347837E-2"/>
    <n v="2.8363500530632853E-2"/>
    <m/>
    <m/>
  </r>
  <r>
    <x v="0"/>
    <x v="0"/>
    <x v="3"/>
    <x v="2"/>
    <s v="DTE"/>
    <x v="3"/>
    <x v="2"/>
    <m/>
    <s v="Emerging "/>
    <m/>
    <x v="2"/>
    <n v="277461.51999999996"/>
    <n v="301588.60869565216"/>
    <n v="250000"/>
    <m/>
    <n v="348353795"/>
    <n v="124635991"/>
    <n v="90386"/>
    <n v="1280322374"/>
    <n v="233428713"/>
    <n v="1305155"/>
    <n v="1.1473310055048797E-4"/>
    <n v="1.2470989190270434E-4"/>
    <n v="1.9526332201705318E-4"/>
    <n v="1.0337748866084924E-4"/>
    <n v="2.4144940167408886E-2"/>
    <n v="1.3147806743043488E-2"/>
    <m/>
    <m/>
  </r>
  <r>
    <x v="0"/>
    <x v="0"/>
    <x v="3"/>
    <x v="2"/>
    <s v="DTE"/>
    <x v="3"/>
    <x v="2"/>
    <m/>
    <s v="Shared Savings "/>
    <m/>
    <x v="2"/>
    <n v="687893.64"/>
    <n v="747710.47826086963"/>
    <n v="13072"/>
    <m/>
    <n v="348353795"/>
    <n v="124635991"/>
    <n v="90386"/>
    <n v="1280322374"/>
    <n v="233428713"/>
    <n v="1305155"/>
    <n v="2.8445086787588124E-4"/>
    <n v="3.0918572595204486E-4"/>
    <n v="1.0209928581627677E-5"/>
    <n v="5.4054021270984851E-6"/>
    <n v="1.2624906314734757E-3"/>
    <n v="6.8747251898025792E-4"/>
    <m/>
    <m/>
  </r>
  <r>
    <x v="0"/>
    <x v="0"/>
    <x v="3"/>
    <x v="2"/>
    <s v="DTE"/>
    <x v="3"/>
    <x v="2"/>
    <m/>
    <s v="Admin "/>
    <s v="Cost only"/>
    <x v="4"/>
    <n v="0"/>
    <n v="0"/>
    <n v="1186727"/>
    <m/>
    <n v="348353795"/>
    <n v="124635991"/>
    <n v="90386"/>
    <n v="1280322374"/>
    <n v="233428713"/>
    <n v="1305155"/>
    <n v="0"/>
    <n v="0"/>
    <n v="9.2689702538932594E-4"/>
    <n v="4.9072342794409453E-4"/>
    <n v="0.11461380964019457"/>
    <n v="6.2411429011007075E-2"/>
    <m/>
    <m/>
  </r>
  <r>
    <x v="0"/>
    <x v="0"/>
    <x v="3"/>
    <x v="2"/>
    <s v="DTE"/>
    <x v="3"/>
    <x v="2"/>
    <m/>
    <s v="Education"/>
    <m/>
    <x v="4"/>
    <n v="0"/>
    <n v="0"/>
    <n v="942253"/>
    <m/>
    <n v="348353795"/>
    <n v="124635991"/>
    <n v="90386"/>
    <n v="1280322374"/>
    <n v="233428713"/>
    <n v="1305155"/>
    <m/>
    <n v="0"/>
    <m/>
    <m/>
    <n v="9.1002569230246091E-2"/>
    <n v="4.9554241388211823E-2"/>
    <m/>
    <m/>
  </r>
  <r>
    <x v="0"/>
    <x v="0"/>
    <x v="1"/>
    <x v="3"/>
    <s v="Xcel"/>
    <x v="4"/>
    <x v="2"/>
    <m/>
    <s v="BEA"/>
    <m/>
    <x v="14"/>
    <n v="110510.12"/>
    <n v="110510.12"/>
    <n v="287527"/>
    <n v="90605"/>
    <n v="219489723"/>
    <n v="45049322"/>
    <n v="36107"/>
    <n v="526109473"/>
    <n v="80336233"/>
    <n v="474354"/>
    <n v="1.3277943963342171E-4"/>
    <n v="1.3277943963342171E-4"/>
    <n v="5.4651553480011188E-4"/>
    <n v="3.4546767245822232E-4"/>
    <n v="4.7734118930500204E-2"/>
    <n v="2.6663001347457711E-2"/>
    <s v="https://www.xcelenergy.com/staticfiles/xe-responsive/Company/Rates%20&amp;%20Regulations/Regulatory%20Filings/MN%20fillings/2021-2023-CIP-Triennial-Plan.pdf"/>
    <m/>
  </r>
  <r>
    <x v="0"/>
    <x v="0"/>
    <x v="1"/>
    <x v="3"/>
    <s v="Xcel"/>
    <x v="4"/>
    <x v="2"/>
    <m/>
    <s v="BNC"/>
    <m/>
    <x v="0"/>
    <n v="907069.79999999993"/>
    <n v="907069.79999999993"/>
    <n v="892879"/>
    <n v="432139"/>
    <n v="219489723"/>
    <n v="45049322"/>
    <n v="36107"/>
    <n v="526109473"/>
    <n v="80336233"/>
    <n v="474354"/>
    <n v="1.0898569266995627E-3"/>
    <n v="1.0898569266995627E-3"/>
    <n v="1.6971353792749517E-3"/>
    <n v="1.0728064839713317E-3"/>
    <n v="0.14823231340551005"/>
    <n v="8.2798603192453898E-2"/>
    <s v="numbers don’t line up perfect w plan"/>
    <m/>
  </r>
  <r>
    <x v="0"/>
    <x v="0"/>
    <x v="1"/>
    <x v="3"/>
    <s v="Xcel"/>
    <x v="4"/>
    <x v="2"/>
    <m/>
    <s v="Com EE"/>
    <m/>
    <x v="2"/>
    <n v="447034"/>
    <n v="447034"/>
    <n v="340754"/>
    <n v="150698"/>
    <n v="219489723"/>
    <n v="45049322"/>
    <n v="36107"/>
    <n v="526109473"/>
    <n v="80336233"/>
    <n v="474354"/>
    <n v="5.3711754196888973E-4"/>
    <n v="5.3711754196888973E-4"/>
    <n v="6.4768649394761986E-4"/>
    <n v="4.0942065009835277E-4"/>
    <n v="5.6570659319102781E-2"/>
    <n v="3.1598856320107692E-2"/>
    <m/>
    <m/>
  </r>
  <r>
    <x v="0"/>
    <x v="0"/>
    <x v="1"/>
    <x v="3"/>
    <s v="Xcel"/>
    <x v="4"/>
    <x v="2"/>
    <m/>
    <s v="assessment"/>
    <m/>
    <x v="2"/>
    <n v="94907.959999999992"/>
    <n v="94907.959999999992"/>
    <n v="148842"/>
    <n v="55886"/>
    <n v="219489723"/>
    <n v="45049322"/>
    <n v="36107"/>
    <n v="526109473"/>
    <n v="80336233"/>
    <n v="474354"/>
    <n v="1.1403322831928154E-4"/>
    <n v="1.1403322831928154E-4"/>
    <n v="2.8291070136271811E-4"/>
    <n v="1.7883572431120112E-4"/>
    <n v="2.4710172365911762E-2"/>
    <n v="1.3802440976180674E-2"/>
    <m/>
    <m/>
  </r>
  <r>
    <x v="0"/>
    <x v="0"/>
    <x v="1"/>
    <x v="3"/>
    <s v="Xcel"/>
    <x v="4"/>
    <x v="2"/>
    <m/>
    <s v="compressed air"/>
    <s v="Cost only"/>
    <x v="4"/>
    <n v="0"/>
    <n v="0"/>
    <n v="0"/>
    <m/>
    <n v="219489723"/>
    <n v="45049322"/>
    <n v="3610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2"/>
    <m/>
    <s v="Custom"/>
    <m/>
    <x v="11"/>
    <n v="159430.03999999998"/>
    <n v="159430.03999999998"/>
    <n v="147061"/>
    <n v="92596"/>
    <n v="219489723"/>
    <n v="45049322"/>
    <n v="36107"/>
    <n v="526109473"/>
    <n v="80336233"/>
    <n v="474354"/>
    <n v="1.915574010048492E-4"/>
    <n v="1.915574010048492E-4"/>
    <n v="2.7952547434932808E-4"/>
    <n v="1.7669582814615196E-4"/>
    <n v="2.441449764383272E-2"/>
    <n v="1.3637284989439178E-2"/>
    <m/>
    <m/>
  </r>
  <r>
    <x v="0"/>
    <x v="0"/>
    <x v="1"/>
    <x v="3"/>
    <s v="Xcel"/>
    <x v="4"/>
    <x v="2"/>
    <m/>
    <s v="data center"/>
    <s v="Cost only"/>
    <x v="4"/>
    <n v="0"/>
    <n v="0"/>
    <n v="0"/>
    <m/>
    <n v="219489723"/>
    <n v="45049322"/>
    <n v="3610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2"/>
    <m/>
    <s v="ee controls"/>
    <m/>
    <x v="2"/>
    <n v="149391.19999999998"/>
    <n v="149391.19999999998"/>
    <n v="81541"/>
    <n v="72098"/>
    <n v="219489723"/>
    <n v="45049322"/>
    <n v="36107"/>
    <n v="526109473"/>
    <n v="80336233"/>
    <n v="474354"/>
    <n v="1.7949559571706579E-4"/>
    <n v="1.7949559571706579E-4"/>
    <n v="1.5498865575454103E-4"/>
    <n v="9.7972640760401298E-5"/>
    <n v="1.3537121006764293E-2"/>
    <n v="7.5614735063943535E-3"/>
    <m/>
    <m/>
  </r>
  <r>
    <x v="0"/>
    <x v="0"/>
    <x v="1"/>
    <x v="3"/>
    <s v="Xcel"/>
    <x v="4"/>
    <x v="2"/>
    <m/>
    <s v="EIS"/>
    <m/>
    <x v="2"/>
    <n v="387546.88"/>
    <n v="387546.88"/>
    <n v="164805"/>
    <n v="133124"/>
    <n v="219489723"/>
    <n v="45049322"/>
    <n v="36107"/>
    <n v="526109473"/>
    <n v="80336233"/>
    <n v="474354"/>
    <n v="4.6564294345242702E-4"/>
    <n v="4.6564294345242702E-4"/>
    <n v="3.1325229530698831E-4"/>
    <n v="1.9801548988261042E-4"/>
    <n v="2.7360287800245145E-2"/>
    <n v="1.5282724533931659E-2"/>
    <m/>
    <m/>
  </r>
  <r>
    <x v="0"/>
    <x v="0"/>
    <x v="1"/>
    <x v="3"/>
    <s v="Xcel"/>
    <x v="4"/>
    <x v="2"/>
    <m/>
    <s v="rate savings"/>
    <s v="Cost only"/>
    <x v="4"/>
    <n v="0"/>
    <n v="0"/>
    <n v="0"/>
    <m/>
    <n v="219489723"/>
    <n v="45049322"/>
    <n v="3610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2"/>
    <m/>
    <s v="food service"/>
    <m/>
    <x v="2"/>
    <n v="120921.92"/>
    <n v="120921.92"/>
    <n v="129904"/>
    <n v="68779"/>
    <n v="219489723"/>
    <n v="45049322"/>
    <n v="36107"/>
    <n v="526109473"/>
    <n v="80336233"/>
    <n v="474354"/>
    <n v="1.4528936152632398E-4"/>
    <n v="1.4528936152632398E-4"/>
    <n v="2.4691439076216746E-4"/>
    <n v="1.5608145503904992E-4"/>
    <n v="2.1566158953933712E-2"/>
    <n v="1.2046279226090582E-2"/>
    <m/>
    <m/>
  </r>
  <r>
    <x v="0"/>
    <x v="0"/>
    <x v="1"/>
    <x v="3"/>
    <s v="Xcel"/>
    <x v="4"/>
    <x v="2"/>
    <m/>
    <s v="hvac"/>
    <m/>
    <x v="2"/>
    <n v="1044764.5599999999"/>
    <n v="1044764.5599999999"/>
    <n v="1459601"/>
    <n v="825518"/>
    <n v="219489723"/>
    <n v="45049322"/>
    <n v="36107"/>
    <n v="526109473"/>
    <n v="80336233"/>
    <n v="474354"/>
    <n v="1.2552990877727614E-3"/>
    <n v="1.2552990877727614E-3"/>
    <n v="2.7743294407474011E-3"/>
    <n v="1.7537308154980009E-3"/>
    <n v="0.24231730489685152"/>
    <n v="0.13535196148448883"/>
    <m/>
    <m/>
  </r>
  <r>
    <x v="0"/>
    <x v="0"/>
    <x v="1"/>
    <x v="3"/>
    <s v="Xcel"/>
    <x v="4"/>
    <x v="2"/>
    <m/>
    <s v="lighting"/>
    <s v="Cost only"/>
    <x v="4"/>
    <n v="0"/>
    <n v="0"/>
    <n v="0"/>
    <m/>
    <n v="219489723"/>
    <n v="45049322"/>
    <n v="3610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2"/>
    <m/>
    <s v="MF"/>
    <m/>
    <x v="2"/>
    <n v="237098.96"/>
    <n v="237098.96"/>
    <n v="701958"/>
    <n v="252632"/>
    <n v="219489723"/>
    <n v="45049322"/>
    <n v="36107"/>
    <n v="526109473"/>
    <n v="80336233"/>
    <n v="474354"/>
    <n v="2.848776840208577E-4"/>
    <n v="2.848776840208577E-4"/>
    <n v="1.334243225078747E-3"/>
    <n v="8.4341225840852785E-4"/>
    <n v="0.11653634843411596"/>
    <n v="6.5094085424529588E-2"/>
    <m/>
    <m/>
  </r>
  <r>
    <x v="0"/>
    <x v="0"/>
    <x v="1"/>
    <x v="3"/>
    <s v="Xcel"/>
    <x v="4"/>
    <x v="2"/>
    <m/>
    <s v="peak partners"/>
    <s v="Cost only"/>
    <x v="4"/>
    <n v="0"/>
    <n v="0"/>
    <n v="0"/>
    <m/>
    <n v="219489723"/>
    <n v="45049322"/>
    <n v="3610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2"/>
    <m/>
    <s v="process ee"/>
    <m/>
    <x v="2"/>
    <n v="2352869.96"/>
    <n v="2352869.96"/>
    <n v="1065251"/>
    <n v="770281"/>
    <n v="219489723"/>
    <n v="45049322"/>
    <n v="36107"/>
    <n v="526109473"/>
    <n v="80336233"/>
    <n v="474354"/>
    <n v="2.827005841809884E-3"/>
    <n v="2.827005841809884E-3"/>
    <n v="2.0247706127123851E-3"/>
    <n v="1.2799138291492407E-3"/>
    <n v="0.17684884523830552"/>
    <n v="9.8783032022664571E-2"/>
    <m/>
    <m/>
  </r>
  <r>
    <x v="0"/>
    <x v="0"/>
    <x v="1"/>
    <x v="3"/>
    <s v="Xcel"/>
    <x v="4"/>
    <x v="2"/>
    <m/>
    <s v="AC control"/>
    <m/>
    <x v="2"/>
    <n v="11965.8"/>
    <n v="11965.8"/>
    <n v="40884"/>
    <n v="11010"/>
    <n v="219489723"/>
    <n v="45049322"/>
    <n v="36107"/>
    <n v="526109473"/>
    <n v="80336233"/>
    <n v="474354"/>
    <n v="1.4377074414230999E-5"/>
    <n v="1.4377074414230999E-5"/>
    <n v="7.7710062445501718E-5"/>
    <n v="4.912269220206089E-5"/>
    <n v="6.7874033337897667E-3"/>
    <n v="3.7912618539805345E-3"/>
    <m/>
    <m/>
  </r>
  <r>
    <x v="0"/>
    <x v="0"/>
    <x v="1"/>
    <x v="3"/>
    <s v="Xcel"/>
    <x v="4"/>
    <x v="2"/>
    <m/>
    <s v="self direct"/>
    <s v="Cost only"/>
    <x v="4"/>
    <n v="0"/>
    <n v="0"/>
    <n v="1980"/>
    <n v="0"/>
    <n v="219489723"/>
    <n v="45049322"/>
    <n v="36107"/>
    <n v="526109473"/>
    <n v="80336233"/>
    <n v="474354"/>
    <n v="0"/>
    <n v="0"/>
    <n v="3.7634752872051021E-6"/>
    <n v="2.3789974209979589E-6"/>
    <n v="3.2871193133997989E-4"/>
    <n v="1.836096876744315E-4"/>
    <m/>
    <m/>
  </r>
  <r>
    <x v="0"/>
    <x v="0"/>
    <x v="1"/>
    <x v="3"/>
    <s v="Xcel"/>
    <x v="4"/>
    <x v="2"/>
    <m/>
    <s v="benchmarking"/>
    <s v="Cost only"/>
    <x v="4"/>
    <n v="0"/>
    <n v="0"/>
    <n v="34067"/>
    <m/>
    <n v="219489723"/>
    <n v="45049322"/>
    <n v="36107"/>
    <n v="526109473"/>
    <n v="80336233"/>
    <n v="474354"/>
    <n v="0"/>
    <n v="0"/>
    <n v="6.475268313596779E-5"/>
    <n v="4.0931972293503771E-5"/>
    <n v="5.6556713964439871E-3"/>
    <n v="3.1591066818206356E-3"/>
    <m/>
    <m/>
  </r>
  <r>
    <x v="0"/>
    <x v="0"/>
    <x v="1"/>
    <x v="3"/>
    <s v="Xcel"/>
    <x v="4"/>
    <x v="2"/>
    <m/>
    <s v="biz ed"/>
    <s v="Cost only"/>
    <x v="4"/>
    <n v="0"/>
    <n v="0"/>
    <n v="25000"/>
    <m/>
    <n v="219489723"/>
    <n v="45049322"/>
    <n v="36107"/>
    <n v="526109473"/>
    <n v="80336233"/>
    <n v="474354"/>
    <n v="0"/>
    <n v="0"/>
    <n v="4.7518627363700786E-5"/>
    <n v="3.0037846224721705E-5"/>
    <n v="4.1504031734845943E-3"/>
    <n v="2.3183041373034284E-3"/>
    <m/>
    <m/>
  </r>
  <r>
    <x v="0"/>
    <x v="0"/>
    <x v="1"/>
    <x v="3"/>
    <s v="Xcel"/>
    <x v="4"/>
    <x v="2"/>
    <m/>
    <s v="small biz lamp recycle"/>
    <s v="Cost only"/>
    <x v="4"/>
    <n v="0"/>
    <n v="0"/>
    <n v="0"/>
    <m/>
    <n v="219489723"/>
    <n v="45049322"/>
    <n v="3610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0"/>
    <m/>
    <s v="NH"/>
    <m/>
    <x v="2"/>
    <n v="511618.24"/>
    <n v="511618.24"/>
    <n v="1665465"/>
    <n v="984954"/>
    <n v="306619750"/>
    <n v="35286911"/>
    <n v="438247"/>
    <n v="526109473"/>
    <n v="80336233"/>
    <n v="474354"/>
    <n v="6.1471640075531052E-4"/>
    <n v="6.1471640075531052E-4"/>
    <n v="3.1656244288914373E-3"/>
    <n v="2.0010792625062453E-3"/>
    <n v="0.3606123215472804"/>
    <n v="0.15444217600136215"/>
    <m/>
    <m/>
  </r>
  <r>
    <x v="0"/>
    <x v="0"/>
    <x v="1"/>
    <x v="3"/>
    <s v="Xcel"/>
    <x v="4"/>
    <x v="0"/>
    <m/>
    <s v="showerheads"/>
    <m/>
    <x v="2"/>
    <n v="277451.15999999997"/>
    <n v="277451.15999999997"/>
    <n v="275777"/>
    <n v="90086"/>
    <n v="306619750"/>
    <n v="35286911"/>
    <n v="438247"/>
    <n v="526109473"/>
    <n v="80336233"/>
    <n v="474354"/>
    <n v="3.3336141115802631E-4"/>
    <n v="3.3336141115802631E-4"/>
    <n v="5.2418177993917247E-4"/>
    <n v="3.3134988473260309E-4"/>
    <n v="5.9712203017982579E-2"/>
    <n v="2.55733984029251E-2"/>
    <m/>
    <m/>
  </r>
  <r>
    <x v="0"/>
    <x v="0"/>
    <x v="1"/>
    <x v="3"/>
    <s v="Xcel"/>
    <x v="4"/>
    <x v="0"/>
    <m/>
    <s v="ee insights"/>
    <m/>
    <x v="2"/>
    <n v="473224.07999999996"/>
    <n v="473224.07999999996"/>
    <n v="170920"/>
    <n v="0"/>
    <n v="306619750"/>
    <n v="35286911"/>
    <n v="438247"/>
    <n v="526109473"/>
    <n v="80336233"/>
    <n v="474354"/>
    <n v="5.6858528579501605E-4"/>
    <n v="5.6858528579501605E-4"/>
    <n v="3.2487535156014956E-4"/>
    <n v="2.0536274706917736E-4"/>
    <n v="3.7008197709865513E-2"/>
    <n v="1.5849781725916078E-2"/>
    <m/>
    <m/>
  </r>
  <r>
    <x v="0"/>
    <x v="0"/>
    <x v="1"/>
    <x v="3"/>
    <s v="Xcel"/>
    <x v="4"/>
    <x v="0"/>
    <m/>
    <s v="home energy squad"/>
    <m/>
    <x v="2"/>
    <n v="250546.24"/>
    <n v="250546.24"/>
    <n v="845700"/>
    <n v="78535"/>
    <n v="306619750"/>
    <n v="35286911"/>
    <n v="438247"/>
    <n v="526109473"/>
    <n v="80336233"/>
    <n v="474354"/>
    <n v="3.0103477717208872E-4"/>
    <n v="3.0103477717208872E-4"/>
    <n v="1.6074601264592701E-3"/>
    <n v="1.0161202620898859E-3"/>
    <n v="0.18311392934257703"/>
    <n v="7.8423592356700364E-2"/>
    <m/>
    <m/>
  </r>
  <r>
    <x v="0"/>
    <x v="0"/>
    <x v="1"/>
    <x v="3"/>
    <s v="Xcel"/>
    <x v="4"/>
    <x v="0"/>
    <m/>
    <s v="lighting"/>
    <s v="Cost only"/>
    <x v="4"/>
    <n v="0"/>
    <n v="0"/>
    <n v="0"/>
    <n v="0"/>
    <n v="306619750"/>
    <n v="35286911"/>
    <n v="43824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0"/>
    <m/>
    <s v="insulation"/>
    <m/>
    <x v="2"/>
    <n v="203978.03999999998"/>
    <n v="203978.03999999998"/>
    <n v="249954"/>
    <n v="204486"/>
    <n v="306619750"/>
    <n v="35286911"/>
    <n v="438247"/>
    <n v="526109473"/>
    <n v="80336233"/>
    <n v="474354"/>
    <n v="2.4508243994960532E-4"/>
    <n v="2.4508243994960532E-4"/>
    <n v="4.7509883936265867E-4"/>
    <n v="3.0032319261016357E-4"/>
    <n v="5.4120916512823102E-2"/>
    <n v="2.3178775693421642E-2"/>
    <m/>
    <m/>
  </r>
  <r>
    <x v="0"/>
    <x v="0"/>
    <x v="1"/>
    <x v="3"/>
    <s v="Xcel"/>
    <x v="4"/>
    <x v="0"/>
    <m/>
    <s v="recycling"/>
    <s v="Cost only"/>
    <x v="4"/>
    <n v="0"/>
    <n v="0"/>
    <n v="0"/>
    <n v="0"/>
    <n v="306619750"/>
    <n v="35286911"/>
    <n v="43824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0"/>
    <m/>
    <s v="DR"/>
    <m/>
    <x v="2"/>
    <n v="310789.63999999996"/>
    <n v="310789.63999999996"/>
    <n v="317978"/>
    <m/>
    <n v="306619750"/>
    <n v="35286911"/>
    <n v="438247"/>
    <n v="526109473"/>
    <n v="80336233"/>
    <n v="474354"/>
    <n v="3.7341805658226463E-4"/>
    <n v="3.7341805658226463E-4"/>
    <n v="6.0439512367419391E-4"/>
    <n v="3.8205497067378234E-4"/>
    <n v="6.8849711510575812E-2"/>
    <n v="2.9486788518858779E-2"/>
    <m/>
    <m/>
  </r>
  <r>
    <x v="0"/>
    <x v="0"/>
    <x v="1"/>
    <x v="3"/>
    <s v="Xcel"/>
    <x v="4"/>
    <x v="0"/>
    <m/>
    <s v="HVAC"/>
    <m/>
    <x v="2"/>
    <n v="1441987.68"/>
    <n v="1441987.68"/>
    <n v="3213516"/>
    <m/>
    <n v="306619750"/>
    <n v="35286911"/>
    <n v="438247"/>
    <n v="526109473"/>
    <n v="80336233"/>
    <n v="474354"/>
    <n v="1.7325681675913283E-3"/>
    <n v="1.7325681675913283E-3"/>
    <n v="6.1080747732516118E-3"/>
    <n v="3.8610839779473121E-3"/>
    <n v="0.69580175211687456"/>
    <n v="0.29799629752363055"/>
    <m/>
    <m/>
  </r>
  <r>
    <x v="0"/>
    <x v="0"/>
    <x v="1"/>
    <x v="3"/>
    <s v="Xcel"/>
    <x v="4"/>
    <x v="0"/>
    <m/>
    <s v="school kits"/>
    <m/>
    <x v="13"/>
    <n v="1032550.12"/>
    <n v="1032550.12"/>
    <n v="557198"/>
    <n v="85034"/>
    <n v="306619750"/>
    <n v="35286911"/>
    <n v="438247"/>
    <n v="526109473"/>
    <n v="80336233"/>
    <n v="474354"/>
    <n v="1.2406232689551177E-3"/>
    <n v="1.2406232689551177E-3"/>
    <n v="1.059091365191974E-3"/>
    <n v="6.6948111362889946E-4"/>
    <n v="0.12064646470595393"/>
    <n v="5.1670177147887825E-2"/>
    <m/>
    <m/>
  </r>
  <r>
    <x v="0"/>
    <x v="0"/>
    <x v="1"/>
    <x v="3"/>
    <s v="Xcel"/>
    <x v="4"/>
    <x v="0"/>
    <m/>
    <s v="whole home"/>
    <m/>
    <x v="2"/>
    <n v="36001"/>
    <n v="36001"/>
    <n v="131340"/>
    <n v="38902"/>
    <n v="306619750"/>
    <n v="35286911"/>
    <n v="438247"/>
    <n v="526109473"/>
    <n v="80336233"/>
    <n v="474354"/>
    <n v="4.3255700077448241E-5"/>
    <n v="4.3255700077448241E-5"/>
    <n v="2.4964386071793846E-4"/>
    <n v="1.5780682892619795E-4"/>
    <n v="2.8438197327485003E-2"/>
    <n v="1.217944261573729E-2"/>
    <m/>
    <m/>
  </r>
  <r>
    <x v="0"/>
    <x v="0"/>
    <x v="1"/>
    <x v="3"/>
    <s v="Xcel"/>
    <x v="4"/>
    <x v="0"/>
    <m/>
    <s v="consumer eduction"/>
    <s v="Cost only"/>
    <x v="4"/>
    <m/>
    <n v="0"/>
    <n v="522000"/>
    <m/>
    <n v="306619750"/>
    <n v="35286911"/>
    <n v="438247"/>
    <n v="526109473"/>
    <n v="80336233"/>
    <n v="474354"/>
    <n v="0"/>
    <n v="0"/>
    <n v="9.9218893935407236E-4"/>
    <n v="6.2719022917218916E-4"/>
    <n v="0.11302527032851509"/>
    <n v="4.840619038689558E-2"/>
    <m/>
    <m/>
  </r>
  <r>
    <x v="0"/>
    <x v="0"/>
    <x v="1"/>
    <x v="3"/>
    <s v="Xcel"/>
    <x v="4"/>
    <x v="0"/>
    <m/>
    <s v="audits"/>
    <s v="Cost only"/>
    <x v="4"/>
    <m/>
    <n v="0"/>
    <n v="606040"/>
    <m/>
    <n v="306619750"/>
    <n v="35286911"/>
    <n v="438247"/>
    <n v="526109473"/>
    <n v="80336233"/>
    <n v="474354"/>
    <n v="0"/>
    <n v="0"/>
    <n v="1.1519275570998891E-3"/>
    <n v="7.2816545304121372E-4"/>
    <n v="0.13122190580439327"/>
    <n v="5.6199401574854785E-2"/>
    <m/>
    <m/>
  </r>
  <r>
    <x v="0"/>
    <x v="0"/>
    <x v="1"/>
    <x v="3"/>
    <s v="Xcel"/>
    <x v="4"/>
    <x v="0"/>
    <m/>
    <s v="lamp recycling"/>
    <s v="Cost only"/>
    <x v="4"/>
    <n v="0"/>
    <n v="0"/>
    <n v="0"/>
    <m/>
    <n v="306619750"/>
    <n v="35286911"/>
    <n v="438247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1"/>
    <n v="1"/>
    <s v="HES"/>
    <m/>
    <x v="3"/>
    <n v="73587.08"/>
    <n v="73587.08"/>
    <n v="1528377"/>
    <n v="1251199"/>
    <n v="0"/>
    <n v="0"/>
    <n v="0"/>
    <n v="526109473"/>
    <n v="80336233"/>
    <n v="474354"/>
    <n v="8.8415895726651772E-5"/>
    <n v="8.8415895726651772E-5"/>
    <n v="2.9050550853700367E-3"/>
    <n v="1.8363661319760595E-3"/>
    <n v="10.778602867811605"/>
    <n v="0.14172970889837608"/>
    <m/>
    <m/>
  </r>
  <r>
    <x v="0"/>
    <x v="0"/>
    <x v="1"/>
    <x v="3"/>
    <s v="Xcel"/>
    <x v="4"/>
    <x v="1"/>
    <n v="1"/>
    <s v="Home Energy Squad"/>
    <m/>
    <x v="3"/>
    <n v="68210.239999999991"/>
    <n v="68210.239999999991"/>
    <n v="393848"/>
    <n v="35909"/>
    <n v="0"/>
    <n v="0"/>
    <n v="0"/>
    <n v="526109473"/>
    <n v="80336233"/>
    <n v="474354"/>
    <n v="8.1955548002854436E-5"/>
    <n v="8.1955548002854436E-5"/>
    <n v="7.486046539975531E-4"/>
    <n v="4.7321382639656771E-4"/>
    <n v="2.7775419168712072"/>
    <n v="3.6522377914747224E-2"/>
    <m/>
    <m/>
  </r>
  <r>
    <x v="0"/>
    <x v="0"/>
    <x v="1"/>
    <x v="3"/>
    <s v="Xcel"/>
    <x v="4"/>
    <x v="1"/>
    <n v="1"/>
    <s v="MF"/>
    <s v="Cost only"/>
    <x v="4"/>
    <n v="0"/>
    <m/>
    <n v="0"/>
    <m/>
    <n v="0"/>
    <n v="0"/>
    <n v="0"/>
    <n v="526109473"/>
    <n v="80336233"/>
    <n v="474354"/>
    <n v="0"/>
    <n v="0"/>
    <n v="0"/>
    <n v="0"/>
    <n v="0"/>
    <n v="0"/>
    <m/>
    <m/>
  </r>
  <r>
    <x v="0"/>
    <x v="0"/>
    <x v="1"/>
    <x v="3"/>
    <s v="Xcel"/>
    <x v="4"/>
    <x v="3"/>
    <m/>
    <s v="advert"/>
    <s v="Cost only"/>
    <x v="4"/>
    <m/>
    <m/>
    <n v="1584264"/>
    <m/>
    <n v="0"/>
    <n v="0"/>
    <n v="0"/>
    <n v="526109473"/>
    <n v="80336233"/>
    <n v="474354"/>
    <n v="0"/>
    <n v="0"/>
    <n v="3.0112820264690423E-3"/>
    <n v="1.9035151364545004E-3"/>
    <s v=""/>
    <n v="0.14691223143123514"/>
    <m/>
    <m/>
  </r>
  <r>
    <x v="0"/>
    <x v="0"/>
    <x v="1"/>
    <x v="3"/>
    <s v="Xcel"/>
    <x v="4"/>
    <x v="3"/>
    <m/>
    <s v="app develop"/>
    <s v="Cost only"/>
    <x v="4"/>
    <m/>
    <m/>
    <n v="802781"/>
    <m/>
    <n v="0"/>
    <n v="0"/>
    <n v="0"/>
    <n v="526109473"/>
    <n v="80336233"/>
    <n v="474354"/>
    <n v="0"/>
    <n v="0"/>
    <n v="1.5258820477463632E-3"/>
    <n v="9.6455248920513271E-4"/>
    <s v=""/>
    <n v="7.4443620545943334E-2"/>
    <m/>
    <m/>
  </r>
  <r>
    <x v="0"/>
    <x v="0"/>
    <x v="1"/>
    <x v="3"/>
    <s v="Xcel"/>
    <x v="4"/>
    <x v="3"/>
    <m/>
    <s v="CIP train"/>
    <s v="Cost only"/>
    <x v="4"/>
    <m/>
    <m/>
    <n v="115277"/>
    <m/>
    <n v="0"/>
    <n v="0"/>
    <n v="0"/>
    <n v="526109473"/>
    <n v="80336233"/>
    <n v="474354"/>
    <n v="0"/>
    <n v="0"/>
    <n v="2.1911219226421343E-4"/>
    <n v="1.3850691196988976E-4"/>
    <s v=""/>
    <n v="1.0689885841437092E-2"/>
    <m/>
    <m/>
  </r>
  <r>
    <x v="0"/>
    <x v="0"/>
    <x v="1"/>
    <x v="3"/>
    <s v="Xcel"/>
    <x v="4"/>
    <x v="3"/>
    <m/>
    <s v="partners"/>
    <s v="Cost only"/>
    <x v="4"/>
    <m/>
    <m/>
    <n v="236412"/>
    <m/>
    <n v="0"/>
    <n v="0"/>
    <n v="0"/>
    <n v="526109473"/>
    <n v="80336233"/>
    <n v="474354"/>
    <n v="0"/>
    <n v="0"/>
    <n v="4.4935894929228922E-4"/>
    <n v="2.8405229206715629E-4"/>
    <s v=""/>
    <n v="2.1922996708327123E-2"/>
    <m/>
    <m/>
  </r>
  <r>
    <x v="0"/>
    <x v="0"/>
    <x v="1"/>
    <x v="3"/>
    <s v="Xcel"/>
    <x v="4"/>
    <x v="3"/>
    <m/>
    <s v="regulatory"/>
    <s v="Cost only"/>
    <x v="4"/>
    <m/>
    <m/>
    <n v="154967"/>
    <m/>
    <n v="0"/>
    <n v="0"/>
    <n v="0"/>
    <n v="526109473"/>
    <n v="80336233"/>
    <n v="474354"/>
    <n v="0"/>
    <n v="0"/>
    <n v="2.9455276506682479E-4"/>
    <n v="1.8619499663625794E-4"/>
    <s v=""/>
    <n v="1.4370425489820014E-2"/>
    <m/>
    <m/>
  </r>
  <r>
    <x v="0"/>
    <x v="0"/>
    <x v="1"/>
    <x v="3"/>
    <s v="Xcel"/>
    <x v="4"/>
    <x v="3"/>
    <m/>
    <s v="C&amp;S"/>
    <s v="Cost only"/>
    <x v="4"/>
    <m/>
    <m/>
    <n v="20000"/>
    <m/>
    <n v="0"/>
    <n v="0"/>
    <n v="0"/>
    <n v="526109473"/>
    <n v="80336233"/>
    <n v="474354"/>
    <n v="0"/>
    <n v="0"/>
    <n v="3.8014901890960628E-5"/>
    <n v="2.4030276979777366E-5"/>
    <s v=""/>
    <n v="1.8546433098427426E-3"/>
    <m/>
    <m/>
  </r>
  <r>
    <x v="0"/>
    <x v="0"/>
    <x v="1"/>
    <x v="3"/>
    <s v="Xcel"/>
    <x v="4"/>
    <x v="3"/>
    <m/>
    <s v="market research"/>
    <s v="Cost only"/>
    <x v="4"/>
    <m/>
    <m/>
    <n v="331560"/>
    <m/>
    <n v="0"/>
    <n v="0"/>
    <n v="0"/>
    <n v="526109473"/>
    <n v="80336233"/>
    <n v="474354"/>
    <n v="0"/>
    <n v="0"/>
    <n v="6.3021104354834526E-4"/>
    <n v="3.983739317707492E-4"/>
    <s v=""/>
    <n v="3.0746276790572985E-2"/>
    <m/>
    <m/>
  </r>
  <r>
    <x v="0"/>
    <x v="0"/>
    <x v="1"/>
    <x v="3"/>
    <s v="Xcel"/>
    <x v="4"/>
    <x v="3"/>
    <m/>
    <s v="prod dev"/>
    <s v="Cost only"/>
    <x v="4"/>
    <m/>
    <m/>
    <n v="150061"/>
    <m/>
    <n v="0"/>
    <n v="0"/>
    <n v="0"/>
    <n v="526109473"/>
    <n v="80336233"/>
    <n v="474354"/>
    <n v="0"/>
    <n v="0"/>
    <n v="2.8522770963297216E-4"/>
    <n v="1.8030036969311856E-4"/>
    <s v=""/>
    <n v="1.3915481485915589E-2"/>
    <m/>
    <m/>
  </r>
  <r>
    <x v="0"/>
    <x v="0"/>
    <x v="1"/>
    <x v="3"/>
    <s v="Xcel"/>
    <x v="4"/>
    <x v="0"/>
    <m/>
    <s v="energchanged"/>
    <s v="Cost only"/>
    <x v="4"/>
    <m/>
    <n v="0"/>
    <n v="46500"/>
    <m/>
    <n v="306619750"/>
    <n v="35286911"/>
    <n v="438247"/>
    <n v="526109473"/>
    <n v="80336233"/>
    <n v="474354"/>
    <n v="0"/>
    <n v="0"/>
    <n v="8.8384646896483469E-5"/>
    <n v="5.5870393977982371E-5"/>
    <n v="1.0068343046505654E-2"/>
    <n v="4.3120456953843764E-3"/>
    <m/>
    <m/>
  </r>
  <r>
    <x v="0"/>
    <x v="0"/>
    <x v="1"/>
    <x v="3"/>
    <s v="Xcel"/>
    <x v="4"/>
    <x v="0"/>
    <m/>
    <s v="energy smart"/>
    <s v="Cost only"/>
    <x v="4"/>
    <m/>
    <n v="0"/>
    <n v="24929"/>
    <m/>
    <n v="306619750"/>
    <n v="35286911"/>
    <n v="438247"/>
    <n v="526109473"/>
    <n v="80336233"/>
    <n v="474354"/>
    <n v="0"/>
    <n v="0"/>
    <n v="4.7383674461987877E-5"/>
    <n v="2.9952538741443493E-5"/>
    <n v="5.3977144904589127E-3"/>
    <n v="2.3117201535534865E-3"/>
    <m/>
    <m/>
  </r>
  <r>
    <x v="0"/>
    <x v="0"/>
    <x v="1"/>
    <x v="3"/>
    <s v="Xcel"/>
    <x v="4"/>
    <x v="0"/>
    <m/>
    <s v="1stop shop"/>
    <m/>
    <x v="2"/>
    <n v="80290"/>
    <n v="80290"/>
    <n v="100915"/>
    <m/>
    <n v="306619750"/>
    <n v="35286911"/>
    <n v="438247"/>
    <n v="526109473"/>
    <n v="80336233"/>
    <n v="474354"/>
    <n v="9.6469546935316224E-5"/>
    <n v="9.6469546935316224E-5"/>
    <n v="1.9181369121631459E-4"/>
    <n v="1.2125077007071164E-4"/>
    <n v="2.1850469645981033E-2"/>
    <n v="9.3580664806390181E-3"/>
    <m/>
    <m/>
  </r>
  <r>
    <x v="0"/>
    <x v="0"/>
    <x v="1"/>
    <x v="3"/>
    <s v="Xcel"/>
    <x v="4"/>
    <x v="0"/>
    <m/>
    <s v="trillion btu"/>
    <s v="Cost only"/>
    <x v="4"/>
    <m/>
    <n v="0"/>
    <n v="20040"/>
    <m/>
    <n v="306619750"/>
    <n v="35286911"/>
    <n v="438247"/>
    <n v="526109473"/>
    <n v="80336233"/>
    <n v="474354"/>
    <n v="0"/>
    <n v="0"/>
    <n v="3.8090931694742552E-5"/>
    <n v="2.4078337533736921E-5"/>
    <n v="4.3391310677843723E-3"/>
    <n v="1.858352596462428E-3"/>
    <m/>
    <m/>
  </r>
  <r>
    <x v="0"/>
    <x v="0"/>
    <x v="1"/>
    <x v="3"/>
    <s v="Xcel"/>
    <x v="4"/>
    <x v="3"/>
    <m/>
    <s v="assessments"/>
    <s v="Cost only"/>
    <x v="4"/>
    <m/>
    <m/>
    <n v="345600"/>
    <m/>
    <n v="0"/>
    <n v="0"/>
    <n v="0"/>
    <n v="526109473"/>
    <n v="80336233"/>
    <n v="474354"/>
    <n v="0"/>
    <n v="0"/>
    <n v="6.5689750467579967E-4"/>
    <n v="4.1524318621055282E-4"/>
    <s v=""/>
    <n v="3.2048236394082594E-2"/>
    <m/>
    <m/>
  </r>
  <r>
    <x v="0"/>
    <x v="0"/>
    <x v="1"/>
    <x v="3"/>
    <s v="Xcel"/>
    <x v="4"/>
    <x v="3"/>
    <m/>
    <s v="infrastructure"/>
    <s v="Cost only"/>
    <x v="4"/>
    <n v="0"/>
    <m/>
    <n v="0"/>
    <m/>
    <n v="0"/>
    <n v="0"/>
    <n v="0"/>
    <n v="526109473"/>
    <n v="80336233"/>
    <n v="474354"/>
    <n v="0"/>
    <n v="0"/>
    <n v="0"/>
    <n v="0"/>
    <s v=""/>
    <n v="0"/>
    <m/>
    <m/>
  </r>
  <r>
    <x v="0"/>
    <x v="0"/>
    <x v="1"/>
    <x v="4"/>
    <s v="Eversource"/>
    <x v="5"/>
    <x v="0"/>
    <m/>
    <s v="NH"/>
    <m/>
    <x v="0"/>
    <n v="228188.96000000002"/>
    <n v="253543.2888888889"/>
    <n v="317701"/>
    <n v="244601"/>
    <n v="287812625"/>
    <n v="15853849"/>
    <n v="219542"/>
    <n v="592601359"/>
    <n v="54590052"/>
    <n v="248834"/>
    <m/>
    <n v="4.4831044369201986E-4"/>
    <m/>
    <m/>
    <n v="0.14056853328466559"/>
    <n v="4.8447993467626779E-2"/>
    <m/>
    <m/>
  </r>
  <r>
    <x v="0"/>
    <x v="0"/>
    <x v="1"/>
    <x v="4"/>
    <s v="Eversource"/>
    <x v="5"/>
    <x v="0"/>
    <m/>
    <s v="HES"/>
    <m/>
    <x v="2"/>
    <n v="587902.16"/>
    <n v="653224.62222222227"/>
    <n v="3266170"/>
    <n v="2393817"/>
    <n v="287812625"/>
    <n v="15853849"/>
    <n v="219542"/>
    <n v="592601359"/>
    <n v="54590052"/>
    <n v="248834"/>
    <m/>
    <n v="1.1550194110928804E-3"/>
    <m/>
    <m/>
    <n v="1.4451346591870224"/>
    <n v="0.49807643924368683"/>
    <m/>
    <m/>
  </r>
  <r>
    <x v="0"/>
    <x v="0"/>
    <x v="1"/>
    <x v="4"/>
    <s v="Eversource"/>
    <x v="5"/>
    <x v="0"/>
    <m/>
    <s v="HVAC"/>
    <m/>
    <x v="2"/>
    <n v="1063092.96"/>
    <n v="1181214.3999999999"/>
    <n v="3041653"/>
    <n v="2538713"/>
    <n v="287812625"/>
    <n v="15853849"/>
    <n v="219542"/>
    <n v="592601359"/>
    <n v="54590052"/>
    <n v="248834"/>
    <m/>
    <n v="2.0886009410072365E-3"/>
    <m/>
    <m/>
    <n v="1.3457958929021405"/>
    <n v="0.46383859249667891"/>
    <m/>
    <m/>
  </r>
  <r>
    <x v="0"/>
    <x v="0"/>
    <x v="1"/>
    <x v="4"/>
    <s v="Eversource"/>
    <x v="5"/>
    <x v="1"/>
    <n v="1"/>
    <s v="HES-iQ"/>
    <m/>
    <x v="3"/>
    <n v="779248.72000000009"/>
    <n v="865831.91111111117"/>
    <n v="5046221"/>
    <n v="4114002"/>
    <n v="0"/>
    <n v="0"/>
    <n v="0"/>
    <n v="592601359"/>
    <n v="54590052"/>
    <n v="248834"/>
    <m/>
    <n v="1.5309475945270907E-3"/>
    <m/>
    <m/>
    <n v="6.4757514134896486"/>
    <n v="0.76952632205816496"/>
    <m/>
    <m/>
  </r>
  <r>
    <x v="0"/>
    <x v="0"/>
    <x v="1"/>
    <x v="4"/>
    <s v="Eversource"/>
    <x v="5"/>
    <x v="0"/>
    <m/>
    <s v="Behavior"/>
    <m/>
    <x v="2"/>
    <n v="380930.56000000006"/>
    <n v="423256.17777777783"/>
    <n v="10000"/>
    <n v="0"/>
    <n v="287812625"/>
    <n v="15853849"/>
    <n v="219542"/>
    <n v="592601359"/>
    <n v="54590052"/>
    <n v="248834"/>
    <m/>
    <n v="7.4839356106206722E-4"/>
    <m/>
    <m/>
    <n v="4.424554322607281E-3"/>
    <n v="1.5249556491048746E-3"/>
    <m/>
    <m/>
  </r>
  <r>
    <x v="0"/>
    <x v="0"/>
    <x v="1"/>
    <x v="4"/>
    <s v="Eversource"/>
    <x v="5"/>
    <x v="2"/>
    <m/>
    <s v="Conscious blueprint"/>
    <m/>
    <x v="2"/>
    <n v="1032994.8"/>
    <n v="1147772"/>
    <n v="4160543"/>
    <n v="3337281"/>
    <n v="304788734"/>
    <n v="38736203"/>
    <n v="29292"/>
    <n v="592601359"/>
    <n v="54590052"/>
    <n v="248834"/>
    <m/>
    <n v="2.0294687224112389E-3"/>
    <m/>
    <m/>
    <n v="1.1825756911679148"/>
    <n v="0.63446435511937427"/>
    <m/>
    <m/>
  </r>
  <r>
    <x v="0"/>
    <x v="0"/>
    <x v="1"/>
    <x v="4"/>
    <s v="Eversource"/>
    <x v="5"/>
    <x v="2"/>
    <m/>
    <s v="energy opps"/>
    <m/>
    <x v="14"/>
    <n v="1331408.7200000002"/>
    <n v="1479343.0222222225"/>
    <n v="3825065"/>
    <n v="2935428"/>
    <n v="304788734"/>
    <n v="38736203"/>
    <n v="29292"/>
    <n v="592601359"/>
    <n v="54590052"/>
    <n v="248834"/>
    <m/>
    <n v="2.6157463270730726E-3"/>
    <m/>
    <m/>
    <n v="1.087220799337298"/>
    <n v="0.5833054479943337"/>
    <m/>
    <m/>
  </r>
  <r>
    <x v="0"/>
    <x v="0"/>
    <x v="1"/>
    <x v="4"/>
    <s v="Eversource"/>
    <x v="5"/>
    <x v="2"/>
    <m/>
    <s v="O&amp;M, Rcx, SEM, CSP"/>
    <m/>
    <x v="10"/>
    <n v="896917.28"/>
    <n v="996574.75555555557"/>
    <n v="708372"/>
    <n v="489832"/>
    <n v="304788734"/>
    <n v="38736203"/>
    <n v="29292"/>
    <n v="592601359"/>
    <n v="54590052"/>
    <n v="248834"/>
    <m/>
    <n v="1.7621246170359845E-3"/>
    <m/>
    <m/>
    <n v="0.20134475415925232"/>
    <n v="0.10802358830677183"/>
    <m/>
    <m/>
  </r>
  <r>
    <x v="0"/>
    <x v="0"/>
    <x v="1"/>
    <x v="4"/>
    <s v="Eversource"/>
    <x v="5"/>
    <x v="2"/>
    <m/>
    <s v="Small Biz"/>
    <m/>
    <x v="2"/>
    <n v="256883.6"/>
    <n v="285426.22222222225"/>
    <n v="733133"/>
    <n v="602044"/>
    <n v="304788734"/>
    <n v="38736203"/>
    <n v="29292"/>
    <n v="592601359"/>
    <n v="54590052"/>
    <n v="248834"/>
    <m/>
    <n v="5.046852428496249E-4"/>
    <m/>
    <m/>
    <n v="0.20838271932125371"/>
    <n v="0.1117995309895204"/>
    <m/>
    <m/>
  </r>
  <r>
    <x v="0"/>
    <x v="0"/>
    <x v="1"/>
    <x v="4"/>
    <s v="Eversource"/>
    <x v="5"/>
    <x v="0"/>
    <m/>
    <s v="Res DR"/>
    <m/>
    <x v="4"/>
    <m/>
    <n v="0"/>
    <n v="0"/>
    <n v="0"/>
    <n v="287812625"/>
    <n v="15853849"/>
    <n v="219542"/>
    <n v="592601359"/>
    <n v="54590052"/>
    <n v="248834"/>
    <m/>
    <n v="0"/>
    <m/>
    <m/>
    <n v="0"/>
    <n v="0"/>
    <m/>
    <m/>
  </r>
  <r>
    <x v="0"/>
    <x v="0"/>
    <x v="1"/>
    <x v="4"/>
    <s v="Eversource"/>
    <x v="5"/>
    <x v="2"/>
    <m/>
    <s v="C&amp;I DR"/>
    <m/>
    <x v="4"/>
    <m/>
    <n v="0"/>
    <n v="0"/>
    <n v="0"/>
    <n v="304788734"/>
    <n v="38736203"/>
    <n v="29292"/>
    <n v="592601359"/>
    <n v="54590052"/>
    <n v="248834"/>
    <m/>
    <n v="0"/>
    <m/>
    <m/>
    <n v="0"/>
    <n v="0"/>
    <m/>
    <m/>
  </r>
  <r>
    <x v="0"/>
    <x v="0"/>
    <x v="1"/>
    <x v="4"/>
    <s v="Eversource"/>
    <x v="5"/>
    <x v="3"/>
    <m/>
    <s v="Education"/>
    <m/>
    <x v="4"/>
    <m/>
    <m/>
    <n v="72667"/>
    <n v="0"/>
    <n v="0"/>
    <n v="0"/>
    <n v="0"/>
    <n v="592601359"/>
    <n v="54590052"/>
    <n v="248834"/>
    <m/>
    <n v="0"/>
    <m/>
    <m/>
    <s v=""/>
    <n v="1.1081395215350393E-2"/>
    <m/>
    <m/>
  </r>
  <r>
    <x v="0"/>
    <x v="0"/>
    <x v="1"/>
    <x v="4"/>
    <s v="Eversource"/>
    <x v="5"/>
    <x v="3"/>
    <m/>
    <s v="workforce"/>
    <m/>
    <x v="4"/>
    <m/>
    <m/>
    <n v="82667"/>
    <n v="0"/>
    <n v="0"/>
    <n v="0"/>
    <n v="0"/>
    <n v="592601359"/>
    <n v="54590052"/>
    <n v="248834"/>
    <m/>
    <n v="0"/>
    <m/>
    <m/>
    <s v=""/>
    <n v="1.2606350864455267E-2"/>
    <m/>
    <m/>
  </r>
  <r>
    <x v="0"/>
    <x v="0"/>
    <x v="1"/>
    <x v="4"/>
    <s v="Eversource"/>
    <x v="5"/>
    <x v="3"/>
    <m/>
    <s v="community outreach"/>
    <m/>
    <x v="4"/>
    <m/>
    <m/>
    <n v="80000"/>
    <n v="0"/>
    <n v="0"/>
    <n v="0"/>
    <n v="0"/>
    <n v="592601359"/>
    <n v="54590052"/>
    <n v="248834"/>
    <m/>
    <n v="0"/>
    <m/>
    <m/>
    <s v=""/>
    <n v="1.2199645192838997E-2"/>
    <m/>
    <m/>
  </r>
  <r>
    <x v="0"/>
    <x v="0"/>
    <x v="1"/>
    <x v="4"/>
    <s v="Eversource"/>
    <x v="5"/>
    <x v="3"/>
    <m/>
    <s v="engagement"/>
    <m/>
    <x v="4"/>
    <m/>
    <m/>
    <n v="50000"/>
    <n v="0"/>
    <n v="0"/>
    <n v="0"/>
    <n v="0"/>
    <n v="592601359"/>
    <n v="54590052"/>
    <n v="248834"/>
    <m/>
    <n v="0"/>
    <m/>
    <m/>
    <s v=""/>
    <n v="7.624778245524373E-3"/>
    <m/>
    <m/>
  </r>
  <r>
    <x v="0"/>
    <x v="0"/>
    <x v="1"/>
    <x v="4"/>
    <s v="Eversource"/>
    <x v="5"/>
    <x v="3"/>
    <m/>
    <s v="loan"/>
    <m/>
    <x v="4"/>
    <m/>
    <m/>
    <n v="84523"/>
    <n v="0"/>
    <n v="0"/>
    <n v="0"/>
    <n v="0"/>
    <n v="592601359"/>
    <n v="54590052"/>
    <n v="248834"/>
    <m/>
    <n v="0"/>
    <m/>
    <m/>
    <s v=""/>
    <n v="1.2889382632929132E-2"/>
    <m/>
    <m/>
  </r>
  <r>
    <x v="0"/>
    <x v="0"/>
    <x v="1"/>
    <x v="4"/>
    <s v="Eversource"/>
    <x v="5"/>
    <x v="3"/>
    <m/>
    <s v="financing"/>
    <m/>
    <x v="4"/>
    <m/>
    <m/>
    <n v="93905"/>
    <n v="0"/>
    <n v="0"/>
    <n v="0"/>
    <n v="0"/>
    <n v="592601359"/>
    <n v="54590052"/>
    <n v="248834"/>
    <m/>
    <n v="0"/>
    <m/>
    <m/>
    <s v=""/>
    <n v="1.4320096022919325E-2"/>
    <m/>
    <m/>
  </r>
  <r>
    <x v="0"/>
    <x v="0"/>
    <x v="1"/>
    <x v="4"/>
    <s v="Eversource"/>
    <x v="5"/>
    <x v="3"/>
    <m/>
    <s v="R&amp;D"/>
    <m/>
    <x v="4"/>
    <m/>
    <m/>
    <n v="50000"/>
    <n v="0"/>
    <n v="0"/>
    <n v="0"/>
    <n v="0"/>
    <n v="592601359"/>
    <n v="54590052"/>
    <n v="248834"/>
    <m/>
    <n v="0"/>
    <m/>
    <m/>
    <s v=""/>
    <n v="7.624778245524373E-3"/>
    <m/>
    <m/>
  </r>
  <r>
    <x v="0"/>
    <x v="0"/>
    <x v="1"/>
    <x v="4"/>
    <s v="Eversource"/>
    <x v="5"/>
    <x v="3"/>
    <m/>
    <s v="Admin"/>
    <m/>
    <x v="4"/>
    <m/>
    <m/>
    <n v="1921734"/>
    <n v="0"/>
    <n v="0"/>
    <n v="0"/>
    <n v="0"/>
    <n v="592601359"/>
    <n v="54590052"/>
    <n v="248834"/>
    <m/>
    <n v="0"/>
    <m/>
    <m/>
    <s v=""/>
    <n v="0.29305591193769071"/>
    <m/>
    <m/>
  </r>
  <r>
    <x v="0"/>
    <x v="0"/>
    <x v="2"/>
    <x v="4"/>
    <s v="Eversource"/>
    <x v="5"/>
    <x v="0"/>
    <m/>
    <s v="NH"/>
    <m/>
    <x v="0"/>
    <n v="61950.720000000001"/>
    <n v="68834.133333333331"/>
    <n v="127081"/>
    <n v="9490"/>
    <n v="287812625"/>
    <n v="15853849"/>
    <n v="219542"/>
    <n v="592601359"/>
    <n v="54590052"/>
    <n v="248834"/>
    <n v="1.0954009034098792E-4"/>
    <n v="1.2171121148998658E-4"/>
    <n v="2.1444601513308375E-4"/>
    <n v="2.2470221848306342E-4"/>
    <n v="5.9949964722827459E-2"/>
    <n v="1.9780574697069758E-2"/>
    <m/>
    <m/>
  </r>
  <r>
    <x v="0"/>
    <x v="0"/>
    <x v="2"/>
    <x v="4"/>
    <s v="Eversource"/>
    <x v="5"/>
    <x v="0"/>
    <m/>
    <s v="HES"/>
    <m/>
    <x v="6"/>
    <n v="630198.16"/>
    <n v="700220.17777777778"/>
    <n v="3744974"/>
    <n v="2895674"/>
    <n v="287812625"/>
    <n v="15853849"/>
    <n v="219542"/>
    <n v="592601359"/>
    <n v="54590052"/>
    <n v="248834"/>
    <n v="1.1143044564958142E-3"/>
    <n v="1.2381160627731268E-3"/>
    <n v="6.3195501379199499E-3"/>
    <n v="6.6217921322730532E-3"/>
    <n v="1.7666768375123429"/>
    <n v="0.58291749313889663"/>
    <m/>
    <m/>
  </r>
  <r>
    <x v="0"/>
    <x v="0"/>
    <x v="2"/>
    <x v="4"/>
    <s v="Eversource"/>
    <x v="5"/>
    <x v="0"/>
    <m/>
    <s v="HVAC"/>
    <m/>
    <x v="6"/>
    <n v="1063230.32"/>
    <n v="1181367.0222222223"/>
    <n v="3041653"/>
    <n v="2536272"/>
    <n v="287812625"/>
    <n v="15853849"/>
    <n v="219542"/>
    <n v="592601359"/>
    <n v="54590052"/>
    <n v="248834"/>
    <n v="1.8799837242582087E-3"/>
    <n v="2.0888708047313428E-3"/>
    <n v="5.1327135076651084E-3"/>
    <n v="5.378193254346954E-3"/>
    <n v="1.4348879065248332"/>
    <n v="0.47344327137075032"/>
    <m/>
    <m/>
  </r>
  <r>
    <x v="0"/>
    <x v="0"/>
    <x v="2"/>
    <x v="4"/>
    <s v="Eversource"/>
    <x v="5"/>
    <x v="1"/>
    <n v="1"/>
    <s v="HES-iQ"/>
    <m/>
    <x v="1"/>
    <n v="790154.56"/>
    <n v="877949.51111111115"/>
    <n v="5108945"/>
    <n v="4213633"/>
    <n v="0"/>
    <n v="0"/>
    <n v="0"/>
    <n v="592601359"/>
    <n v="54590052"/>
    <n v="248834"/>
    <n v="1.3971363349085137E-3"/>
    <n v="1.5523737054539042E-3"/>
    <n v="8.6212171511405537E-3"/>
    <n v="9.0335398337119972E-3"/>
    <n v="6.4657539912191355"/>
    <n v="0.79522405548997144"/>
    <m/>
    <m/>
  </r>
  <r>
    <x v="0"/>
    <x v="0"/>
    <x v="2"/>
    <x v="4"/>
    <s v="Eversource"/>
    <x v="5"/>
    <x v="0"/>
    <m/>
    <s v="Behavior"/>
    <m/>
    <x v="5"/>
    <n v="364405.2"/>
    <n v="404894.66666666669"/>
    <n v="10000"/>
    <n v="0"/>
    <n v="287812625"/>
    <n v="15853849"/>
    <n v="219542"/>
    <n v="592601359"/>
    <n v="54590052"/>
    <n v="248834"/>
    <n v="6.4433437623849683E-4"/>
    <n v="7.1592708470944106E-4"/>
    <n v="1.6874750366544468E-5"/>
    <n v="1.76818106942079E-5"/>
    <n v="4.7174608889470069E-3"/>
    <n v="1.5565328174211533E-3"/>
    <m/>
    <m/>
  </r>
  <r>
    <x v="0"/>
    <x v="0"/>
    <x v="2"/>
    <x v="4"/>
    <s v="Eversource"/>
    <x v="5"/>
    <x v="2"/>
    <m/>
    <s v="Conscious blueprint"/>
    <m/>
    <x v="6"/>
    <n v="1036178.56"/>
    <n v="1151309.5111111111"/>
    <n v="4160543"/>
    <n v="3391907"/>
    <n v="304788734"/>
    <n v="38736203"/>
    <n v="29292"/>
    <n v="592601359"/>
    <n v="54590052"/>
    <n v="248834"/>
    <n v="1.8321513143316943E-3"/>
    <n v="2.0357236825907714E-3"/>
    <n v="7.0208124514274019E-3"/>
    <n v="7.3565933711111815E-3"/>
    <n v="1.1837897218306994"/>
    <n v="0.64760217177918578"/>
    <m/>
    <m/>
  </r>
  <r>
    <x v="0"/>
    <x v="0"/>
    <x v="2"/>
    <x v="4"/>
    <s v="Eversource"/>
    <x v="5"/>
    <x v="2"/>
    <m/>
    <s v="energy opps"/>
    <m/>
    <x v="6"/>
    <n v="1318831.4400000002"/>
    <n v="1465368.2666666668"/>
    <n v="3827266"/>
    <n v="2881586"/>
    <n v="304788734"/>
    <n v="38736203"/>
    <n v="29292"/>
    <n v="592601359"/>
    <n v="54590052"/>
    <n v="248834"/>
    <n v="2.3319327859649608E-3"/>
    <n v="2.5910364288499561E-3"/>
    <n v="6.4584158336363183E-3"/>
    <n v="6.7672992888378287E-3"/>
    <n v="1.0889631842555392"/>
    <n v="0.59572651300001878"/>
    <m/>
    <m/>
  </r>
  <r>
    <x v="0"/>
    <x v="0"/>
    <x v="2"/>
    <x v="4"/>
    <s v="Eversource"/>
    <x v="5"/>
    <x v="2"/>
    <m/>
    <s v="O&amp;M, Rcx, SEM, CSP"/>
    <m/>
    <x v="14"/>
    <n v="899770.56"/>
    <n v="999745.06666666665"/>
    <n v="708372"/>
    <n v="487144"/>
    <n v="304788734"/>
    <n v="38736203"/>
    <n v="29292"/>
    <n v="592601359"/>
    <n v="54590052"/>
    <n v="248834"/>
    <n v="1.590957271014143E-3"/>
    <n v="1.7677303011268256E-3"/>
    <n v="1.1953600666649838E-3"/>
    <n v="1.2525299605077437E-3"/>
    <n v="0.20155145442137148"/>
    <n v="0.11026042649422572"/>
    <m/>
    <m/>
  </r>
  <r>
    <x v="0"/>
    <x v="0"/>
    <x v="2"/>
    <x v="4"/>
    <s v="Eversource"/>
    <x v="5"/>
    <x v="2"/>
    <m/>
    <s v="Small Biz"/>
    <m/>
    <x v="10"/>
    <n v="259815.76"/>
    <n v="288684.17777777778"/>
    <n v="733133"/>
    <n v="615136"/>
    <n v="304788734"/>
    <n v="38736203"/>
    <n v="29292"/>
    <n v="592601359"/>
    <n v="54590052"/>
    <n v="248834"/>
    <n v="4.5940130836917532E-4"/>
    <n v="5.1044589818797256E-4"/>
    <n v="1.2371436360475846E-3"/>
    <n v="1.2963118919676721E-3"/>
    <n v="0.20859664474923251"/>
    <n v="0.11411455740344224"/>
    <m/>
    <m/>
  </r>
  <r>
    <x v="0"/>
    <x v="0"/>
    <x v="2"/>
    <x v="4"/>
    <s v="Eversource"/>
    <x v="5"/>
    <x v="0"/>
    <m/>
    <s v="Res DR"/>
    <s v="Cost only"/>
    <x v="4"/>
    <m/>
    <m/>
    <n v="0"/>
    <n v="0"/>
    <n v="287812625"/>
    <n v="15853849"/>
    <n v="219542"/>
    <n v="592601359"/>
    <n v="54590052"/>
    <n v="248834"/>
    <n v="0"/>
    <n v="0"/>
    <n v="0"/>
    <n v="0"/>
    <n v="0"/>
    <n v="0"/>
    <m/>
    <m/>
  </r>
  <r>
    <x v="0"/>
    <x v="0"/>
    <x v="2"/>
    <x v="4"/>
    <s v="Eversource"/>
    <x v="5"/>
    <x v="2"/>
    <m/>
    <s v="C&amp;I DR"/>
    <s v="Cost only"/>
    <x v="4"/>
    <m/>
    <m/>
    <n v="0"/>
    <n v="0"/>
    <n v="304788734"/>
    <n v="38736203"/>
    <n v="29292"/>
    <n v="592601359"/>
    <n v="54590052"/>
    <n v="248834"/>
    <n v="0"/>
    <n v="0"/>
    <n v="0"/>
    <n v="0"/>
    <n v="0"/>
    <n v="0"/>
    <m/>
    <m/>
  </r>
  <r>
    <x v="0"/>
    <x v="0"/>
    <x v="2"/>
    <x v="4"/>
    <s v="Eversource"/>
    <x v="5"/>
    <x v="4"/>
    <m/>
    <s v="Education"/>
    <s v="Cost only"/>
    <x v="4"/>
    <m/>
    <m/>
    <n v="76667"/>
    <n v="0"/>
    <n v="0"/>
    <n v="0"/>
    <n v="0"/>
    <n v="592601359"/>
    <n v="54590052"/>
    <n v="248834"/>
    <n v="0"/>
    <n v="0"/>
    <n v="1.2937364863518648E-4"/>
    <n v="1.355611380492837E-4"/>
    <s v=""/>
    <n v="1.1933470151322756E-2"/>
    <m/>
    <m/>
  </r>
  <r>
    <x v="0"/>
    <x v="0"/>
    <x v="2"/>
    <x v="4"/>
    <s v="Eversource"/>
    <x v="5"/>
    <x v="4"/>
    <m/>
    <s v="workforce"/>
    <s v="Cost only"/>
    <x v="4"/>
    <m/>
    <m/>
    <n v="82667"/>
    <n v="0"/>
    <n v="0"/>
    <n v="0"/>
    <n v="0"/>
    <n v="592601359"/>
    <n v="54590052"/>
    <n v="248834"/>
    <n v="0"/>
    <n v="0"/>
    <n v="1.3949849885511317E-4"/>
    <n v="1.4617022446580845E-4"/>
    <s v=""/>
    <n v="1.2867389841775448E-2"/>
    <m/>
    <m/>
  </r>
  <r>
    <x v="0"/>
    <x v="0"/>
    <x v="2"/>
    <x v="4"/>
    <s v="Eversource"/>
    <x v="5"/>
    <x v="4"/>
    <m/>
    <s v="community outreach"/>
    <s v="Cost only"/>
    <x v="4"/>
    <m/>
    <m/>
    <n v="80000"/>
    <n v="0"/>
    <n v="0"/>
    <n v="0"/>
    <n v="0"/>
    <n v="592601359"/>
    <n v="54590052"/>
    <n v="248834"/>
    <n v="0"/>
    <n v="0"/>
    <n v="1.3499800293235574E-4"/>
    <n v="1.414544855536632E-4"/>
    <s v=""/>
    <n v="1.2452262539369227E-2"/>
    <m/>
    <m/>
  </r>
  <r>
    <x v="0"/>
    <x v="0"/>
    <x v="2"/>
    <x v="4"/>
    <s v="Eversource"/>
    <x v="5"/>
    <x v="4"/>
    <m/>
    <s v="engagement"/>
    <s v="Cost only"/>
    <x v="4"/>
    <m/>
    <m/>
    <n v="70000"/>
    <n v="0"/>
    <n v="0"/>
    <n v="0"/>
    <n v="0"/>
    <n v="592601359"/>
    <n v="54590052"/>
    <n v="248834"/>
    <n v="0"/>
    <n v="0"/>
    <n v="1.1812325256581128E-4"/>
    <n v="1.2377267485945529E-4"/>
    <s v=""/>
    <n v="1.0895729721948074E-2"/>
    <m/>
    <m/>
  </r>
  <r>
    <x v="0"/>
    <x v="0"/>
    <x v="2"/>
    <x v="4"/>
    <s v="Eversource"/>
    <x v="5"/>
    <x v="4"/>
    <m/>
    <s v="loan"/>
    <s v="Cost only"/>
    <x v="4"/>
    <m/>
    <m/>
    <n v="84523"/>
    <n v="0"/>
    <n v="0"/>
    <n v="0"/>
    <n v="0"/>
    <n v="592601359"/>
    <n v="54590052"/>
    <n v="248834"/>
    <n v="0"/>
    <n v="0"/>
    <n v="1.426304525231438E-4"/>
    <n v="1.4945196853065343E-4"/>
    <s v=""/>
    <n v="1.3156282332688814E-2"/>
    <m/>
    <m/>
  </r>
  <r>
    <x v="0"/>
    <x v="0"/>
    <x v="2"/>
    <x v="4"/>
    <s v="Eversource"/>
    <x v="5"/>
    <x v="4"/>
    <m/>
    <s v="financing"/>
    <s v="Cost only"/>
    <x v="4"/>
    <m/>
    <m/>
    <n v="93905"/>
    <n v="0"/>
    <n v="0"/>
    <n v="0"/>
    <n v="0"/>
    <n v="592601359"/>
    <n v="54590052"/>
    <n v="248834"/>
    <n v="0"/>
    <n v="0"/>
    <n v="1.5846234331703583E-4"/>
    <n v="1.6604104332395927E-4"/>
    <s v=""/>
    <n v="1.4616621421993341E-2"/>
    <m/>
    <m/>
  </r>
  <r>
    <x v="0"/>
    <x v="0"/>
    <x v="2"/>
    <x v="4"/>
    <s v="Eversource"/>
    <x v="5"/>
    <x v="4"/>
    <m/>
    <s v="R&amp;D"/>
    <s v="Cost only"/>
    <x v="4"/>
    <m/>
    <m/>
    <n v="50000"/>
    <n v="0"/>
    <n v="0"/>
    <n v="0"/>
    <n v="0"/>
    <n v="592601359"/>
    <n v="54590052"/>
    <n v="248834"/>
    <n v="0"/>
    <n v="0"/>
    <n v="8.437375183272234E-5"/>
    <n v="8.8409053471039486E-5"/>
    <s v=""/>
    <n v="7.7826640871057669E-3"/>
    <m/>
    <m/>
  </r>
  <r>
    <x v="0"/>
    <x v="0"/>
    <x v="2"/>
    <x v="4"/>
    <s v="Eversource"/>
    <x v="5"/>
    <x v="4"/>
    <m/>
    <s v="Admin"/>
    <s v="Cost only"/>
    <x v="4"/>
    <m/>
    <m/>
    <n v="1968206"/>
    <n v="0"/>
    <n v="0"/>
    <n v="0"/>
    <n v="0"/>
    <n v="592601359"/>
    <n v="54590052"/>
    <n v="248834"/>
    <n v="0"/>
    <n v="0"/>
    <n v="3.3212984919935022E-3"/>
    <n v="3.4801445899204152E-3"/>
    <s v=""/>
    <n v="0.30635772304452186"/>
    <m/>
    <m/>
  </r>
  <r>
    <x v="0"/>
    <x v="0"/>
    <x v="3"/>
    <x v="4"/>
    <s v="Eversource"/>
    <x v="5"/>
    <x v="0"/>
    <m/>
    <s v="NH"/>
    <m/>
    <x v="0"/>
    <m/>
    <m/>
    <n v="63540"/>
    <m/>
    <n v="287812625"/>
    <n v="15853849"/>
    <n v="219542"/>
    <n v="592601359"/>
    <n v="54590052"/>
    <n v="248834"/>
    <n v="0"/>
    <n v="0"/>
    <n v="1.0722216382902355E-4"/>
    <n v="1.1235022515099697E-4"/>
    <s v=""/>
    <s v=""/>
    <m/>
    <m/>
  </r>
  <r>
    <x v="0"/>
    <x v="0"/>
    <x v="3"/>
    <x v="4"/>
    <s v="Eversource"/>
    <x v="5"/>
    <x v="0"/>
    <m/>
    <s v="HES"/>
    <m/>
    <x v="4"/>
    <m/>
    <m/>
    <n v="3812981"/>
    <m/>
    <n v="287812625"/>
    <n v="15853849"/>
    <n v="219542"/>
    <n v="592601359"/>
    <n v="54590052"/>
    <n v="248834"/>
    <n v="0"/>
    <n v="0"/>
    <n v="6.4343102527377096E-3"/>
    <n v="6.7420408222611528E-3"/>
    <s v=""/>
    <s v=""/>
    <m/>
    <m/>
  </r>
  <r>
    <x v="0"/>
    <x v="0"/>
    <x v="3"/>
    <x v="4"/>
    <s v="Eversource"/>
    <x v="5"/>
    <x v="0"/>
    <m/>
    <s v="HVAC"/>
    <m/>
    <x v="4"/>
    <m/>
    <m/>
    <n v="3041653"/>
    <m/>
    <n v="287812625"/>
    <n v="15853849"/>
    <n v="219542"/>
    <n v="592601359"/>
    <n v="54590052"/>
    <n v="248834"/>
    <n v="0"/>
    <n v="0"/>
    <n v="5.1327135076651084E-3"/>
    <n v="5.378193254346954E-3"/>
    <s v=""/>
    <s v=""/>
    <m/>
    <m/>
  </r>
  <r>
    <x v="0"/>
    <x v="0"/>
    <x v="3"/>
    <x v="4"/>
    <s v="Eversource"/>
    <x v="5"/>
    <x v="1"/>
    <n v="1"/>
    <s v="HES-iQ"/>
    <m/>
    <x v="4"/>
    <m/>
    <m/>
    <n v="5176952"/>
    <m/>
    <n v="0"/>
    <n v="0"/>
    <n v="0"/>
    <n v="592601359"/>
    <n v="54590052"/>
    <n v="248834"/>
    <n v="0"/>
    <n v="0"/>
    <n v="8.7359772659583116E-3"/>
    <n v="9.1537885237000984E-3"/>
    <s v=""/>
    <s v=""/>
    <m/>
    <m/>
  </r>
  <r>
    <x v="0"/>
    <x v="0"/>
    <x v="3"/>
    <x v="4"/>
    <s v="Eversource"/>
    <x v="5"/>
    <x v="0"/>
    <m/>
    <s v="Behavior"/>
    <m/>
    <x v="4"/>
    <m/>
    <m/>
    <n v="10000"/>
    <m/>
    <n v="287812625"/>
    <n v="15853849"/>
    <n v="219542"/>
    <n v="592601359"/>
    <n v="54590052"/>
    <n v="248834"/>
    <n v="0"/>
    <n v="0"/>
    <n v="1.6874750366544468E-5"/>
    <n v="1.76818106942079E-5"/>
    <s v=""/>
    <s v=""/>
    <m/>
    <m/>
  </r>
  <r>
    <x v="0"/>
    <x v="0"/>
    <x v="3"/>
    <x v="4"/>
    <s v="Eversource"/>
    <x v="5"/>
    <x v="2"/>
    <m/>
    <s v="Conscious blueprint"/>
    <m/>
    <x v="4"/>
    <m/>
    <m/>
    <n v="4160543"/>
    <m/>
    <n v="304788734"/>
    <n v="38736203"/>
    <n v="29292"/>
    <n v="592601359"/>
    <n v="54590052"/>
    <n v="248834"/>
    <n v="0"/>
    <n v="0"/>
    <n v="7.0208124514274019E-3"/>
    <n v="7.3565933711111815E-3"/>
    <s v=""/>
    <s v=""/>
    <m/>
    <m/>
  </r>
  <r>
    <x v="0"/>
    <x v="0"/>
    <x v="3"/>
    <x v="4"/>
    <s v="Eversource"/>
    <x v="5"/>
    <x v="2"/>
    <m/>
    <s v="energy opps"/>
    <m/>
    <x v="4"/>
    <m/>
    <m/>
    <n v="3827266"/>
    <m/>
    <n v="304788734"/>
    <n v="38736203"/>
    <n v="29292"/>
    <n v="592601359"/>
    <n v="54590052"/>
    <n v="248834"/>
    <n v="0"/>
    <n v="0"/>
    <n v="6.4584158336363183E-3"/>
    <n v="6.7672992888378287E-3"/>
    <s v=""/>
    <s v=""/>
    <m/>
    <m/>
  </r>
  <r>
    <x v="0"/>
    <x v="0"/>
    <x v="3"/>
    <x v="4"/>
    <s v="Eversource"/>
    <x v="5"/>
    <x v="2"/>
    <m/>
    <s v="O&amp;M, Rcx, SEM, CSP"/>
    <m/>
    <x v="4"/>
    <m/>
    <m/>
    <n v="708372"/>
    <m/>
    <n v="304788734"/>
    <n v="38736203"/>
    <n v="29292"/>
    <n v="592601359"/>
    <n v="54590052"/>
    <n v="248834"/>
    <n v="0"/>
    <n v="0"/>
    <n v="1.1953600666649838E-3"/>
    <n v="1.2525299605077437E-3"/>
    <s v=""/>
    <s v=""/>
    <m/>
    <m/>
  </r>
  <r>
    <x v="0"/>
    <x v="0"/>
    <x v="3"/>
    <x v="4"/>
    <s v="Eversource"/>
    <x v="5"/>
    <x v="2"/>
    <m/>
    <s v="Small Biz"/>
    <m/>
    <x v="4"/>
    <m/>
    <m/>
    <n v="733133"/>
    <m/>
    <n v="304788734"/>
    <n v="38736203"/>
    <n v="29292"/>
    <n v="592601359"/>
    <n v="54590052"/>
    <n v="248834"/>
    <n v="0"/>
    <n v="0"/>
    <n v="1.2371436360475846E-3"/>
    <n v="1.2963118919676721E-3"/>
    <s v=""/>
    <s v=""/>
    <m/>
    <m/>
  </r>
  <r>
    <x v="0"/>
    <x v="0"/>
    <x v="3"/>
    <x v="4"/>
    <s v="Eversource"/>
    <x v="5"/>
    <x v="0"/>
    <m/>
    <s v="Res DR"/>
    <s v="Cost only"/>
    <x v="4"/>
    <m/>
    <m/>
    <n v="0"/>
    <m/>
    <n v="287812625"/>
    <n v="15853849"/>
    <n v="219542"/>
    <n v="592601359"/>
    <n v="54590052"/>
    <n v="248834"/>
    <n v="0"/>
    <n v="0"/>
    <n v="0"/>
    <n v="0"/>
    <s v=""/>
    <s v=""/>
    <m/>
    <m/>
  </r>
  <r>
    <x v="0"/>
    <x v="0"/>
    <x v="3"/>
    <x v="4"/>
    <s v="Eversource"/>
    <x v="5"/>
    <x v="2"/>
    <m/>
    <s v="C&amp;I DR"/>
    <s v="Cost only"/>
    <x v="4"/>
    <m/>
    <m/>
    <n v="0"/>
    <m/>
    <n v="304788734"/>
    <n v="38736203"/>
    <n v="29292"/>
    <n v="592601359"/>
    <n v="54590052"/>
    <n v="248834"/>
    <n v="0"/>
    <n v="0"/>
    <n v="0"/>
    <n v="0"/>
    <s v=""/>
    <s v=""/>
    <m/>
    <m/>
  </r>
  <r>
    <x v="0"/>
    <x v="0"/>
    <x v="3"/>
    <x v="4"/>
    <s v="Eversource"/>
    <x v="5"/>
    <x v="3"/>
    <m/>
    <s v="Education"/>
    <s v="Cost only"/>
    <x v="4"/>
    <m/>
    <m/>
    <n v="76667"/>
    <m/>
    <n v="0"/>
    <n v="0"/>
    <n v="0"/>
    <n v="592601359"/>
    <n v="54590052"/>
    <n v="248834"/>
    <n v="0"/>
    <n v="0"/>
    <n v="1.2937364863518648E-4"/>
    <n v="1.355611380492837E-4"/>
    <s v=""/>
    <s v=""/>
    <m/>
    <m/>
  </r>
  <r>
    <x v="0"/>
    <x v="0"/>
    <x v="3"/>
    <x v="4"/>
    <s v="Eversource"/>
    <x v="5"/>
    <x v="3"/>
    <m/>
    <s v="workforce"/>
    <s v="Cost only"/>
    <x v="4"/>
    <m/>
    <m/>
    <n v="82667"/>
    <m/>
    <n v="0"/>
    <n v="0"/>
    <n v="0"/>
    <n v="592601359"/>
    <n v="54590052"/>
    <n v="248834"/>
    <n v="0"/>
    <n v="0"/>
    <n v="1.3949849885511317E-4"/>
    <n v="1.4617022446580845E-4"/>
    <s v=""/>
    <s v=""/>
    <m/>
    <m/>
  </r>
  <r>
    <x v="0"/>
    <x v="0"/>
    <x v="3"/>
    <x v="4"/>
    <s v="Eversource"/>
    <x v="5"/>
    <x v="3"/>
    <m/>
    <s v="community outreach"/>
    <s v="Cost only"/>
    <x v="4"/>
    <m/>
    <m/>
    <n v="80000"/>
    <m/>
    <n v="0"/>
    <n v="0"/>
    <n v="0"/>
    <n v="592601359"/>
    <n v="54590052"/>
    <n v="248834"/>
    <n v="0"/>
    <n v="0"/>
    <n v="1.3499800293235574E-4"/>
    <n v="1.414544855536632E-4"/>
    <s v=""/>
    <s v=""/>
    <m/>
    <m/>
  </r>
  <r>
    <x v="0"/>
    <x v="0"/>
    <x v="3"/>
    <x v="4"/>
    <s v="Eversource"/>
    <x v="5"/>
    <x v="3"/>
    <m/>
    <s v="engagement"/>
    <s v="Cost only"/>
    <x v="4"/>
    <m/>
    <m/>
    <n v="70000"/>
    <m/>
    <n v="0"/>
    <n v="0"/>
    <n v="0"/>
    <n v="592601359"/>
    <n v="54590052"/>
    <n v="248834"/>
    <n v="0"/>
    <n v="0"/>
    <n v="1.1812325256581128E-4"/>
    <n v="1.2377267485945529E-4"/>
    <s v=""/>
    <s v=""/>
    <m/>
    <m/>
  </r>
  <r>
    <x v="0"/>
    <x v="0"/>
    <x v="3"/>
    <x v="4"/>
    <s v="Eversource"/>
    <x v="5"/>
    <x v="3"/>
    <m/>
    <s v="loan"/>
    <s v="Cost only"/>
    <x v="4"/>
    <m/>
    <m/>
    <n v="84523"/>
    <m/>
    <n v="0"/>
    <n v="0"/>
    <n v="0"/>
    <n v="592601359"/>
    <n v="54590052"/>
    <n v="248834"/>
    <n v="0"/>
    <n v="0"/>
    <n v="1.426304525231438E-4"/>
    <n v="1.4945196853065343E-4"/>
    <s v=""/>
    <s v=""/>
    <m/>
    <m/>
  </r>
  <r>
    <x v="0"/>
    <x v="0"/>
    <x v="3"/>
    <x v="4"/>
    <s v="Eversource"/>
    <x v="5"/>
    <x v="3"/>
    <m/>
    <s v="financing"/>
    <s v="Cost only"/>
    <x v="4"/>
    <m/>
    <m/>
    <n v="93905"/>
    <m/>
    <n v="0"/>
    <n v="0"/>
    <n v="0"/>
    <n v="592601359"/>
    <n v="54590052"/>
    <n v="248834"/>
    <n v="0"/>
    <n v="0"/>
    <n v="1.5846234331703583E-4"/>
    <n v="1.6604104332395927E-4"/>
    <s v=""/>
    <s v=""/>
    <m/>
    <m/>
  </r>
  <r>
    <x v="0"/>
    <x v="0"/>
    <x v="3"/>
    <x v="4"/>
    <s v="Eversource"/>
    <x v="5"/>
    <x v="3"/>
    <m/>
    <s v="R&amp;D"/>
    <s v="Cost only"/>
    <x v="4"/>
    <m/>
    <m/>
    <n v="50000"/>
    <m/>
    <n v="0"/>
    <n v="0"/>
    <n v="0"/>
    <n v="592601359"/>
    <n v="54590052"/>
    <n v="248834"/>
    <n v="0"/>
    <n v="0"/>
    <n v="8.437375183272234E-5"/>
    <n v="8.8409053471039486E-5"/>
    <s v=""/>
    <s v=""/>
    <m/>
    <m/>
  </r>
  <r>
    <x v="0"/>
    <x v="0"/>
    <x v="3"/>
    <x v="4"/>
    <s v="Eversource"/>
    <x v="5"/>
    <x v="3"/>
    <m/>
    <s v="Admin"/>
    <s v="Cost only"/>
    <x v="4"/>
    <m/>
    <m/>
    <n v="1943014"/>
    <m/>
    <n v="0"/>
    <n v="0"/>
    <n v="0"/>
    <n v="592601359"/>
    <n v="54590052"/>
    <n v="248834"/>
    <n v="0"/>
    <n v="0"/>
    <n v="3.2787876208701032E-3"/>
    <n v="3.4356005724195666E-3"/>
    <s v=""/>
    <s v=""/>
    <m/>
    <m/>
  </r>
  <r>
    <x v="0"/>
    <x v="0"/>
    <x v="2"/>
    <x v="4"/>
    <s v="CNG"/>
    <x v="6"/>
    <x v="0"/>
    <m/>
    <s v="NH"/>
    <m/>
    <x v="0"/>
    <n v="98941.108000000007"/>
    <n v="109934.56444444445"/>
    <n v="562810"/>
    <n v="452723"/>
    <n v="244163614"/>
    <n v="17226149"/>
    <n v="169000"/>
    <n v="389213250"/>
    <n v="36410020"/>
    <n v="184892"/>
    <n v="2.6229867492519917E-4"/>
    <n v="2.914429721391102E-4"/>
    <n v="1.4460196306266553E-3"/>
    <n v="1.4920422887790114E-3"/>
    <n v="0.98938210753728628"/>
    <n v="0.3796287350362057"/>
    <m/>
    <m/>
  </r>
  <r>
    <x v="0"/>
    <x v="0"/>
    <x v="2"/>
    <x v="4"/>
    <s v="CNG"/>
    <x v="6"/>
    <x v="0"/>
    <m/>
    <s v="HES"/>
    <m/>
    <x v="6"/>
    <n v="189670.88"/>
    <n v="210745.42222222223"/>
    <n v="2954523"/>
    <n v="2315815"/>
    <n v="244163614"/>
    <n v="17226149"/>
    <n v="169000"/>
    <n v="389213250"/>
    <n v="36410020"/>
    <n v="184892"/>
    <n v="5.0282861695763968E-4"/>
    <n v="5.5869846328626628E-4"/>
    <n v="7.591013409743887E-3"/>
    <n v="7.8326135981418785E-3"/>
    <n v="5.1938526190142067"/>
    <n v="1.9928960557299544"/>
    <m/>
    <m/>
  </r>
  <r>
    <x v="0"/>
    <x v="0"/>
    <x v="2"/>
    <x v="4"/>
    <s v="CNG"/>
    <x v="6"/>
    <x v="0"/>
    <m/>
    <s v="HVAC"/>
    <m/>
    <x v="6"/>
    <n v="138888.23200000002"/>
    <n v="154320.25777777779"/>
    <n v="1574394"/>
    <n v="1294129"/>
    <n v="244163614"/>
    <n v="17226149"/>
    <n v="169000"/>
    <n v="389213250"/>
    <n v="36410020"/>
    <n v="184892"/>
    <n v="3.6820084141673095E-4"/>
    <n v="4.0911204601858992E-4"/>
    <n v="4.0450678387747591E-3"/>
    <n v="4.1738107482097737E-3"/>
    <n v="2.7676787082924226"/>
    <n v="1.0619662100328566"/>
    <m/>
    <m/>
  </r>
  <r>
    <x v="0"/>
    <x v="0"/>
    <x v="2"/>
    <x v="4"/>
    <s v="CNG"/>
    <x v="6"/>
    <x v="1"/>
    <n v="1"/>
    <s v="HES-iQ"/>
    <m/>
    <x v="1"/>
    <n v="242549.356"/>
    <n v="269499.28444444446"/>
    <n v="4305853"/>
    <n v="3913423"/>
    <n v="0"/>
    <n v="0"/>
    <n v="0"/>
    <n v="389213250"/>
    <n v="36410020"/>
    <n v="184892"/>
    <n v="6.4301255533504248E-4"/>
    <n v="7.1445839481671389E-4"/>
    <n v="1.1062966124611636E-2"/>
    <n v="1.1415068611549142E-2"/>
    <n v="17.752481684593711"/>
    <n v="2.9044002907586068"/>
    <m/>
    <m/>
  </r>
  <r>
    <x v="0"/>
    <x v="0"/>
    <x v="2"/>
    <x v="4"/>
    <s v="CNG"/>
    <x v="6"/>
    <x v="0"/>
    <m/>
    <s v="Behavior"/>
    <m/>
    <x v="6"/>
    <n v="141349.76800000001"/>
    <n v="157055.2977777778"/>
    <n v="151745"/>
    <m/>
    <n v="244163614"/>
    <n v="17226149"/>
    <n v="169000"/>
    <n v="389213250"/>
    <n v="36410020"/>
    <n v="184892"/>
    <n v="3.7472651759048748E-4"/>
    <n v="4.1636279732276395E-4"/>
    <n v="3.8987624393568306E-4"/>
    <n v="4.0228488674822952E-4"/>
    <n v="0.26675749881531158"/>
    <n v="0.10235561272555398"/>
    <m/>
    <m/>
  </r>
  <r>
    <x v="0"/>
    <x v="0"/>
    <x v="2"/>
    <x v="4"/>
    <s v="CNG"/>
    <x v="6"/>
    <x v="2"/>
    <m/>
    <s v="Conscious blueprint"/>
    <m/>
    <x v="6"/>
    <n v="196413.16800000001"/>
    <n v="218236.85333333333"/>
    <n v="2032228"/>
    <n v="1589213"/>
    <n v="145049636"/>
    <n v="19183871"/>
    <n v="15892"/>
    <n v="389213250"/>
    <n v="36410020"/>
    <n v="184892"/>
    <n v="5.2070281752111098E-4"/>
    <n v="5.7855868613456774E-4"/>
    <n v="5.2213741438658628E-3"/>
    <n v="5.3875555097471486E-3"/>
    <n v="3.028077866725797"/>
    <n v="1.3707861355433597"/>
    <m/>
    <m/>
  </r>
  <r>
    <x v="0"/>
    <x v="0"/>
    <x v="2"/>
    <x v="4"/>
    <s v="CNG"/>
    <x v="6"/>
    <x v="2"/>
    <m/>
    <s v="energy opps"/>
    <m/>
    <x v="14"/>
    <n v="183946.98"/>
    <n v="204385.53333333333"/>
    <n v="1182949"/>
    <n v="841092"/>
    <n v="145049636"/>
    <n v="19183871"/>
    <n v="15892"/>
    <n v="389213250"/>
    <n v="36410020"/>
    <n v="184892"/>
    <n v="4.8765422265629088E-4"/>
    <n v="5.4183802517365634E-4"/>
    <n v="3.0393338356286687E-3"/>
    <n v="3.1360671158452099E-3"/>
    <n v="1.7626278568966744"/>
    <n v="0.79792724450941621"/>
    <m/>
    <m/>
  </r>
  <r>
    <x v="0"/>
    <x v="0"/>
    <x v="2"/>
    <x v="4"/>
    <s v="CNG"/>
    <x v="6"/>
    <x v="2"/>
    <m/>
    <s v="O&amp;M, Rcx, SEM, CSP"/>
    <m/>
    <x v="10"/>
    <n v="219769.788"/>
    <n v="244188.65333333332"/>
    <n v="624239"/>
    <n v="430587"/>
    <n v="145049636"/>
    <n v="19183871"/>
    <n v="15892"/>
    <n v="389213250"/>
    <n v="36410020"/>
    <n v="184892"/>
    <n v="5.8262258576073298E-4"/>
    <n v="6.4735842862303648E-4"/>
    <n v="1.6038482759772438E-3"/>
    <n v="1.6548941673124524E-3"/>
    <n v="0.93013397091617911"/>
    <n v="0.42106405701793859"/>
    <m/>
    <m/>
  </r>
  <r>
    <x v="0"/>
    <x v="0"/>
    <x v="2"/>
    <x v="4"/>
    <s v="CNG"/>
    <x v="6"/>
    <x v="2"/>
    <m/>
    <s v="Small Biz"/>
    <m/>
    <x v="6"/>
    <n v="70998.116000000009"/>
    <n v="78886.795555555567"/>
    <n v="484608"/>
    <n v="251123"/>
    <n v="145049636"/>
    <n v="19183871"/>
    <n v="15892"/>
    <n v="389213250"/>
    <n v="36410020"/>
    <n v="184892"/>
    <n v="1.8822016576755524E-4"/>
    <n v="2.0913351751950584E-4"/>
    <n v="1.2450963578449603E-3"/>
    <n v="1.2847242044040069E-3"/>
    <n v="0.72207978575152743"/>
    <n v="0.32687962550136918"/>
    <m/>
    <m/>
  </r>
  <r>
    <x v="0"/>
    <x v="0"/>
    <x v="2"/>
    <x v="4"/>
    <s v="CNG"/>
    <x v="6"/>
    <x v="0"/>
    <m/>
    <s v="Res DR"/>
    <s v="Cost only"/>
    <x v="4"/>
    <m/>
    <m/>
    <n v="156408"/>
    <m/>
    <n v="244163614"/>
    <n v="17226149"/>
    <n v="169000"/>
    <n v="389213250"/>
    <n v="36410020"/>
    <n v="184892"/>
    <n v="0"/>
    <n v="0"/>
    <n v="4.018568227058046E-4"/>
    <n v="4.1464677298439542E-4"/>
    <n v="0.27495473903394019"/>
    <n v="0.10550091716483868"/>
    <m/>
    <m/>
  </r>
  <r>
    <x v="0"/>
    <x v="0"/>
    <x v="2"/>
    <x v="4"/>
    <s v="CNG"/>
    <x v="6"/>
    <x v="2"/>
    <m/>
    <s v="C&amp;I DR"/>
    <s v="Cost only"/>
    <x v="4"/>
    <m/>
    <m/>
    <n v="191720"/>
    <m/>
    <n v="145049636"/>
    <n v="19183871"/>
    <n v="15892"/>
    <n v="389213250"/>
    <n v="36410020"/>
    <n v="184892"/>
    <n v="0"/>
    <n v="0"/>
    <n v="4.9258343594417713E-4"/>
    <n v="5.0826095414920145E-4"/>
    <n v="0.28566828555096663"/>
    <n v="0.12931970128665332"/>
    <m/>
    <m/>
  </r>
  <r>
    <x v="0"/>
    <x v="0"/>
    <x v="2"/>
    <x v="4"/>
    <s v="CNG"/>
    <x v="6"/>
    <x v="4"/>
    <m/>
    <s v="Eduction"/>
    <s v="Cost only"/>
    <x v="4"/>
    <m/>
    <m/>
    <n v="76667"/>
    <m/>
    <n v="0"/>
    <n v="0"/>
    <n v="0"/>
    <n v="389213250"/>
    <n v="36410020"/>
    <n v="184892"/>
    <n v="0"/>
    <n v="0"/>
    <n v="1.9697941937999285E-4"/>
    <n v="2.0324870942915095E-4"/>
    <s v=""/>
    <n v="5.1713715515041989E-2"/>
    <m/>
    <m/>
  </r>
  <r>
    <x v="0"/>
    <x v="0"/>
    <x v="2"/>
    <x v="4"/>
    <s v="CNG"/>
    <x v="6"/>
    <x v="4"/>
    <m/>
    <s v="workforce"/>
    <s v="Cost only"/>
    <x v="4"/>
    <m/>
    <m/>
    <n v="82667"/>
    <m/>
    <n v="0"/>
    <n v="0"/>
    <n v="0"/>
    <n v="389213250"/>
    <n v="36410020"/>
    <n v="184892"/>
    <n v="0"/>
    <n v="0"/>
    <n v="2.1239513300228089E-4"/>
    <n v="2.1915506100903418E-4"/>
    <s v=""/>
    <n v="5.5760858263424633E-2"/>
    <m/>
    <m/>
  </r>
  <r>
    <x v="0"/>
    <x v="0"/>
    <x v="2"/>
    <x v="4"/>
    <s v="CNG"/>
    <x v="6"/>
    <x v="4"/>
    <m/>
    <s v="community outreach"/>
    <s v="Cost only"/>
    <x v="4"/>
    <m/>
    <m/>
    <n v="80000"/>
    <m/>
    <n v="0"/>
    <n v="0"/>
    <n v="0"/>
    <n v="389213250"/>
    <n v="36410020"/>
    <n v="184892"/>
    <n v="0"/>
    <n v="0"/>
    <n v="2.0554284829717384E-4"/>
    <n v="2.1208468773177609E-4"/>
    <s v=""/>
    <n v="5.3961903311768547E-2"/>
    <m/>
    <m/>
  </r>
  <r>
    <x v="0"/>
    <x v="0"/>
    <x v="2"/>
    <x v="4"/>
    <s v="CNG"/>
    <x v="6"/>
    <x v="4"/>
    <m/>
    <s v="engagement"/>
    <s v="Cost only"/>
    <x v="4"/>
    <m/>
    <m/>
    <n v="50000"/>
    <m/>
    <n v="0"/>
    <n v="0"/>
    <n v="0"/>
    <n v="389213250"/>
    <n v="36410020"/>
    <n v="184892"/>
    <n v="0"/>
    <n v="0"/>
    <n v="1.2846428018573365E-4"/>
    <n v="1.3255292983236006E-4"/>
    <s v=""/>
    <n v="3.372618956985534E-2"/>
    <m/>
    <m/>
  </r>
  <r>
    <x v="0"/>
    <x v="0"/>
    <x v="2"/>
    <x v="4"/>
    <s v="CNG"/>
    <x v="6"/>
    <x v="4"/>
    <m/>
    <s v="loan"/>
    <s v="Cost only"/>
    <x v="4"/>
    <m/>
    <m/>
    <n v="86292"/>
    <m/>
    <n v="0"/>
    <n v="0"/>
    <n v="0"/>
    <n v="389213250"/>
    <n v="36410020"/>
    <n v="184892"/>
    <n v="0"/>
    <n v="0"/>
    <n v="2.2170879331574658E-4"/>
    <n v="2.287651484218803E-4"/>
    <s v=""/>
    <n v="5.8206007007239144E-2"/>
    <m/>
    <m/>
  </r>
  <r>
    <x v="0"/>
    <x v="0"/>
    <x v="2"/>
    <x v="4"/>
    <s v="CNG"/>
    <x v="6"/>
    <x v="4"/>
    <m/>
    <s v="financing"/>
    <s v="Cost only"/>
    <x v="4"/>
    <m/>
    <m/>
    <n v="20000"/>
    <m/>
    <n v="0"/>
    <n v="0"/>
    <n v="0"/>
    <n v="389213250"/>
    <n v="36410020"/>
    <n v="184892"/>
    <n v="0"/>
    <n v="0"/>
    <n v="5.1385712074293461E-5"/>
    <n v="5.3021171932944023E-5"/>
    <s v=""/>
    <n v="1.3490475827942137E-2"/>
    <m/>
    <m/>
  </r>
  <r>
    <x v="0"/>
    <x v="0"/>
    <x v="2"/>
    <x v="4"/>
    <s v="CNG"/>
    <x v="6"/>
    <x v="4"/>
    <m/>
    <s v="R&amp;D"/>
    <s v="Cost only"/>
    <x v="4"/>
    <m/>
    <m/>
    <n v="50000"/>
    <m/>
    <n v="0"/>
    <n v="0"/>
    <n v="0"/>
    <n v="389213250"/>
    <n v="36410020"/>
    <n v="184892"/>
    <n v="0"/>
    <n v="0"/>
    <n v="1.2846428018573365E-4"/>
    <n v="1.3255292983236006E-4"/>
    <s v=""/>
    <n v="3.372618956985534E-2"/>
    <m/>
    <m/>
  </r>
  <r>
    <x v="0"/>
    <x v="0"/>
    <x v="2"/>
    <x v="4"/>
    <s v="CNG"/>
    <x v="6"/>
    <x v="4"/>
    <m/>
    <s v="Admin"/>
    <s v="Cost only"/>
    <x v="4"/>
    <m/>
    <m/>
    <n v="1782929"/>
    <m/>
    <n v="0"/>
    <n v="0"/>
    <n v="0"/>
    <n v="389213250"/>
    <n v="36410020"/>
    <n v="184892"/>
    <n v="0"/>
    <n v="0"/>
    <n v="4.5808538121453989E-3"/>
    <n v="4.7266492526615977E-3"/>
    <s v=""/>
    <n v="1.2026280288718523"/>
    <m/>
    <m/>
  </r>
  <r>
    <x v="0"/>
    <x v="0"/>
    <x v="2"/>
    <x v="4"/>
    <s v="SoCTGas"/>
    <x v="7"/>
    <x v="0"/>
    <m/>
    <s v="NH"/>
    <m/>
    <x v="0"/>
    <n v="123781.28"/>
    <n v="137534.75555555554"/>
    <n v="673793"/>
    <n v="452723"/>
    <n v="235806297"/>
    <n v="16235932"/>
    <n v="186847"/>
    <n v="392823442"/>
    <n v="35589016"/>
    <n v="206933"/>
    <n v="3.3572156083213988E-4"/>
    <n v="3.7302395648015544E-4"/>
    <n v="1.7152565961172958E-3"/>
    <n v="1.8274721156363066E-3"/>
    <n v="1.1352069211235547"/>
    <n v="0.47636124595372592"/>
    <m/>
    <m/>
  </r>
  <r>
    <x v="0"/>
    <x v="0"/>
    <x v="2"/>
    <x v="4"/>
    <s v="SoCTGas"/>
    <x v="7"/>
    <x v="0"/>
    <m/>
    <s v="HES"/>
    <m/>
    <x v="6"/>
    <n v="178186.82"/>
    <n v="197985.35555555555"/>
    <n v="2545775"/>
    <n v="2315815"/>
    <n v="235806297"/>
    <n v="16235932"/>
    <n v="186847"/>
    <n v="392823442"/>
    <n v="35589016"/>
    <n v="206933"/>
    <n v="4.8328113370709662E-4"/>
    <n v="5.3697903745232958E-4"/>
    <n v="6.4807104867229386E-3"/>
    <n v="6.9046915375850131E-3"/>
    <n v="4.2891235136359649"/>
    <n v="1.7998236118776043"/>
    <m/>
    <m/>
  </r>
  <r>
    <x v="0"/>
    <x v="0"/>
    <x v="2"/>
    <x v="4"/>
    <s v="SoCTGas"/>
    <x v="7"/>
    <x v="0"/>
    <m/>
    <s v="HVAC"/>
    <m/>
    <x v="6"/>
    <n v="164882.508"/>
    <n v="183202.78666666665"/>
    <n v="1823107"/>
    <n v="1294129"/>
    <n v="235806297"/>
    <n v="16235932"/>
    <n v="186847"/>
    <n v="392823442"/>
    <n v="35589016"/>
    <n v="206933"/>
    <n v="4.4719696661464316E-4"/>
    <n v="4.9688551846071465E-4"/>
    <n v="4.6410341264715056E-3"/>
    <n v="4.9446598678249253E-3"/>
    <n v="3.0715719580773331"/>
    <n v="1.2889084956759114"/>
    <m/>
    <m/>
  </r>
  <r>
    <x v="0"/>
    <x v="0"/>
    <x v="2"/>
    <x v="4"/>
    <s v="SoCTGas"/>
    <x v="7"/>
    <x v="1"/>
    <n v="1"/>
    <s v="HES-iQ"/>
    <m/>
    <x v="1"/>
    <n v="194551.476"/>
    <n v="216168.30666666664"/>
    <n v="3506727"/>
    <n v="3913423"/>
    <n v="0"/>
    <n v="0"/>
    <n v="0"/>
    <n v="392823442"/>
    <n v="35589016"/>
    <n v="206933"/>
    <n v="5.2766561458175753E-4"/>
    <n v="5.8629512731306376E-4"/>
    <n v="8.9269799738682602E-3"/>
    <n v="9.511000870666449E-3"/>
    <n v="18.024674354051161"/>
    <n v="2.4792018363793797"/>
    <m/>
    <m/>
  </r>
  <r>
    <x v="0"/>
    <x v="0"/>
    <x v="2"/>
    <x v="4"/>
    <s v="SoCTGas"/>
    <x v="7"/>
    <x v="0"/>
    <m/>
    <s v="Behavior"/>
    <m/>
    <x v="5"/>
    <n v="126691.40400000001"/>
    <n v="140768.22666666668"/>
    <n v="153821"/>
    <m/>
    <n v="235806297"/>
    <n v="16235932"/>
    <n v="186847"/>
    <n v="392823442"/>
    <n v="35589016"/>
    <n v="206933"/>
    <n v="3.4361444553566756E-4"/>
    <n v="3.8179382837296398E-4"/>
    <n v="3.9157795475963474E-4"/>
    <n v="4.1719576828386804E-4"/>
    <n v="0.25915772917520119"/>
    <n v="0.1087490716196934"/>
    <m/>
    <m/>
  </r>
  <r>
    <x v="0"/>
    <x v="0"/>
    <x v="2"/>
    <x v="4"/>
    <s v="SoCTGas"/>
    <x v="7"/>
    <x v="2"/>
    <m/>
    <s v="Conscious blueprint"/>
    <m/>
    <x v="6"/>
    <n v="179116.11199999999"/>
    <n v="199017.90222222221"/>
    <n v="1647316"/>
    <n v="1589213"/>
    <n v="157017145"/>
    <n v="19353084"/>
    <n v="20086"/>
    <n v="392823442"/>
    <n v="35589016"/>
    <n v="206933"/>
    <n v="4.8580157428348118E-4"/>
    <n v="5.3977952698164571E-4"/>
    <n v="4.1935277375834412E-3"/>
    <n v="4.4678767153139591E-3"/>
    <n v="2.6299635941729296"/>
    <n v="1.1646269733278736"/>
    <m/>
    <m/>
  </r>
  <r>
    <x v="0"/>
    <x v="0"/>
    <x v="2"/>
    <x v="4"/>
    <s v="SoCTGas"/>
    <x v="7"/>
    <x v="2"/>
    <m/>
    <s v="energy opps"/>
    <m/>
    <x v="6"/>
    <n v="204888.68400000001"/>
    <n v="227654.09333333332"/>
    <n v="1086025"/>
    <n v="841092"/>
    <n v="157017145"/>
    <n v="19353084"/>
    <n v="20086"/>
    <n v="392823442"/>
    <n v="35589016"/>
    <n v="206933"/>
    <n v="5.5570235490635651E-4"/>
    <n v="6.1744706100706271E-4"/>
    <n v="2.7646644367013105E-3"/>
    <n v="2.9455343174890803E-3"/>
    <n v="1.7338544713714041"/>
    <n v="0.76780290406236806"/>
    <m/>
    <m/>
  </r>
  <r>
    <x v="0"/>
    <x v="0"/>
    <x v="2"/>
    <x v="4"/>
    <s v="SoCTGas"/>
    <x v="7"/>
    <x v="2"/>
    <m/>
    <s v="O&amp;M, Rcx, SEM, CSP"/>
    <m/>
    <x v="14"/>
    <n v="212595.48800000001"/>
    <n v="236217.20888888888"/>
    <n v="487917"/>
    <n v="430587"/>
    <n v="157017145"/>
    <n v="19353084"/>
    <n v="20086"/>
    <n v="392823442"/>
    <n v="35589016"/>
    <n v="206933"/>
    <n v="5.7660487157048688E-4"/>
    <n v="6.4067207952276317E-4"/>
    <n v="1.2420770957961313E-3"/>
    <n v="1.3233362653588265E-3"/>
    <n v="0.77896648061335727"/>
    <n v="0.34494978434326878"/>
    <m/>
    <m/>
  </r>
  <r>
    <x v="0"/>
    <x v="0"/>
    <x v="2"/>
    <x v="4"/>
    <s v="SoCTGas"/>
    <x v="7"/>
    <x v="2"/>
    <m/>
    <s v="Small Biz"/>
    <m/>
    <x v="10"/>
    <n v="29764.280000000002"/>
    <n v="33071.422222222223"/>
    <n v="299602"/>
    <n v="251123"/>
    <n v="157017145"/>
    <n v="19353084"/>
    <n v="20086"/>
    <n v="392823442"/>
    <n v="35589016"/>
    <n v="206933"/>
    <n v="8.0727154692897396E-5"/>
    <n v="8.9696838547663764E-5"/>
    <n v="7.6268869921464612E-4"/>
    <n v="8.1258532040087792E-4"/>
    <n v="0.47831888522991217"/>
    <n v="0.21181398739706139"/>
    <m/>
    <m/>
  </r>
  <r>
    <x v="0"/>
    <x v="0"/>
    <x v="2"/>
    <x v="4"/>
    <s v="SoCTGas"/>
    <x v="7"/>
    <x v="0"/>
    <m/>
    <s v="Res DR"/>
    <s v="Cost only"/>
    <x v="4"/>
    <m/>
    <m/>
    <n v="514717"/>
    <m/>
    <n v="235806297"/>
    <n v="16235932"/>
    <n v="186847"/>
    <n v="392823442"/>
    <n v="35589016"/>
    <n v="206933"/>
    <n v="0"/>
    <n v="0"/>
    <n v="1.3103011301448756E-3"/>
    <n v="1.3960236525816874E-3"/>
    <n v="0.86719556424592237"/>
    <n v="0.36389697048435343"/>
    <m/>
    <m/>
  </r>
  <r>
    <x v="0"/>
    <x v="0"/>
    <x v="2"/>
    <x v="4"/>
    <s v="SoCTGas"/>
    <x v="7"/>
    <x v="2"/>
    <m/>
    <s v="C&amp;I DR"/>
    <s v="Cost only"/>
    <x v="4"/>
    <m/>
    <m/>
    <n v="204891"/>
    <m/>
    <n v="157017145"/>
    <n v="19353084"/>
    <n v="20086"/>
    <n v="392823442"/>
    <n v="35589016"/>
    <n v="206933"/>
    <n v="0"/>
    <n v="0"/>
    <n v="5.2158547096076819E-4"/>
    <n v="5.5570863639847626E-4"/>
    <n v="0.32711141685850542"/>
    <n v="0.14485477297137972"/>
    <m/>
    <m/>
  </r>
  <r>
    <x v="0"/>
    <x v="0"/>
    <x v="2"/>
    <x v="4"/>
    <s v="SoCTGas"/>
    <x v="7"/>
    <x v="4"/>
    <m/>
    <s v="Eduction"/>
    <s v="Cost only"/>
    <x v="4"/>
    <m/>
    <m/>
    <n v="76667"/>
    <m/>
    <n v="0"/>
    <n v="0"/>
    <n v="0"/>
    <n v="392823442"/>
    <n v="35589016"/>
    <n v="206933"/>
    <n v="0"/>
    <n v="0"/>
    <n v="1.9516910602295471E-4"/>
    <n v="2.0793745956026365E-4"/>
    <s v=""/>
    <n v="5.4202385070094679E-2"/>
    <m/>
    <m/>
  </r>
  <r>
    <x v="0"/>
    <x v="0"/>
    <x v="2"/>
    <x v="4"/>
    <s v="SoCTGas"/>
    <x v="7"/>
    <x v="4"/>
    <m/>
    <s v="workforce"/>
    <s v="Cost only"/>
    <x v="4"/>
    <m/>
    <m/>
    <n v="82667"/>
    <m/>
    <n v="0"/>
    <n v="0"/>
    <n v="0"/>
    <n v="392823442"/>
    <n v="35589016"/>
    <n v="206933"/>
    <n v="0"/>
    <n v="0"/>
    <n v="2.1044314356371839E-4"/>
    <n v="2.2421075520717278E-4"/>
    <s v=""/>
    <n v="5.8444292415113633E-2"/>
    <m/>
    <m/>
  </r>
  <r>
    <x v="0"/>
    <x v="0"/>
    <x v="2"/>
    <x v="4"/>
    <s v="SoCTGas"/>
    <x v="7"/>
    <x v="4"/>
    <m/>
    <s v="community outreach"/>
    <s v="Cost only"/>
    <x v="4"/>
    <m/>
    <m/>
    <n v="80000"/>
    <m/>
    <n v="0"/>
    <n v="0"/>
    <n v="0"/>
    <n v="392823442"/>
    <n v="35589016"/>
    <n v="206933"/>
    <n v="0"/>
    <n v="0"/>
    <n v="2.0365383387684893E-4"/>
    <n v="2.1697727529212165E-4"/>
    <s v=""/>
    <n v="5.6558764600252706E-2"/>
    <m/>
    <m/>
  </r>
  <r>
    <x v="0"/>
    <x v="0"/>
    <x v="2"/>
    <x v="4"/>
    <s v="SoCTGas"/>
    <x v="7"/>
    <x v="4"/>
    <m/>
    <s v="engagement"/>
    <s v="Cost only"/>
    <x v="4"/>
    <m/>
    <m/>
    <n v="50000"/>
    <m/>
    <n v="0"/>
    <n v="0"/>
    <n v="0"/>
    <n v="392823442"/>
    <n v="35589016"/>
    <n v="206933"/>
    <n v="0"/>
    <n v="0"/>
    <n v="1.2728364617303059E-4"/>
    <n v="1.3561079705757604E-4"/>
    <s v=""/>
    <n v="3.5349227875157943E-2"/>
    <m/>
    <m/>
  </r>
  <r>
    <x v="0"/>
    <x v="0"/>
    <x v="2"/>
    <x v="4"/>
    <s v="SoCTGas"/>
    <x v="7"/>
    <x v="4"/>
    <m/>
    <s v="loan"/>
    <s v="Cost only"/>
    <x v="4"/>
    <m/>
    <m/>
    <n v="86292"/>
    <m/>
    <n v="0"/>
    <n v="0"/>
    <n v="0"/>
    <n v="392823442"/>
    <n v="35589016"/>
    <n v="206933"/>
    <n v="0"/>
    <n v="0"/>
    <n v="2.1967120791126311E-4"/>
    <n v="2.3404253799384702E-4"/>
    <s v=""/>
    <n v="6.1007111436062585E-2"/>
    <m/>
    <m/>
  </r>
  <r>
    <x v="0"/>
    <x v="0"/>
    <x v="2"/>
    <x v="4"/>
    <s v="SoCTGas"/>
    <x v="7"/>
    <x v="4"/>
    <m/>
    <s v="financing"/>
    <s v="Cost only"/>
    <x v="4"/>
    <m/>
    <m/>
    <n v="75000"/>
    <m/>
    <n v="0"/>
    <n v="0"/>
    <n v="0"/>
    <n v="392823442"/>
    <n v="35589016"/>
    <n v="206933"/>
    <n v="0"/>
    <n v="0"/>
    <n v="1.9092546925954587E-4"/>
    <n v="2.0341619558636407E-4"/>
    <s v=""/>
    <n v="5.3023841812736915E-2"/>
    <m/>
    <m/>
  </r>
  <r>
    <x v="0"/>
    <x v="0"/>
    <x v="2"/>
    <x v="4"/>
    <s v="SoCTGas"/>
    <x v="7"/>
    <x v="4"/>
    <m/>
    <s v="R&amp;D"/>
    <s v="Cost only"/>
    <x v="4"/>
    <m/>
    <m/>
    <n v="50000"/>
    <m/>
    <n v="0"/>
    <n v="0"/>
    <n v="0"/>
    <n v="392823442"/>
    <n v="35589016"/>
    <n v="206933"/>
    <n v="0"/>
    <n v="0"/>
    <n v="1.2728364617303059E-4"/>
    <n v="1.3561079705757604E-4"/>
    <s v=""/>
    <n v="3.5349227875157943E-2"/>
    <m/>
    <m/>
  </r>
  <r>
    <x v="0"/>
    <x v="0"/>
    <x v="2"/>
    <x v="4"/>
    <s v="SoCTGas"/>
    <x v="7"/>
    <x v="4"/>
    <m/>
    <s v="Admin"/>
    <s v="Cost only"/>
    <x v="4"/>
    <m/>
    <m/>
    <n v="1697346"/>
    <m/>
    <n v="0"/>
    <n v="0"/>
    <n v="0"/>
    <n v="392823442"/>
    <n v="35589016"/>
    <n v="206933"/>
    <n v="0"/>
    <n v="0"/>
    <n v="4.3208877539441751E-3"/>
    <n v="4.6035688788497696E-3"/>
    <s v=""/>
    <n v="1.1999974107397566"/>
    <m/>
    <m/>
  </r>
  <r>
    <x v="0"/>
    <x v="0"/>
    <x v="1"/>
    <x v="5"/>
    <s v="FortisBC"/>
    <x v="8"/>
    <x v="0"/>
    <m/>
    <m/>
    <m/>
    <x v="2"/>
    <n v="2372566.2865490001"/>
    <n v="2636184.762832222"/>
    <n v="43994000"/>
    <m/>
    <n v="874680000"/>
    <n v="82460085.7641761"/>
    <n v="976170"/>
    <n v="1429680000"/>
    <n v="158285451.98410821"/>
    <n v="1074614"/>
    <n v="1.4468303116342289E-3"/>
    <n v="1.6075892351491432E-3"/>
    <n v="3.0771920989312293E-2"/>
    <n v="2.682827160231659E-2"/>
    <n v="18.542790669082283"/>
    <n v="2.8984971877448711"/>
    <m/>
    <m/>
  </r>
  <r>
    <x v="0"/>
    <x v="0"/>
    <x v="1"/>
    <x v="5"/>
    <s v="FortisBC"/>
    <x v="8"/>
    <x v="2"/>
    <m/>
    <m/>
    <m/>
    <x v="2"/>
    <n v="5343944.4605359994"/>
    <n v="5937716.0672622211"/>
    <n v="26570000"/>
    <m/>
    <n v="555000000"/>
    <n v="75825366.219932109"/>
    <n v="98444"/>
    <n v="1429680000"/>
    <n v="158285451.98410821"/>
    <n v="1074614"/>
    <n v="3.2588260538926905E-3"/>
    <n v="3.6209178376585445E-3"/>
    <n v="1.8584578367187063E-2"/>
    <n v="1.6202827123552116E-2"/>
    <n v="2.3512764307243987"/>
    <n v="1.7505357612033736"/>
    <m/>
    <m/>
  </r>
  <r>
    <x v="0"/>
    <x v="0"/>
    <x v="1"/>
    <x v="5"/>
    <s v="FortisBC"/>
    <x v="8"/>
    <x v="2"/>
    <m/>
    <m/>
    <m/>
    <x v="2"/>
    <n v="5956300.6543330001"/>
    <n v="6618111.8381477781"/>
    <n v="6848000"/>
    <m/>
    <n v="555000000"/>
    <n v="75825366.219932109"/>
    <n v="98444"/>
    <n v="1429680000"/>
    <n v="158285451.98410821"/>
    <n v="1074614"/>
    <n v="3.6322510274015038E-3"/>
    <n v="4.0358344748905595E-3"/>
    <n v="4.7898830507526156E-3"/>
    <n v="4.1760240926640912E-3"/>
    <n v="0.60600455391797825"/>
    <n v="0.45117308591346267"/>
    <m/>
    <m/>
  </r>
  <r>
    <x v="0"/>
    <x v="0"/>
    <x v="1"/>
    <x v="5"/>
    <s v="FortisBC"/>
    <x v="8"/>
    <x v="1"/>
    <n v="1"/>
    <m/>
    <m/>
    <x v="3"/>
    <n v="733686.26076799992"/>
    <n v="815206.9564088888"/>
    <n v="13251000"/>
    <m/>
    <n v="0"/>
    <n v="0"/>
    <n v="0"/>
    <n v="1429680000"/>
    <n v="158285451.98410821"/>
    <n v="1074614"/>
    <n v="4.4741406270791426E-4"/>
    <n v="4.9712673634212689E-4"/>
    <n v="9.2685076380728555E-3"/>
    <n v="8.0806797972972945E-3"/>
    <n v="18.060853403645947"/>
    <n v="0.87302782731298101"/>
    <m/>
    <m/>
  </r>
  <r>
    <x v="0"/>
    <x v="0"/>
    <x v="1"/>
    <x v="5"/>
    <s v="FortisBC"/>
    <x v="8"/>
    <x v="3"/>
    <m/>
    <m/>
    <s v="Cost only"/>
    <x v="4"/>
    <n v="771712.68281999999"/>
    <m/>
    <n v="9713000"/>
    <m/>
    <n v="0"/>
    <n v="0"/>
    <n v="0"/>
    <n v="1429680000"/>
    <n v="158285451.98410821"/>
    <n v="1074614"/>
    <n v="4.7060320620192196E-4"/>
    <n v="0"/>
    <n v="6.7938279894801633E-3"/>
    <n v="5.9231486583011562E-3"/>
    <n v="12.586290488976625"/>
    <n v="0.63993051744705942"/>
    <m/>
    <m/>
  </r>
  <r>
    <x v="0"/>
    <x v="0"/>
    <x v="1"/>
    <x v="5"/>
    <s v="FortisBC"/>
    <x v="8"/>
    <x v="3"/>
    <m/>
    <m/>
    <s v="Cost only"/>
    <x v="4"/>
    <m/>
    <m/>
    <n v="40700"/>
    <m/>
    <n v="0"/>
    <n v="0"/>
    <n v="0"/>
    <n v="1429680000"/>
    <n v="158285451.98410821"/>
    <n v="1074614"/>
    <n v="0"/>
    <n v="0"/>
    <n v="2.846790890269151E-5"/>
    <n v="2.4819535714285707E-5"/>
    <n v="5.2739835571023228E-2"/>
    <n v="2.6814755544214267E-3"/>
    <m/>
    <m/>
  </r>
  <r>
    <x v="0"/>
    <x v="0"/>
    <x v="1"/>
    <x v="5"/>
    <s v="Enbridge"/>
    <x v="9"/>
    <x v="0"/>
    <m/>
    <m/>
    <m/>
    <x v="4"/>
    <m/>
    <n v="0"/>
    <m/>
    <m/>
    <n v="1047994412.7701588"/>
    <n v="270776347.77599996"/>
    <n v="3711979"/>
    <n v="3425062807.5999999"/>
    <n v="884953189.29599977"/>
    <n v="3728492"/>
    <n v="0"/>
    <n v="0"/>
    <n v="0"/>
    <n v="0"/>
    <n v="0"/>
    <n v="0"/>
    <m/>
    <m/>
  </r>
  <r>
    <x v="0"/>
    <x v="0"/>
    <x v="1"/>
    <x v="5"/>
    <s v="Enbridge"/>
    <x v="9"/>
    <x v="1"/>
    <n v="1"/>
    <m/>
    <m/>
    <x v="4"/>
    <m/>
    <m/>
    <m/>
    <m/>
    <n v="0"/>
    <n v="0"/>
    <n v="0"/>
    <n v="3425062807.5999999"/>
    <n v="884953189.29599977"/>
    <n v="3728492"/>
    <n v="0"/>
    <n v="0"/>
    <n v="0"/>
    <n v="0"/>
    <n v="0"/>
    <n v="0"/>
    <m/>
    <m/>
  </r>
  <r>
    <x v="0"/>
    <x v="0"/>
    <x v="1"/>
    <x v="5"/>
    <s v="Enbridge"/>
    <x v="9"/>
    <x v="2"/>
    <m/>
    <m/>
    <m/>
    <x v="4"/>
    <m/>
    <n v="0"/>
    <m/>
    <m/>
    <n v="2377068394.8298411"/>
    <n v="614176841.51999986"/>
    <n v="16513"/>
    <n v="3425062807.5999999"/>
    <n v="884953189.29599977"/>
    <n v="3728492"/>
    <n v="0"/>
    <n v="0"/>
    <n v="0"/>
    <n v="0"/>
    <n v="0"/>
    <n v="0"/>
    <m/>
    <m/>
  </r>
  <r>
    <x v="0"/>
    <x v="0"/>
    <x v="1"/>
    <x v="5"/>
    <s v="Enbridge"/>
    <x v="9"/>
    <x v="3"/>
    <m/>
    <m/>
    <s v="Cost only"/>
    <x v="4"/>
    <m/>
    <m/>
    <m/>
    <m/>
    <n v="0"/>
    <n v="0"/>
    <n v="0"/>
    <n v="3425062807.5999999"/>
    <n v="884953189.29599977"/>
    <n v="3728492"/>
    <n v="0"/>
    <n v="0"/>
    <n v="0"/>
    <n v="0"/>
    <s v=""/>
    <n v="0"/>
    <m/>
    <m/>
  </r>
  <r>
    <x v="0"/>
    <x v="1"/>
    <x v="2"/>
    <x v="1"/>
    <s v="North Shore"/>
    <x v="10"/>
    <x v="0"/>
    <m/>
    <m/>
    <m/>
    <x v="6"/>
    <n v="531479"/>
    <n v="590532.22222222225"/>
    <n v="1168715"/>
    <m/>
    <n v="167544558"/>
    <n v="18513926"/>
    <n v="151220"/>
    <n v="217334481"/>
    <n v="32931441"/>
    <n v="163669"/>
    <n v="1.5578140590951299E-3"/>
    <n v="1.7309045101056998E-3"/>
    <n v="5.3774946093344484E-3"/>
    <n v="3.4256116574227103E-3"/>
    <n v="2.1990276008572467"/>
    <n v="0.78527634156092418"/>
    <m/>
    <m/>
  </r>
  <r>
    <x v="0"/>
    <x v="1"/>
    <x v="2"/>
    <x v="1"/>
    <s v="North Shore"/>
    <x v="10"/>
    <x v="1"/>
    <n v="1"/>
    <m/>
    <m/>
    <x v="6"/>
    <n v="104071"/>
    <n v="115634.44444444444"/>
    <n v="773839"/>
    <m/>
    <n v="0"/>
    <n v="0"/>
    <n v="0"/>
    <n v="217334481"/>
    <n v="32931441"/>
    <n v="163669"/>
    <n v="3.0504171744149676E-4"/>
    <n v="3.3893524160166305E-4"/>
    <n v="3.5605900933869763E-3"/>
    <n v="2.2681936138137463E-3"/>
    <n v="7.4356833315717159"/>
    <n v="0.51995350352922998"/>
    <m/>
    <m/>
  </r>
  <r>
    <x v="0"/>
    <x v="0"/>
    <x v="2"/>
    <x v="1"/>
    <s v="North Shore"/>
    <x v="10"/>
    <x v="0"/>
    <m/>
    <s v="Outreach and Education"/>
    <m/>
    <x v="13"/>
    <n v="22384"/>
    <n v="24871.111111111109"/>
    <n v="27153"/>
    <n v="24673"/>
    <n v="167544558"/>
    <n v="18513926"/>
    <n v="151220"/>
    <n v="217334481"/>
    <n v="32931441"/>
    <n v="163669"/>
    <n v="6.5609572342059395E-5"/>
    <n v="7.2899524824510437E-5"/>
    <n v="1.2493645681561225E-4"/>
    <n v="7.9587952010540505E-5"/>
    <n v="5.1090468117613634E-2"/>
    <n v="1.8244489462703715E-2"/>
    <m/>
    <m/>
  </r>
  <r>
    <x v="0"/>
    <x v="0"/>
    <x v="2"/>
    <x v="1"/>
    <s v="North Shore"/>
    <x v="10"/>
    <x v="0"/>
    <m/>
    <s v="Home Energy Rebate"/>
    <m/>
    <x v="5"/>
    <n v="374980"/>
    <n v="416644.44444444444"/>
    <n v="689409"/>
    <n v="338885"/>
    <n v="167544558"/>
    <n v="18513926"/>
    <n v="151220"/>
    <n v="217334481"/>
    <n v="32931441"/>
    <n v="163669"/>
    <n v="1.0991010291648245E-3"/>
    <n v="1.2212233657386939E-3"/>
    <n v="3.1721105497291061E-3"/>
    <n v="2.0207214822537001E-3"/>
    <n v="1.2971763169629837"/>
    <n v="0.46322377770386719"/>
    <m/>
    <m/>
  </r>
  <r>
    <x v="0"/>
    <x v="0"/>
    <x v="2"/>
    <x v="1"/>
    <s v="North Shore"/>
    <x v="10"/>
    <x v="0"/>
    <m/>
    <s v="Single Family Home Energy Jumpstart"/>
    <m/>
    <x v="6"/>
    <n v="52165"/>
    <n v="57961.111111111109"/>
    <n v="27153"/>
    <n v="144499"/>
    <n v="167544558"/>
    <n v="18513926"/>
    <n v="151220"/>
    <n v="217334481"/>
    <n v="32931441"/>
    <n v="163669"/>
    <n v="1.5290043518689816E-4"/>
    <n v="1.6988937242988682E-4"/>
    <n v="1.2493645681561225E-4"/>
    <n v="7.9587952010540505E-5"/>
    <n v="5.1090468117613634E-2"/>
    <n v="1.8244489462703715E-2"/>
    <m/>
    <m/>
  </r>
  <r>
    <x v="0"/>
    <x v="0"/>
    <x v="2"/>
    <x v="1"/>
    <s v="North Shore"/>
    <x v="10"/>
    <x v="0"/>
    <m/>
    <s v="Multi-Family Assessments &amp; Rebates/Grants"/>
    <m/>
    <x v="6"/>
    <n v="81940"/>
    <n v="91044.444444444438"/>
    <n v="172795"/>
    <n v="98360"/>
    <n v="167544558"/>
    <n v="18513926"/>
    <n v="151220"/>
    <n v="217334481"/>
    <n v="32931441"/>
    <n v="163669"/>
    <n v="2.4017371147732071E-4"/>
    <n v="2.6685967941924524E-4"/>
    <n v="7.9506481992611198E-4"/>
    <n v="5.0647811172472082E-4"/>
    <n v="0.32512714758527778"/>
    <n v="0.11610343449003382"/>
    <m/>
    <m/>
  </r>
  <r>
    <x v="0"/>
    <x v="0"/>
    <x v="2"/>
    <x v="1"/>
    <s v="North Shore"/>
    <x v="10"/>
    <x v="1"/>
    <n v="1"/>
    <s v="Income Eligible Multi-Family"/>
    <m/>
    <x v="6"/>
    <n v="35654"/>
    <n v="39615.555555555555"/>
    <n v="374526"/>
    <n v="257559"/>
    <n v="0"/>
    <n v="0"/>
    <n v="0"/>
    <n v="217334481"/>
    <n v="32931441"/>
    <n v="163669"/>
    <n v="1.0450516852590179E-4"/>
    <n v="1.1611685391766866E-4"/>
    <n v="1.7232700410755345E-3"/>
    <n v="1.0977703132139982E-3"/>
    <n v="3.5987546963130939"/>
    <n v="0.25164938167084933"/>
    <m/>
    <m/>
  </r>
  <r>
    <x v="0"/>
    <x v="0"/>
    <x v="2"/>
    <x v="1"/>
    <s v="North Shore"/>
    <x v="10"/>
    <x v="1"/>
    <n v="1"/>
    <s v="Income Eligible Single Family"/>
    <m/>
    <x v="6"/>
    <n v="68417"/>
    <n v="76018.888888888891"/>
    <n v="399313"/>
    <n v="332939"/>
    <n v="0"/>
    <n v="0"/>
    <n v="0"/>
    <n v="217334481"/>
    <n v="32931441"/>
    <n v="163669"/>
    <n v="2.0053654891559496E-4"/>
    <n v="2.228183876839944E-4"/>
    <n v="1.8373200523114416E-3"/>
    <n v="1.1704233005997483E-3"/>
    <n v="3.8369286352586216"/>
    <n v="0.2683041218583806"/>
    <m/>
    <m/>
  </r>
  <r>
    <x v="0"/>
    <x v="0"/>
    <x v="2"/>
    <x v="1"/>
    <s v="North Shore"/>
    <x v="10"/>
    <x v="2"/>
    <m/>
    <s v="Small/Mid-Size Business Assessments and Rebates"/>
    <m/>
    <x v="6"/>
    <n v="165242"/>
    <n v="183602.22222222222"/>
    <n v="328946"/>
    <n v="177849"/>
    <n v="49789923"/>
    <n v="14417515"/>
    <n v="12449"/>
    <n v="217334481"/>
    <n v="32931441"/>
    <n v="163669"/>
    <n v="4.8433957080712018E-4"/>
    <n v="5.3815507867457793E-4"/>
    <n v="1.513547222173181E-3"/>
    <n v="9.6417112149888625E-4"/>
    <n v="0.38574954998270294"/>
    <n v="0.22102352707982678"/>
    <m/>
    <m/>
  </r>
  <r>
    <x v="0"/>
    <x v="0"/>
    <x v="2"/>
    <x v="1"/>
    <s v="North Shore"/>
    <x v="10"/>
    <x v="2"/>
    <m/>
    <s v="Rebates Grants and Studies"/>
    <m/>
    <x v="6"/>
    <n v="601692"/>
    <n v="668546.66666666663"/>
    <n v="695681"/>
    <n v="424018"/>
    <n v="49789923"/>
    <n v="14417515"/>
    <n v="12449"/>
    <n v="217334481"/>
    <n v="32931441"/>
    <n v="163669"/>
    <n v="1.7636148499659756E-3"/>
    <n v="1.9595720555177507E-3"/>
    <n v="3.2009692930409879E-3"/>
    <n v="2.039105293803441E-3"/>
    <n v="0.81581363713654143"/>
    <n v="0.46743802430314085"/>
    <m/>
    <m/>
  </r>
  <r>
    <x v="0"/>
    <x v="0"/>
    <x v="2"/>
    <x v="1"/>
    <s v="North Shore"/>
    <x v="10"/>
    <x v="2"/>
    <m/>
    <s v="Public Sector Rebates, Grants, and Studies"/>
    <m/>
    <x v="6"/>
    <n v="45760"/>
    <n v="50844.444444444445"/>
    <n v="359724"/>
    <n v="259051"/>
    <n v="49789923"/>
    <n v="14417515"/>
    <n v="12449"/>
    <n v="217334481"/>
    <n v="32931441"/>
    <n v="163669"/>
    <n v="1.3412678834759818E-4"/>
    <n v="1.4902976483066466E-4"/>
    <n v="1.6551630387632785E-3"/>
    <n v="1.0543842834692179E-3"/>
    <n v="0.42184240306304932"/>
    <n v="0.24170370594341808"/>
    <m/>
    <m/>
  </r>
  <r>
    <x v="0"/>
    <x v="0"/>
    <x v="2"/>
    <x v="1"/>
    <s v="North Shore"/>
    <x v="10"/>
    <x v="2"/>
    <m/>
    <s v="Commercial Food Service Program"/>
    <m/>
    <x v="6"/>
    <n v="40051"/>
    <n v="44501.111111111109"/>
    <n v="123018"/>
    <n v="76464"/>
    <n v="49789923"/>
    <n v="14417515"/>
    <n v="12449"/>
    <n v="217334481"/>
    <n v="32931441"/>
    <n v="163669"/>
    <n v="1.1739318182057813E-4"/>
    <n v="1.3043686868953125E-4"/>
    <n v="5.6603075330692696E-4"/>
    <n v="3.6057712519547275E-4"/>
    <n v="0.14426118007141642"/>
    <n v="8.2657555508521552E-2"/>
    <m/>
    <m/>
  </r>
  <r>
    <x v="0"/>
    <x v="1"/>
    <x v="2"/>
    <x v="1"/>
    <s v="North Shore"/>
    <x v="10"/>
    <x v="2"/>
    <m/>
    <m/>
    <m/>
    <x v="6"/>
    <n v="852745"/>
    <n v="947494.44444444438"/>
    <n v="1507368"/>
    <m/>
    <n v="49789923"/>
    <n v="14417515"/>
    <n v="12449"/>
    <n v="217334481"/>
    <n v="32931441"/>
    <n v="163669"/>
    <n v="2.4994743909412722E-3"/>
    <n v="2.7771937677125245E-3"/>
    <n v="6.9357057060816778E-3"/>
    <n v="4.4182348928746154E-3"/>
    <n v="1.7676655975701998"/>
    <n v="1.0128221409205898"/>
    <m/>
    <m/>
  </r>
  <r>
    <x v="0"/>
    <x v="0"/>
    <x v="2"/>
    <x v="1"/>
    <s v="North Shore"/>
    <x v="10"/>
    <x v="4"/>
    <m/>
    <m/>
    <s v="Cost only"/>
    <x v="4"/>
    <m/>
    <m/>
    <n v="748678"/>
    <m/>
    <n v="0"/>
    <n v="0"/>
    <n v="0"/>
    <n v="217334481"/>
    <n v="32931441"/>
    <n v="163669"/>
    <n v="0"/>
    <n v="0"/>
    <n v="3.4448192323426122E-3"/>
    <n v="2.1944443978693861E-3"/>
    <s v=""/>
    <n v="0.50304746738695882"/>
    <m/>
    <m/>
  </r>
  <r>
    <x v="0"/>
    <x v="0"/>
    <x v="2"/>
    <x v="6"/>
    <s v="FOE"/>
    <x v="11"/>
    <x v="2"/>
    <m/>
    <m/>
    <m/>
    <x v="6"/>
    <n v="8399342.6439781673"/>
    <n v="8399342.6439781673"/>
    <n v="46339045.357130289"/>
    <m/>
    <n v="752986994"/>
    <n v="243873377"/>
    <n v="177177"/>
    <n v="2005244600"/>
    <n v="372912706"/>
    <n v="1957656"/>
    <n v="2.1740942220867961E-3"/>
    <n v="2.1740942220867961E-3"/>
    <n v="2.3108924146775057E-2"/>
    <n v="1.1994444689095222E-2"/>
    <n v="5.5169847595576602"/>
    <n v="3.6005832347928783"/>
    <m/>
    <m/>
  </r>
  <r>
    <x v="0"/>
    <x v="0"/>
    <x v="2"/>
    <x v="6"/>
    <s v="FOE"/>
    <x v="11"/>
    <x v="0"/>
    <m/>
    <m/>
    <m/>
    <x v="6"/>
    <n v="4470529.3560218317"/>
    <n v="4470529.3560218317"/>
    <n v="35513942.642869711"/>
    <m/>
    <n v="1252257606"/>
    <n v="129039329"/>
    <n v="1780479"/>
    <n v="2005244600"/>
    <n v="372912706"/>
    <n v="1957656"/>
    <n v="1.1571562745525891E-3"/>
    <n v="1.1571562745525891E-3"/>
    <n v="1.7710529001234918E-2"/>
    <n v="9.1924643125185987E-3"/>
    <n v="7.9440128482843315"/>
    <n v="2.7594635473351801"/>
    <m/>
    <m/>
  </r>
  <r>
    <x v="0"/>
    <x v="0"/>
    <x v="0"/>
    <x v="7"/>
    <s v="ConEd"/>
    <x v="12"/>
    <x v="2"/>
    <m/>
    <m/>
    <m/>
    <x v="2"/>
    <n v="3758090"/>
    <n v="4175655.5555555555"/>
    <n v="38500000"/>
    <m/>
    <n v="606561766"/>
    <n v="121208475"/>
    <n v="151875"/>
    <n v="2138075249"/>
    <n v="221235059"/>
    <n v="1074774"/>
    <n v="1.639658748661531E-3"/>
    <n v="1.8218430540683679E-3"/>
    <n v="1.8006849860876903E-2"/>
    <n v="1.6797591814849817E-2"/>
    <n v="10.244565723545737"/>
    <n v="5.634510248369212"/>
    <m/>
    <m/>
  </r>
  <r>
    <x v="0"/>
    <x v="0"/>
    <x v="0"/>
    <x v="7"/>
    <s v="ConEd"/>
    <x v="12"/>
    <x v="0"/>
    <m/>
    <m/>
    <m/>
    <x v="2"/>
    <n v="1360532"/>
    <n v="1511702.2222222222"/>
    <n v="31500000"/>
    <m/>
    <n v="1531513483"/>
    <n v="100026584"/>
    <n v="922899"/>
    <n v="2138075249"/>
    <n v="221235059"/>
    <n v="1074774"/>
    <n v="5.9360158927379873E-4"/>
    <n v="6.5955732141533192E-4"/>
    <n v="1.4732877158899284E-2"/>
    <n v="1.3743484212149852E-2"/>
    <n v="23.152707911317044"/>
    <n v="4.6100538395748094"/>
    <m/>
    <m/>
  </r>
  <r>
    <x v="0"/>
    <x v="0"/>
    <x v="0"/>
    <x v="7"/>
    <s v="ConEd"/>
    <x v="12"/>
    <x v="1"/>
    <n v="1"/>
    <m/>
    <m/>
    <x v="3"/>
    <n v="1714270"/>
    <n v="1904744.4444444445"/>
    <n v="25000000"/>
    <m/>
    <n v="0"/>
    <n v="0"/>
    <n v="0"/>
    <n v="2138075249"/>
    <n v="221235059"/>
    <n v="1074774"/>
    <n v="7.479378628686388E-4"/>
    <n v="8.3104206985404317E-4"/>
    <n v="1.1692759649920066E-2"/>
    <n v="1.0907527152499881E-2"/>
    <n v="14.583467015114305"/>
    <n v="3.6587728885514363"/>
    <m/>
    <m/>
  </r>
  <r>
    <x v="0"/>
    <x v="0"/>
    <x v="0"/>
    <x v="7"/>
    <s v="Ngrid"/>
    <x v="13"/>
    <x v="2"/>
    <m/>
    <m/>
    <m/>
    <x v="2"/>
    <n v="7985528"/>
    <n v="8872808.8888888881"/>
    <n v="97349337.507187918"/>
    <m/>
    <n v="506314418"/>
    <n v="103186096"/>
    <n v="110262"/>
    <n v="1750657898"/>
    <n v="208185403"/>
    <n v="1252816"/>
    <n v="3.7024875418564338E-3"/>
    <n v="4.1138750465071483E-3"/>
    <n v="5.5607287762162151E-2"/>
    <n v="4.5135989671358054E-2"/>
    <n v="12.190720201242538"/>
    <n v="11.334359177305968"/>
    <m/>
    <m/>
  </r>
  <r>
    <x v="0"/>
    <x v="0"/>
    <x v="0"/>
    <x v="7"/>
    <s v="Ngrid"/>
    <x v="13"/>
    <x v="0"/>
    <m/>
    <m/>
    <m/>
    <x v="2"/>
    <n v="353342"/>
    <n v="392602.22222222219"/>
    <n v="54274409.406662285"/>
    <m/>
    <n v="1244343480"/>
    <n v="104999307"/>
    <n v="1142554"/>
    <n v="1750657898"/>
    <n v="208185403"/>
    <n v="1252816"/>
    <n v="1.6382690700159538E-4"/>
    <n v="1.8202989666843932E-4"/>
    <n v="3.1002293177134647E-2"/>
    <n v="2.5164312825624396E-2"/>
    <n v="153.6030514534425"/>
    <n v="6.3191560015068671"/>
    <m/>
    <m/>
  </r>
  <r>
    <x v="0"/>
    <x v="0"/>
    <x v="0"/>
    <x v="7"/>
    <s v="Ngrid"/>
    <x v="13"/>
    <x v="1"/>
    <n v="1"/>
    <m/>
    <m/>
    <x v="3"/>
    <n v="250000"/>
    <n v="277777.77777777775"/>
    <n v="43074928.100525633"/>
    <m/>
    <n v="0"/>
    <n v="0"/>
    <n v="0"/>
    <n v="1750657898"/>
    <n v="208185403"/>
    <n v="1252816"/>
    <n v="1.1591242125306033E-4"/>
    <n v="1.2879157917006703E-4"/>
    <n v="2.4604994585027504E-2"/>
    <n v="1.9971676845733654E-2"/>
    <n v="172.29971240210253"/>
    <n v="5.015203175799102"/>
    <m/>
    <m/>
  </r>
  <r>
    <x v="0"/>
    <x v="0"/>
    <x v="2"/>
    <x v="8"/>
    <s v="NW Natural"/>
    <x v="14"/>
    <x v="2"/>
    <m/>
    <s v="New Buildings"/>
    <m/>
    <x v="0"/>
    <n v="310199"/>
    <n v="310199"/>
    <n v="1213218"/>
    <n v="511807"/>
    <n v="255520153"/>
    <n v="64985853"/>
    <n v="62300"/>
    <n v="687184546"/>
    <n v="101857886"/>
    <n v="688078"/>
    <n v="2.9395847089334269E-4"/>
    <n v="2.9395847089334269E-4"/>
    <n v="1.7654908089274756E-3"/>
    <n v="1.1496997351386673E-3"/>
    <n v="0.42091221272612594"/>
    <n v="0.21532180388436048"/>
    <s v="Some of the programs I didn’t know how to split out by res / commercial"/>
    <s v="https://www.energytrust.org/wp-content/uploads/2023/10/Action-plans_2024-2025.pdf "/>
  </r>
  <r>
    <x v="0"/>
    <x v="0"/>
    <x v="3"/>
    <x v="8"/>
    <s v="NW Natural"/>
    <x v="14"/>
    <x v="2"/>
    <m/>
    <s v="New Buildings"/>
    <m/>
    <x v="0"/>
    <n v="313826"/>
    <n v="313826"/>
    <n v="1353587"/>
    <n v="571892"/>
    <n v="255520153"/>
    <n v="64985853"/>
    <n v="62300"/>
    <n v="687184546"/>
    <n v="101857886"/>
    <n v="688078"/>
    <n v="2.9739557860139514E-4"/>
    <n v="2.9739557860139514E-4"/>
    <n v="1.9697576260686166E-3"/>
    <n v="1.2827196887839969E-3"/>
    <n v="0.50846587280718225"/>
    <n v="0.23479783878447932"/>
    <s v="Gas Savings = &quot;Gas Savings Annual Goal&quot; - not sure if net or gross"/>
    <s v="^page 61"/>
  </r>
  <r>
    <x v="0"/>
    <x v="0"/>
    <x v="2"/>
    <x v="8"/>
    <s v="NW Natural"/>
    <x v="14"/>
    <x v="1"/>
    <m/>
    <s v="Low-Income Program"/>
    <m/>
    <x v="1"/>
    <n v="5425"/>
    <n v="5425"/>
    <n v="177428"/>
    <m/>
    <n v="0"/>
    <n v="0"/>
    <n v="0"/>
    <n v="687184546"/>
    <n v="101857886"/>
    <n v="688078"/>
    <n v="5.14097306759978E-6"/>
    <n v="5.14097306759978E-6"/>
    <n v="2.5819556192405993E-4"/>
    <n v="1.6813872247706797E-4"/>
    <n v="32.705622119815665"/>
    <n v="3.1489902902523959E-2"/>
    <m/>
    <m/>
  </r>
  <r>
    <x v="0"/>
    <x v="0"/>
    <x v="2"/>
    <x v="8"/>
    <s v="NW Natural"/>
    <x v="14"/>
    <x v="0"/>
    <m/>
    <s v="Existing Buildings w MF"/>
    <m/>
    <x v="6"/>
    <n v="901621"/>
    <n v="901621"/>
    <n v="6561682"/>
    <n v="2883808"/>
    <n v="431664393"/>
    <n v="36872033"/>
    <n v="625778"/>
    <n v="687184546"/>
    <n v="101857886"/>
    <n v="688078"/>
    <n v="8.5441645680781216E-4"/>
    <n v="8.5441645680781216E-4"/>
    <n v="9.5486460488591954E-3"/>
    <n v="6.2181438599362695E-3"/>
    <n v="2.3889659521266178"/>
    <n v="1.1645666358029128"/>
    <m/>
    <m/>
  </r>
  <r>
    <x v="0"/>
    <x v="0"/>
    <x v="3"/>
    <x v="8"/>
    <s v="NW Natural"/>
    <x v="14"/>
    <x v="0"/>
    <m/>
    <s v="Existing Buildings w MF"/>
    <m/>
    <x v="2"/>
    <n v="930130"/>
    <n v="930130"/>
    <n v="7056574"/>
    <n v="3019968"/>
    <n v="431664393"/>
    <n v="36872033"/>
    <n v="625778"/>
    <n v="687184546"/>
    <n v="101857886"/>
    <n v="688078"/>
    <n v="8.8143286255605222E-4"/>
    <n v="8.8143286255605222E-4"/>
    <n v="1.0268819403863602E-2"/>
    <n v="6.6871256928156403E-3"/>
    <n v="2.2742570913277151"/>
    <n v="1.2240575038196646"/>
    <m/>
    <m/>
  </r>
  <r>
    <x v="0"/>
    <x v="0"/>
    <x v="2"/>
    <x v="8"/>
    <s v="NW Natural"/>
    <x v="14"/>
    <x v="2"/>
    <m/>
    <s v="NEEA Commercial"/>
    <m/>
    <x v="6"/>
    <n v="120737"/>
    <n v="120737"/>
    <n v="877228"/>
    <m/>
    <n v="255520153"/>
    <n v="64985853"/>
    <n v="62300"/>
    <n v="687184546"/>
    <n v="101857886"/>
    <n v="688078"/>
    <n v="1.1441579083185155E-4"/>
    <n v="1.1441579083185155E-4"/>
    <n v="1.2765537367017564E-3"/>
    <n v="8.3130055707731233E-4"/>
    <n v="0.30434429636331972"/>
    <n v="0.15569033378821431"/>
    <m/>
    <m/>
  </r>
  <r>
    <x v="0"/>
    <x v="0"/>
    <x v="3"/>
    <x v="8"/>
    <s v="NW Natural"/>
    <x v="14"/>
    <x v="2"/>
    <m/>
    <s v="NEEA Commercial"/>
    <m/>
    <x v="2"/>
    <n v="110873"/>
    <n v="110873"/>
    <n v="1012434"/>
    <m/>
    <n v="255520153"/>
    <n v="64985853"/>
    <n v="62300"/>
    <n v="687184546"/>
    <n v="101857886"/>
    <n v="688078"/>
    <n v="1.0506822247446828E-4"/>
    <n v="1.0506822247446828E-4"/>
    <n v="1.4733072882579057E-3"/>
    <n v="9.5942782059397526E-4"/>
    <n v="0.3803140377897149"/>
    <n v="0.17562027051968254"/>
    <m/>
    <m/>
  </r>
  <r>
    <x v="0"/>
    <x v="0"/>
    <x v="2"/>
    <x v="8"/>
    <s v="NW Natural"/>
    <x v="14"/>
    <x v="2"/>
    <m/>
    <s v="Industry and Agriculture"/>
    <m/>
    <x v="6"/>
    <n v="174865"/>
    <n v="174865"/>
    <n v="718917"/>
    <n v="474690"/>
    <n v="255520153"/>
    <n v="64985853"/>
    <n v="62300"/>
    <n v="687184546"/>
    <n v="101857886"/>
    <n v="688078"/>
    <n v="1.6570990884162869E-4"/>
    <n v="1.6570990884162869E-4"/>
    <n v="1.0461774849051975E-3"/>
    <n v="6.812779603391025E-4"/>
    <n v="0.24942009204976209"/>
    <n v="0.12759331404836788"/>
    <m/>
    <m/>
  </r>
  <r>
    <x v="0"/>
    <x v="0"/>
    <x v="3"/>
    <x v="8"/>
    <s v="NW Natural"/>
    <x v="14"/>
    <x v="2"/>
    <m/>
    <s v="Industry and Agriculture"/>
    <m/>
    <x v="2"/>
    <n v="189978"/>
    <n v="189978"/>
    <n v="782986"/>
    <n v="524079"/>
    <n v="255520153"/>
    <n v="64985853"/>
    <n v="62300"/>
    <n v="687184546"/>
    <n v="101857886"/>
    <n v="688078"/>
    <n v="1.8003166478091631E-4"/>
    <n v="1.8003166478091631E-4"/>
    <n v="1.139411537348513E-3"/>
    <n v="7.4199261535625458E-4"/>
    <n v="0.29412343638480898"/>
    <n v="0.13581943428719714"/>
    <m/>
    <m/>
  </r>
  <r>
    <x v="0"/>
    <x v="0"/>
    <x v="2"/>
    <x v="8"/>
    <s v="NW Natural"/>
    <x v="14"/>
    <x v="0"/>
    <m/>
    <s v="Residential"/>
    <m/>
    <x v="6"/>
    <n v="1836352"/>
    <n v="1836352"/>
    <n v="20124864"/>
    <n v="10882264"/>
    <n v="431664393"/>
    <n v="36872033"/>
    <n v="625778"/>
    <n v="687184546"/>
    <n v="101857886"/>
    <n v="688078"/>
    <n v="1.740209433112072E-3"/>
    <n v="1.740209433112072E-3"/>
    <n v="2.9285967091582411E-2"/>
    <n v="1.9071222822692788E-2"/>
    <n v="7.3270260410636618"/>
    <n v="3.5717587600970533"/>
    <m/>
    <m/>
  </r>
  <r>
    <x v="0"/>
    <x v="0"/>
    <x v="3"/>
    <x v="8"/>
    <s v="NW Natural"/>
    <x v="14"/>
    <x v="0"/>
    <m/>
    <s v="Residential"/>
    <m/>
    <x v="2"/>
    <n v="2163994"/>
    <n v="2163994"/>
    <n v="20885017"/>
    <n v="11184549"/>
    <n v="431664393"/>
    <n v="36872033"/>
    <n v="625778"/>
    <n v="687184546"/>
    <n v="101857886"/>
    <n v="688078"/>
    <n v="2.0506976723405563E-3"/>
    <n v="2.0506976723405563E-3"/>
    <n v="3.0392151746672137E-2"/>
    <n v="1.9791577864214479E-2"/>
    <n v="6.7310139473843655"/>
    <n v="3.6227866066807008"/>
    <m/>
    <m/>
  </r>
  <r>
    <x v="0"/>
    <x v="0"/>
    <x v="2"/>
    <x v="8"/>
    <s v="NW Natural"/>
    <x v="14"/>
    <x v="0"/>
    <m/>
    <s v="NEEA Residential"/>
    <m/>
    <x v="6"/>
    <n v="8689"/>
    <n v="8689"/>
    <n v="61563"/>
    <m/>
    <n v="431664393"/>
    <n v="36872033"/>
    <n v="625778"/>
    <n v="687184546"/>
    <n v="101857886"/>
    <n v="688078"/>
    <n v="8.2340857114054357E-6"/>
    <n v="8.2340857114054357E-6"/>
    <n v="8.9587288244983324E-5"/>
    <n v="5.8339857135602815E-5"/>
    <n v="2.241375167384993E-2"/>
    <n v="1.0926194807967641E-2"/>
    <m/>
    <m/>
  </r>
  <r>
    <x v="0"/>
    <x v="0"/>
    <x v="3"/>
    <x v="8"/>
    <s v="NW Natural"/>
    <x v="14"/>
    <x v="0"/>
    <m/>
    <s v="NEEA Residential"/>
    <m/>
    <x v="2"/>
    <n v="8680"/>
    <n v="8680"/>
    <n v="77267"/>
    <m/>
    <n v="431664393"/>
    <n v="36872033"/>
    <n v="625778"/>
    <n v="687184546"/>
    <n v="101857886"/>
    <n v="688078"/>
    <n v="8.2255569081596484E-6"/>
    <n v="8.2255569081596484E-6"/>
    <n v="1.1243995583102068E-4"/>
    <n v="7.3221671154697176E-5"/>
    <n v="2.4902314164865071E-2"/>
    <n v="1.3402998558172001E-2"/>
    <m/>
    <m/>
  </r>
  <r>
    <x v="0"/>
    <x v="0"/>
    <x v="2"/>
    <x v="8"/>
    <s v="NW Natural"/>
    <x v="14"/>
    <x v="2"/>
    <m/>
    <s v="Industrial DSM"/>
    <m/>
    <x v="6"/>
    <n v="2276553"/>
    <n v="2276553"/>
    <n v="11719032"/>
    <n v="6309162"/>
    <n v="255520153"/>
    <n v="64985853"/>
    <n v="62300"/>
    <n v="687184546"/>
    <n v="101857886"/>
    <n v="688078"/>
    <n v="2.157363623956402E-3"/>
    <n v="2.157363623956402E-3"/>
    <n v="1.70536896794533E-2"/>
    <n v="1.1105479795454374E-2"/>
    <n v="4.0657851186911813"/>
    <n v="2.0798925749688388"/>
    <m/>
    <m/>
  </r>
  <r>
    <x v="0"/>
    <x v="0"/>
    <x v="3"/>
    <x v="8"/>
    <s v="NW Natural"/>
    <x v="14"/>
    <x v="2"/>
    <m/>
    <s v="Industrial DSM"/>
    <m/>
    <x v="2"/>
    <n v="2047423"/>
    <n v="2047423"/>
    <n v="12305607"/>
    <n v="6552150"/>
    <n v="255520153"/>
    <n v="64985853"/>
    <n v="62300"/>
    <n v="687184546"/>
    <n v="101857886"/>
    <n v="688078"/>
    <n v="1.9402297697666995E-3"/>
    <n v="1.9402297697666995E-3"/>
    <n v="1.7907281343314724E-2"/>
    <n v="1.1661344546998586E-2"/>
    <n v="4.622518688253634"/>
    <n v="2.134572752642542"/>
    <m/>
    <m/>
  </r>
  <r>
    <x v="0"/>
    <x v="0"/>
    <x v="2"/>
    <x v="7"/>
    <s v="Ngrid"/>
    <x v="13"/>
    <x v="2"/>
    <m/>
    <s v="Gas Commercial &amp; Industrial Program"/>
    <m/>
    <x v="6"/>
    <n v="4793950"/>
    <n v="5326611.111111111"/>
    <n v="9061987"/>
    <n v="5065383"/>
    <n v="506314418"/>
    <n v="103186096"/>
    <n v="110262"/>
    <n v="1750657898"/>
    <n v="208185403"/>
    <n v="1252816"/>
    <n v="2.2227134074644344E-3"/>
    <n v="2.4696815638493718E-3"/>
    <n v="5.1763322864807936E-3"/>
    <n v="4.2015874181350263E-3"/>
    <n v="1.8223584110749356"/>
    <n v="0.84085735653813465"/>
    <s v="Had Net values not gross"/>
    <s v="file:///C:/Users/ChristinaCarlson/Downloads/%7B6B539BFB-53F5-4C21-BF9A-CDB7A9AAF093%7D.pdf"/>
  </r>
  <r>
    <x v="0"/>
    <x v="0"/>
    <x v="3"/>
    <x v="7"/>
    <s v="Ngrid"/>
    <x v="13"/>
    <x v="2"/>
    <m/>
    <s v="Gas Commercial &amp; Industrial Program"/>
    <m/>
    <x v="2"/>
    <n v="3794290"/>
    <n v="4215877.777777778"/>
    <n v="6452630"/>
    <n v="3606830"/>
    <n v="506314418"/>
    <n v="103186096"/>
    <n v="110262"/>
    <n v="1750657898"/>
    <n v="208185403"/>
    <n v="1252816"/>
    <n v="1.7592213633450973E-3"/>
    <n v="1.9546904037167747E-3"/>
    <n v="3.6858314850500848E-3"/>
    <n v="2.9917598670005392E-3"/>
    <n v="1.6394918376421266"/>
    <n v="0.73327757392004966"/>
    <s v="Multifamily - nor res or ci"/>
    <s v="^page 34"/>
  </r>
  <r>
    <x v="0"/>
    <x v="0"/>
    <x v="2"/>
    <x v="7"/>
    <s v="Ngrid"/>
    <x v="13"/>
    <x v="2"/>
    <m/>
    <s v="Gas Non-Residential Online MarketPlace Program"/>
    <m/>
    <x v="6"/>
    <n v="34800"/>
    <n v="38666.666666666664"/>
    <n v="220653"/>
    <n v="63985"/>
    <n v="506314418"/>
    <n v="103186096"/>
    <n v="110262"/>
    <n v="1750657898"/>
    <n v="208185403"/>
    <n v="1252816"/>
    <n v="1.6135009038426E-5"/>
    <n v="1.7927787820473334E-5"/>
    <n v="1.2604004486089493E-4"/>
    <n v="1.0230569394700609E-4"/>
    <n v="4.4373143602933637E-2"/>
    <n v="2.0474284314489638E-2"/>
    <m/>
    <m/>
  </r>
  <r>
    <x v="0"/>
    <x v="0"/>
    <x v="3"/>
    <x v="7"/>
    <s v="Ngrid"/>
    <x v="13"/>
    <x v="2"/>
    <m/>
    <s v="Gas Non-Residential Online MarketPlace Program"/>
    <m/>
    <x v="2"/>
    <n v="27550"/>
    <n v="30611.111111111109"/>
    <n v="157117"/>
    <n v="45561"/>
    <n v="506314418"/>
    <n v="103186096"/>
    <n v="110262"/>
    <n v="1750657898"/>
    <n v="208185403"/>
    <n v="1252816"/>
    <n v="1.277354882208725E-5"/>
    <n v="1.4192832024541389E-5"/>
    <n v="8.974740306458207E-5"/>
    <n v="7.2847247560068327E-5"/>
    <n v="3.9920472590992823E-2"/>
    <n v="1.7854792942040135E-2"/>
    <m/>
    <m/>
  </r>
  <r>
    <x v="0"/>
    <x v="0"/>
    <x v="2"/>
    <x v="7"/>
    <s v="Ngrid"/>
    <x v="13"/>
    <x v="2"/>
    <m/>
    <s v="Gas Non-Residential Weatherization Program"/>
    <m/>
    <x v="1"/>
    <n v="143920"/>
    <n v="159911.11111111109"/>
    <n v="2288063"/>
    <n v="1215411"/>
    <n v="506314418"/>
    <n v="103186096"/>
    <n v="110262"/>
    <n v="1750657898"/>
    <n v="208185403"/>
    <n v="1252816"/>
    <n v="6.6728462666961779E-5"/>
    <n v="7.4142736296624185E-5"/>
    <n v="1.3069732256735863E-3"/>
    <n v="1.0608596892381641E-3"/>
    <n v="0.46012765777741133"/>
    <n v="0.21230825047229862"/>
    <m/>
    <m/>
  </r>
  <r>
    <x v="0"/>
    <x v="0"/>
    <x v="3"/>
    <x v="7"/>
    <s v="Ngrid"/>
    <x v="13"/>
    <x v="2"/>
    <m/>
    <s v="Gas Non-Residential Weatherization Program"/>
    <m/>
    <x v="1"/>
    <n v="113909.99999999999"/>
    <n v="126566.66666666664"/>
    <n v="1629226"/>
    <n v="865439"/>
    <n v="506314418"/>
    <n v="103186096"/>
    <n v="110262"/>
    <n v="1750657898"/>
    <n v="208185403"/>
    <n v="1252816"/>
    <n v="5.2814335619744411E-5"/>
    <n v="5.8682595133049339E-5"/>
    <n v="9.3063642066292494E-4"/>
    <n v="7.5539012171375397E-4"/>
    <n v="0.41395566283427554"/>
    <n v="0.18514541956496294"/>
    <m/>
    <m/>
  </r>
  <r>
    <x v="0"/>
    <x v="0"/>
    <x v="2"/>
    <x v="7"/>
    <s v="Ngrid"/>
    <x v="13"/>
    <x v="1"/>
    <m/>
    <s v="Gas LMI"/>
    <m/>
    <x v="6"/>
    <n v="506870"/>
    <m/>
    <n v="6260625"/>
    <n v="4161843"/>
    <n v="0"/>
    <n v="0"/>
    <n v="0"/>
    <n v="1750657898"/>
    <n v="208185403"/>
    <n v="1252816"/>
    <n v="2.3501011584215479E-4"/>
    <n v="0"/>
    <n v="3.5761555739429796E-3"/>
    <n v="2.9027368092297639E-3"/>
    <n v="12.351539842563183"/>
    <n v="0.58092034205925913"/>
    <m/>
    <m/>
  </r>
  <r>
    <x v="0"/>
    <x v="0"/>
    <x v="3"/>
    <x v="7"/>
    <s v="Ngrid"/>
    <x v="13"/>
    <x v="1"/>
    <m/>
    <s v="Gas LMI"/>
    <m/>
    <x v="6"/>
    <n v="671080"/>
    <m/>
    <n v="8233460"/>
    <n v="5487333"/>
    <m/>
    <m/>
    <m/>
    <m/>
    <m/>
    <m/>
    <m/>
    <m/>
    <m/>
    <m/>
    <n v="12.268969422423556"/>
    <n v="0.93565128850837131"/>
    <m/>
    <m/>
  </r>
  <r>
    <x v="0"/>
    <x v="0"/>
    <x v="2"/>
    <x v="7"/>
    <s v="Ngrid"/>
    <x v="13"/>
    <x v="0"/>
    <m/>
    <s v="Gas Multifamily Program"/>
    <m/>
    <x v="6"/>
    <n v="1954759.9999999998"/>
    <n v="2171955.555555555"/>
    <n v="4245608"/>
    <n v="2560183"/>
    <n v="1244343480"/>
    <n v="104999307"/>
    <n v="1142554"/>
    <n v="1750657898"/>
    <n v="208185403"/>
    <n v="1252816"/>
    <n v="9.0632385827452882E-4"/>
    <n v="1.0070265091939208E-3"/>
    <n v="2.4251499992376008E-3"/>
    <n v="1.9684748118854521E-3"/>
    <n v="0.80143009774348095"/>
    <n v="0.39394789683290837"/>
    <m/>
    <m/>
  </r>
  <r>
    <x v="0"/>
    <x v="0"/>
    <x v="3"/>
    <x v="7"/>
    <s v="Ngrid"/>
    <x v="13"/>
    <x v="0"/>
    <m/>
    <s v="Gas Multifamily Program"/>
    <m/>
    <x v="2"/>
    <n v="1547150"/>
    <n v="1719055.5555555555"/>
    <n v="3023105"/>
    <n v="1822990"/>
    <n v="1244343480"/>
    <n v="104999307"/>
    <n v="1142554"/>
    <n v="1750657898"/>
    <n v="208185403"/>
    <n v="1252816"/>
    <n v="7.1733561016668924E-4"/>
    <n v="7.9703956685187689E-4"/>
    <n v="1.7268393804715809E-3"/>
    <n v="1.401661681008932E-3"/>
    <n v="0.72100918700272842"/>
    <n v="0.34354598049253898"/>
    <m/>
    <m/>
  </r>
  <r>
    <x v="0"/>
    <x v="0"/>
    <x v="2"/>
    <x v="7"/>
    <s v="Ngrid"/>
    <x v="13"/>
    <x v="0"/>
    <m/>
    <s v="Gas Residential Engagement Program"/>
    <m/>
    <x v="6"/>
    <n v="1320020"/>
    <n v="1466688.8888888888"/>
    <n v="1924806"/>
    <n v="1910004"/>
    <n v="1244343480"/>
    <n v="104999307"/>
    <n v="1142554"/>
    <n v="1750657898"/>
    <n v="208185403"/>
    <n v="1252816"/>
    <n v="6.1202685720985887E-4"/>
    <n v="6.800298413442876E-4"/>
    <n v="1.099475804038557E-3"/>
    <n v="8.9243569560967231E-4"/>
    <n v="0.36333958780868103"/>
    <n v="0.17860181050896903"/>
    <m/>
    <m/>
  </r>
  <r>
    <x v="0"/>
    <x v="0"/>
    <x v="3"/>
    <x v="7"/>
    <s v="Ngrid"/>
    <x v="13"/>
    <x v="0"/>
    <m/>
    <s v="Gas Residential Engagement Program"/>
    <m/>
    <x v="2"/>
    <n v="1044760"/>
    <n v="1160844.4444444445"/>
    <n v="1370567"/>
    <n v="1360027"/>
    <n v="1244343480"/>
    <n v="104999307"/>
    <n v="1142554"/>
    <n v="1750657898"/>
    <n v="208185403"/>
    <n v="1252816"/>
    <n v="4.8440264491338928E-4"/>
    <n v="5.3822516101487703E-4"/>
    <n v="7.8288682304279646E-4"/>
    <n v="6.3546295783817265E-4"/>
    <n v="0.32687961496632384"/>
    <n v="0.15575138271602132"/>
    <m/>
    <m/>
  </r>
  <r>
    <x v="0"/>
    <x v="0"/>
    <x v="2"/>
    <x v="7"/>
    <s v="Ngrid"/>
    <x v="13"/>
    <x v="0"/>
    <m/>
    <s v="Gas Residential Online MarketPlace Program"/>
    <m/>
    <x v="6"/>
    <n v="316400"/>
    <n v="351555.55555555556"/>
    <n v="667482"/>
    <n v="341088"/>
    <n v="1244343480"/>
    <n v="104999307"/>
    <n v="1142554"/>
    <n v="1750657898"/>
    <n v="208185403"/>
    <n v="1252816"/>
    <n v="1.4669876033787319E-4"/>
    <n v="1.6299862259763686E-4"/>
    <n v="3.8127494855651119E-4"/>
    <n v="3.0947781905134092E-4"/>
    <n v="0.12599848231443272"/>
    <n v="6.1935329421327484E-2"/>
    <m/>
    <m/>
  </r>
  <r>
    <x v="0"/>
    <x v="0"/>
    <x v="3"/>
    <x v="7"/>
    <s v="Ngrid"/>
    <x v="13"/>
    <x v="0"/>
    <m/>
    <s v="Gas Residential Online MarketPlace Program"/>
    <m/>
    <x v="2"/>
    <n v="250419.99999999997"/>
    <n v="278244.44444444438"/>
    <n v="475284"/>
    <n v="242873"/>
    <n v="1244343480"/>
    <n v="104999307"/>
    <n v="1142554"/>
    <n v="1750657898"/>
    <n v="208185403"/>
    <n v="1252816"/>
    <n v="1.1610715412076547E-4"/>
    <n v="1.2900794902307274E-4"/>
    <n v="2.7148879318053949E-4"/>
    <n v="2.2036527689135813E-4"/>
    <n v="0.11335502089256072"/>
    <n v="5.4011325373222528E-2"/>
    <m/>
    <m/>
  </r>
  <r>
    <x v="0"/>
    <x v="0"/>
    <x v="2"/>
    <x v="7"/>
    <s v="Ngrid"/>
    <x v="13"/>
    <x v="0"/>
    <m/>
    <s v="Gas Residential Program"/>
    <m/>
    <x v="6"/>
    <n v="1186490"/>
    <n v="1318322.2222222222"/>
    <n v="5089205"/>
    <n v="3820008"/>
    <n v="1244343480"/>
    <n v="104999307"/>
    <n v="1142554"/>
    <n v="1750657898"/>
    <n v="208185403"/>
    <n v="1252816"/>
    <n v="5.5011571477017426E-4"/>
    <n v="6.1123968307797143E-4"/>
    <n v="2.9070242711691694E-3"/>
    <n v="2.3596082952127236E-3"/>
    <n v="0.96067325588858221"/>
    <n v="0.47222485125841135"/>
    <m/>
    <m/>
  </r>
  <r>
    <x v="0"/>
    <x v="0"/>
    <x v="3"/>
    <x v="7"/>
    <s v="Ngrid"/>
    <x v="13"/>
    <x v="0"/>
    <m/>
    <s v="Gas Residential Program"/>
    <m/>
    <x v="2"/>
    <n v="939079.99999999988"/>
    <n v="1043422.222222222"/>
    <n v="3623793"/>
    <n v="2720054"/>
    <n v="1244343480"/>
    <n v="104999307"/>
    <n v="1142554"/>
    <n v="1750657898"/>
    <n v="208185403"/>
    <n v="1252816"/>
    <n v="4.3540414620129556E-4"/>
    <n v="4.8378238466810611E-4"/>
    <n v="2.0699606725791036E-3"/>
    <n v="1.6801704829995652E-3"/>
    <n v="0.86427300566674936"/>
    <n v="0.41180823004394462"/>
    <m/>
    <m/>
  </r>
  <r>
    <x v="0"/>
    <x v="0"/>
    <x v="2"/>
    <x v="7"/>
    <s v="Ngrid"/>
    <x v="13"/>
    <x v="0"/>
    <m/>
    <s v="Gas Residential Comfort Plan Program"/>
    <m/>
    <x v="4"/>
    <n v="0"/>
    <m/>
    <n v="0"/>
    <n v="0"/>
    <n v="1244343480"/>
    <n v="104999307"/>
    <n v="1142554"/>
    <n v="1750657898"/>
    <n v="208185403"/>
    <n v="1252816"/>
    <n v="0"/>
    <n v="0"/>
    <n v="0"/>
    <n v="0"/>
    <n v="0"/>
    <n v="0"/>
    <m/>
    <m/>
  </r>
  <r>
    <x v="0"/>
    <x v="0"/>
    <x v="3"/>
    <x v="7"/>
    <s v="Ngrid"/>
    <x v="13"/>
    <x v="0"/>
    <m/>
    <s v="Gas Residential Comfort Plan Program"/>
    <m/>
    <x v="4"/>
    <n v="0"/>
    <m/>
    <n v="0"/>
    <n v="0"/>
    <n v="1244343480"/>
    <n v="104999307"/>
    <n v="1142554"/>
    <n v="1750657898"/>
    <n v="208185403"/>
    <n v="1252816"/>
    <n v="0"/>
    <n v="0"/>
    <n v="0"/>
    <n v="0"/>
    <n v="0"/>
    <n v="0"/>
    <m/>
    <m/>
  </r>
  <r>
    <x v="0"/>
    <x v="0"/>
    <x v="2"/>
    <x v="7"/>
    <s v="Ngrid"/>
    <x v="13"/>
    <x v="0"/>
    <m/>
    <s v="Gas Residential Weatherization Program"/>
    <m/>
    <x v="1"/>
    <n v="519870"/>
    <n v="577633.33333333337"/>
    <n v="10530951"/>
    <n v="7982692"/>
    <n v="1244343480"/>
    <n v="104999307"/>
    <n v="1142554"/>
    <n v="1750657898"/>
    <n v="208185403"/>
    <n v="1252816"/>
    <n v="2.4103756174731391E-4"/>
    <n v="2.6781951305257105E-4"/>
    <n v="6.0154248365890612E-3"/>
    <n v="4.8826721140293478E-3"/>
    <n v="1.9878945699324593"/>
    <n v="0.97716181006357938"/>
    <m/>
    <m/>
  </r>
  <r>
    <x v="0"/>
    <x v="0"/>
    <x v="3"/>
    <x v="7"/>
    <s v="Ngrid"/>
    <x v="13"/>
    <x v="0"/>
    <m/>
    <s v="Gas Residential Weatherization Program"/>
    <m/>
    <x v="1"/>
    <n v="411470"/>
    <n v="457188.88888888888"/>
    <n v="7498613"/>
    <n v="5684113"/>
    <n v="1244343480"/>
    <n v="104999307"/>
    <n v="1142554"/>
    <n v="1750657898"/>
    <n v="208185403"/>
    <n v="1252816"/>
    <n v="1.9077793589198698E-4"/>
    <n v="2.1197548432442997E-4"/>
    <n v="4.2833114388405773E-3"/>
    <n v="3.4767295554786982E-3"/>
    <n v="1.788415838278224"/>
    <n v="0.85214319562803775"/>
    <m/>
    <m/>
  </r>
  <r>
    <x v="0"/>
    <x v="0"/>
    <x v="2"/>
    <x v="7"/>
    <s v="ConEd"/>
    <x v="12"/>
    <x v="2"/>
    <m/>
    <s v="C&amp;I Gas"/>
    <m/>
    <x v="6"/>
    <n v="4747490"/>
    <n v="5274988.888888889"/>
    <n v="14089897"/>
    <n v="13823166"/>
    <n v="606561766"/>
    <n v="121208475"/>
    <n v="151875"/>
    <n v="2138075249"/>
    <n v="221235059"/>
    <n v="1074774"/>
    <n v="2.0713350432488664E-3"/>
    <n v="2.3014833813876294E-3"/>
    <n v="6.589991164525192E-3"/>
    <n v="6.1474373641370646E-3"/>
    <n v="2.1519473815236632"/>
    <n v="0.97226351363007479"/>
    <s v="Planned Savings 2024 - is this net or gross"/>
    <s v="file:///C:/Users/ChristinaCarlson/Downloads/%7B79CA39DD-1A12-4A3F-8850-BB77457FE666%7D%20(1).pdf"/>
  </r>
  <r>
    <x v="0"/>
    <x v="0"/>
    <x v="3"/>
    <x v="7"/>
    <s v="ConEd"/>
    <x v="12"/>
    <x v="2"/>
    <m/>
    <s v="C&amp;I Gas"/>
    <m/>
    <x v="2"/>
    <n v="5191810"/>
    <n v="5768677.777777778"/>
    <n v="15795290"/>
    <n v="15503595"/>
    <n v="606561766"/>
    <n v="121208475"/>
    <n v="151875"/>
    <n v="2138075249"/>
    <n v="221235059"/>
    <n v="1074774"/>
    <n v="2.2651923418248164E-3"/>
    <n v="2.5168803798053517E-3"/>
    <n v="7.3876211828314371E-3"/>
    <n v="6.8915021822643936E-3"/>
    <n v="2.2357541409171588"/>
    <n v="0.97240321702877941"/>
    <m/>
    <s v="^page 41"/>
  </r>
  <r>
    <x v="0"/>
    <x v="0"/>
    <x v="2"/>
    <x v="7"/>
    <s v="ConEd"/>
    <x v="12"/>
    <x v="2"/>
    <m/>
    <s v="Commercial Kitchen Gas"/>
    <m/>
    <x v="6"/>
    <n v="533340"/>
    <n v="592600"/>
    <n v="1592770"/>
    <n v="632757"/>
    <n v="606561766"/>
    <n v="121208475"/>
    <n v="151875"/>
    <n v="2138075249"/>
    <n v="221235059"/>
    <n v="1074774"/>
    <n v="2.3269682126057147E-4"/>
    <n v="2.585520236228572E-4"/>
    <n v="7.4495507150412743E-4"/>
    <n v="6.9492728090748946E-4"/>
    <n v="0.24326346962433046"/>
    <n v="0.10990798276272526"/>
    <m/>
    <m/>
  </r>
  <r>
    <x v="0"/>
    <x v="0"/>
    <x v="3"/>
    <x v="7"/>
    <s v="ConEd"/>
    <x v="12"/>
    <x v="2"/>
    <m/>
    <s v="Commercial Kitchen Gas"/>
    <m/>
    <x v="2"/>
    <n v="580790"/>
    <n v="645322.22222222225"/>
    <n v="1752105"/>
    <n v="706680"/>
    <n v="606561766"/>
    <n v="121208475"/>
    <n v="151875"/>
    <n v="2138075249"/>
    <n v="221235059"/>
    <n v="1074774"/>
    <n v="2.5339930779601623E-4"/>
    <n v="2.8155478644001803E-4"/>
    <n v="8.1947770585692791E-4"/>
    <n v="7.6444531446123222E-4"/>
    <n v="0.24800279127965735"/>
    <n v="0.10786459372206585"/>
    <m/>
    <m/>
  </r>
  <r>
    <x v="0"/>
    <x v="0"/>
    <x v="2"/>
    <x v="7"/>
    <s v="ConEd"/>
    <x v="12"/>
    <x v="2"/>
    <m/>
    <s v="Commercial Upstream Water Heating"/>
    <m/>
    <x v="6"/>
    <n v="853350"/>
    <n v="948166.66666666663"/>
    <n v="2387850"/>
    <n v="1071260"/>
    <n v="606561766"/>
    <n v="121208475"/>
    <n v="151875"/>
    <n v="2138075249"/>
    <n v="221235059"/>
    <n v="1074774"/>
    <n v="3.7231753182343094E-4"/>
    <n v="4.1368614647047884E-4"/>
    <n v="1.1168222452024653E-3"/>
    <n v="1.0418215484438737E-3"/>
    <n v="0.36469589202612901"/>
    <n v="0.16477192352943207"/>
    <m/>
    <m/>
  </r>
  <r>
    <x v="0"/>
    <x v="0"/>
    <x v="3"/>
    <x v="7"/>
    <s v="ConEd"/>
    <x v="12"/>
    <x v="2"/>
    <m/>
    <s v="Commercial Upstream Water Heating"/>
    <m/>
    <x v="2"/>
    <n v="929270.00000000012"/>
    <n v="1032522.2222222224"/>
    <n v="2630138"/>
    <n v="1196412"/>
    <n v="606561766"/>
    <n v="121208475"/>
    <n v="151875"/>
    <n v="2138075249"/>
    <n v="221235059"/>
    <n v="1074774"/>
    <n v="4.0544151028014267E-4"/>
    <n v="4.5049056697793629E-4"/>
    <n v="1.2301428592048586E-3"/>
    <n v="1.1475320659928693E-3"/>
    <n v="0.372284518023004"/>
    <n v="0.16191881582608739"/>
    <m/>
    <m/>
  </r>
  <r>
    <x v="0"/>
    <x v="0"/>
    <x v="2"/>
    <x v="7"/>
    <s v="ConEd"/>
    <x v="12"/>
    <x v="2"/>
    <m/>
    <s v="Small-Medium Business Gas"/>
    <m/>
    <x v="10"/>
    <n v="266670"/>
    <n v="296300"/>
    <n v="499266"/>
    <n v="224976"/>
    <n v="606561766"/>
    <n v="121208475"/>
    <n v="151875"/>
    <n v="2138075249"/>
    <n v="221235059"/>
    <n v="1074774"/>
    <n v="1.1634841063028573E-4"/>
    <n v="1.292760118114286E-4"/>
    <n v="2.3351189357507967E-4"/>
    <n v="2.1783029805280023E-4"/>
    <n v="7.6252804501253144E-2"/>
    <n v="3.4451502051152889E-2"/>
    <m/>
    <m/>
  </r>
  <r>
    <x v="0"/>
    <x v="0"/>
    <x v="3"/>
    <x v="7"/>
    <s v="ConEd"/>
    <x v="12"/>
    <x v="2"/>
    <m/>
    <s v="Small-Medium Business Gas"/>
    <m/>
    <x v="10"/>
    <n v="290400"/>
    <n v="322666.66666666669"/>
    <n v="549953"/>
    <n v="251260"/>
    <n v="606561766"/>
    <n v="121208475"/>
    <n v="151875"/>
    <n v="2138075249"/>
    <n v="221235059"/>
    <n v="1074774"/>
    <n v="1.2670183540343862E-4"/>
    <n v="1.4077981711493182E-4"/>
    <n v="2.5721872991009962E-4"/>
    <n v="2.399450912039507E-4"/>
    <n v="7.7843439218894639E-2"/>
    <n v="3.3856679200864832E-2"/>
    <m/>
    <m/>
  </r>
  <r>
    <x v="0"/>
    <x v="0"/>
    <x v="2"/>
    <x v="7"/>
    <s v="ConEd"/>
    <x v="12"/>
    <x v="2"/>
    <m/>
    <s v="Westchester P4P Gas"/>
    <m/>
    <x v="6"/>
    <n v="146660"/>
    <n v="162955.55555555556"/>
    <m/>
    <m/>
    <n v="606561766"/>
    <n v="121208475"/>
    <n v="151875"/>
    <n v="2138075249"/>
    <n v="221235059"/>
    <n v="1074774"/>
    <n v="6.3987917287425307E-5"/>
    <n v="7.1097685874917002E-5"/>
    <n v="0"/>
    <n v="0"/>
    <n v="0"/>
    <n v="0"/>
    <m/>
    <m/>
  </r>
  <r>
    <x v="0"/>
    <x v="0"/>
    <x v="3"/>
    <x v="7"/>
    <s v="ConEd"/>
    <x v="12"/>
    <x v="2"/>
    <m/>
    <s v="Westchester P4P Gas"/>
    <m/>
    <x v="2"/>
    <n v="72590"/>
    <n v="80655.555555555547"/>
    <m/>
    <m/>
    <n v="606561766"/>
    <n v="121208475"/>
    <n v="151875"/>
    <n v="2138075249"/>
    <n v="221235059"/>
    <n v="1074774"/>
    <n v="3.1671095839998659E-5"/>
    <n v="3.519010648888739E-5"/>
    <n v="0"/>
    <n v="0"/>
    <n v="0"/>
    <n v="0"/>
    <m/>
    <m/>
  </r>
  <r>
    <x v="0"/>
    <x v="0"/>
    <x v="2"/>
    <x v="7"/>
    <s v="ConEd"/>
    <x v="12"/>
    <x v="1"/>
    <m/>
    <s v="Gas LMI"/>
    <m/>
    <x v="6"/>
    <n v="2535630"/>
    <m/>
    <n v="440325"/>
    <n v="413905"/>
    <n v="0"/>
    <n v="0"/>
    <n v="0"/>
    <n v="2138075249"/>
    <n v="221235059"/>
    <n v="1074774"/>
    <n v="1.1062981229477309E-3"/>
    <n v="0"/>
    <n v="2.0594457571404215E-4"/>
    <n v="1.9211427573698041E-4"/>
    <n v="0.17365506797127342"/>
    <n v="3.0384319462318475E-2"/>
    <m/>
    <m/>
  </r>
  <r>
    <x v="0"/>
    <x v="0"/>
    <x v="3"/>
    <x v="7"/>
    <s v="ConEd"/>
    <x v="12"/>
    <x v="1"/>
    <m/>
    <s v="Gas LMI"/>
    <m/>
    <x v="6"/>
    <n v="3223590"/>
    <m/>
    <n v="440325"/>
    <n v="413905"/>
    <m/>
    <m/>
    <m/>
    <m/>
    <m/>
    <m/>
    <m/>
    <m/>
    <m/>
    <m/>
    <n v="0.1365946041525132"/>
    <n v="2.7107666053500588E-2"/>
    <m/>
    <m/>
  </r>
  <r>
    <x v="0"/>
    <x v="0"/>
    <x v="2"/>
    <x v="7"/>
    <s v="ConEd"/>
    <x v="12"/>
    <x v="0"/>
    <m/>
    <s v="Marketplace Gas"/>
    <m/>
    <x v="6"/>
    <n v="213340"/>
    <n v="237044.44444444444"/>
    <n v="703040"/>
    <n v="350047"/>
    <n v="1531513483"/>
    <n v="100026584"/>
    <n v="922899"/>
    <n v="2138075249"/>
    <n v="221235059"/>
    <n v="1074774"/>
    <n v="9.3080473708572988E-5"/>
    <n v="1.034227485650811E-4"/>
    <n v="3.2881910977119213E-4"/>
    <n v="3.0673711557174067E-4"/>
    <n v="0.12998293493272889"/>
    <n v="4.8512784772130543E-2"/>
    <m/>
    <m/>
  </r>
  <r>
    <x v="0"/>
    <x v="0"/>
    <x v="3"/>
    <x v="7"/>
    <s v="ConEd"/>
    <x v="12"/>
    <x v="0"/>
    <m/>
    <s v="Marketplace Gas"/>
    <m/>
    <x v="2"/>
    <n v="232319.99999999997"/>
    <n v="258133.33333333328"/>
    <n v="775340"/>
    <n v="390942"/>
    <n v="1531513483"/>
    <n v="100026584"/>
    <n v="922899"/>
    <n v="2138075249"/>
    <n v="221235059"/>
    <n v="1074774"/>
    <n v="1.0136146832275088E-4"/>
    <n v="1.1262385369194542E-4"/>
    <n v="3.62634570678761E-4"/>
    <n v="3.3828168409677034E-4"/>
    <n v="0.13019742708363069"/>
    <n v="4.7732147386410372E-2"/>
    <m/>
    <m/>
  </r>
  <r>
    <x v="0"/>
    <x v="0"/>
    <x v="2"/>
    <x v="7"/>
    <s v="ConEd"/>
    <x v="12"/>
    <x v="0"/>
    <m/>
    <s v="Pilots Gas"/>
    <m/>
    <x v="6"/>
    <n v="266670"/>
    <n v="296300"/>
    <n v="3077271"/>
    <n v="594553"/>
    <n v="1531513483"/>
    <n v="100026584"/>
    <n v="922899"/>
    <n v="2138075249"/>
    <n v="221235059"/>
    <n v="1074774"/>
    <n v="1.1634841063028573E-4"/>
    <n v="1.292760118114286E-4"/>
    <n v="1.4392716072267669E-3"/>
    <n v="1.3426166795240185E-3"/>
    <n v="0.5689473090626046"/>
    <n v="0.21234493870692839"/>
    <m/>
    <m/>
  </r>
  <r>
    <x v="0"/>
    <x v="0"/>
    <x v="3"/>
    <x v="7"/>
    <s v="ConEd"/>
    <x v="12"/>
    <x v="0"/>
    <m/>
    <s v="Pilots Gas"/>
    <m/>
    <x v="2"/>
    <n v="290400"/>
    <n v="322666.66666666669"/>
    <n v="3367617"/>
    <n v="664013"/>
    <n v="1531513483"/>
    <n v="100026584"/>
    <n v="922899"/>
    <n v="2138075249"/>
    <n v="221235059"/>
    <n v="1074774"/>
    <n v="1.2670183540343862E-4"/>
    <n v="1.4077981711493182E-4"/>
    <n v="1.5750694469593947E-3"/>
    <n v="1.4692949546688079E-3"/>
    <n v="0.56550038538330949"/>
    <n v="0.20732013179376935"/>
    <m/>
    <m/>
  </r>
  <r>
    <x v="0"/>
    <x v="0"/>
    <x v="2"/>
    <x v="7"/>
    <s v="ConEd"/>
    <x v="12"/>
    <x v="0"/>
    <m/>
    <s v="Residential Gas"/>
    <m/>
    <x v="6"/>
    <n v="499539.99999999994"/>
    <n v="555044.44444444438"/>
    <n v="1786023"/>
    <n v="706968"/>
    <n v="1531513483"/>
    <n v="100026584"/>
    <n v="922899"/>
    <n v="2138075249"/>
    <n v="221235059"/>
    <n v="1074774"/>
    <n v="2.1794984455039161E-4"/>
    <n v="2.4216649394487956E-4"/>
    <n v="8.3534150672916749E-4"/>
    <n v="7.7924377469957185E-4"/>
    <n v="0.33021237966169381"/>
    <n v="0.12324327121796044"/>
    <m/>
    <m/>
  </r>
  <r>
    <x v="0"/>
    <x v="0"/>
    <x v="3"/>
    <x v="7"/>
    <s v="ConEd"/>
    <x v="12"/>
    <x v="0"/>
    <m/>
    <s v="Residential Gas"/>
    <m/>
    <x v="2"/>
    <n v="543990"/>
    <n v="604433.33333333337"/>
    <n v="1964619"/>
    <n v="789561"/>
    <n v="1531513483"/>
    <n v="100026584"/>
    <n v="922899"/>
    <n v="2138075249"/>
    <n v="221235059"/>
    <n v="1074774"/>
    <n v="2.3734342782753644E-4"/>
    <n v="2.637149198083738E-4"/>
    <n v="9.1887271082665247E-4"/>
    <n v="8.5716540347268659E-4"/>
    <n v="0.32990473727605368"/>
    <n v="0.12094756321890029"/>
    <m/>
    <m/>
  </r>
  <r>
    <x v="0"/>
    <x v="0"/>
    <x v="2"/>
    <x v="7"/>
    <s v="ConEd"/>
    <x v="12"/>
    <x v="0"/>
    <m/>
    <s v="Residential Weatherization"/>
    <m/>
    <x v="1"/>
    <n v="137140"/>
    <n v="152377.77777777778"/>
    <n v="764736"/>
    <n v="764736"/>
    <n v="1531513483"/>
    <n v="100026584"/>
    <n v="922899"/>
    <n v="2138075249"/>
    <n v="221235059"/>
    <n v="1074774"/>
    <n v="5.983433094775335E-5"/>
    <n v="6.6482589941948162E-5"/>
    <n v="3.576749697456509E-4"/>
    <n v="3.3365514737976597E-4"/>
    <n v="0.14138972139382588"/>
    <n v="5.2770074214127251E-2"/>
    <m/>
    <m/>
  </r>
  <r>
    <x v="0"/>
    <x v="0"/>
    <x v="3"/>
    <x v="7"/>
    <s v="ConEd"/>
    <x v="12"/>
    <x v="0"/>
    <m/>
    <s v="Residential Weatherization"/>
    <m/>
    <x v="1"/>
    <n v="149350"/>
    <n v="165944.44444444444"/>
    <n v="854078"/>
    <n v="854078"/>
    <n v="1531513483"/>
    <n v="100026584"/>
    <n v="922899"/>
    <n v="2138075249"/>
    <n v="221235059"/>
    <n v="1074774"/>
    <n v="6.5161567209034293E-5"/>
    <n v="7.240174134337143E-5"/>
    <n v="3.9946115105137723E-4"/>
    <n v="3.7263515901411179E-4"/>
    <n v="0.14341934909682608"/>
    <n v="5.2579483807736728E-2"/>
    <m/>
    <m/>
  </r>
  <r>
    <x v="0"/>
    <x v="0"/>
    <x v="2"/>
    <x v="7"/>
    <s v="ConEd"/>
    <x v="12"/>
    <x v="0"/>
    <m/>
    <s v="Residential Home Energy Report"/>
    <m/>
    <x v="5"/>
    <n v="761920"/>
    <n v="846577.77777777775"/>
    <n v="631612"/>
    <m/>
    <n v="1531513483"/>
    <n v="100026584"/>
    <n v="922899"/>
    <n v="2138075249"/>
    <n v="221235059"/>
    <n v="1074774"/>
    <n v="3.3242652352130842E-4"/>
    <n v="3.6936280391256486E-4"/>
    <n v="2.9541149232021252E-4"/>
    <n v="2.7557300159379024E-4"/>
    <n v="0.11677682848590515"/>
    <n v="4.3583945458999365E-2"/>
    <m/>
    <m/>
  </r>
  <r>
    <x v="0"/>
    <x v="0"/>
    <x v="3"/>
    <x v="7"/>
    <s v="ConEd"/>
    <x v="12"/>
    <x v="0"/>
    <m/>
    <s v="Residential Home Energy Report"/>
    <m/>
    <x v="2"/>
    <n v="829700"/>
    <n v="921888.88888888888"/>
    <n v="687480"/>
    <m/>
    <n v="1531513483"/>
    <n v="100026584"/>
    <n v="922899"/>
    <n v="2138075249"/>
    <n v="221235059"/>
    <n v="1074774"/>
    <n v="3.6199901113716606E-4"/>
    <n v="4.022211234857401E-4"/>
    <n v="3.215415361650819E-4"/>
    <n v="2.9994827067202475E-4"/>
    <n v="0.11544371136721236"/>
    <n v="4.2323234561881758E-2"/>
    <m/>
    <m/>
  </r>
  <r>
    <x v="0"/>
    <x v="0"/>
    <x v="2"/>
    <x v="7"/>
    <s v="ConEd"/>
    <x v="12"/>
    <x v="0"/>
    <m/>
    <s v="Smart Kids Gas"/>
    <m/>
    <x v="6"/>
    <n v="170000"/>
    <n v="188888.88888888888"/>
    <n v="505172"/>
    <n v="308204"/>
    <n v="1531513483"/>
    <n v="100026584"/>
    <n v="922899"/>
    <n v="2138075249"/>
    <n v="221235059"/>
    <n v="1074774"/>
    <n v="7.417118463699919E-5"/>
    <n v="8.2412427374443543E-5"/>
    <n v="2.362741911147768E-4"/>
    <n v="2.204070922673068E-4"/>
    <n v="9.3399720081128401E-2"/>
    <n v="3.4859041461235106E-2"/>
    <m/>
    <m/>
  </r>
  <r>
    <x v="0"/>
    <x v="0"/>
    <x v="3"/>
    <x v="7"/>
    <s v="ConEd"/>
    <x v="12"/>
    <x v="0"/>
    <m/>
    <s v="Smart Kids Gas"/>
    <m/>
    <x v="2"/>
    <n v="170000"/>
    <n v="188888.88888888888"/>
    <n v="513057"/>
    <n v="316088"/>
    <n v="1531513483"/>
    <n v="100026584"/>
    <n v="922899"/>
    <n v="2138075249"/>
    <n v="221235059"/>
    <n v="1074774"/>
    <n v="7.417118463699919E-5"/>
    <n v="8.2412427374443543E-5"/>
    <n v="2.3996208750836159E-4"/>
    <n v="2.2384732633120528E-4"/>
    <n v="8.6154076079199213E-2"/>
    <n v="3.1585255941431557E-2"/>
    <m/>
    <m/>
  </r>
  <r>
    <x v="0"/>
    <x v="0"/>
    <x v="2"/>
    <x v="7"/>
    <s v="ConEd"/>
    <x v="12"/>
    <x v="0"/>
    <m/>
    <s v="Multifamily Gas"/>
    <m/>
    <x v="6"/>
    <n v="3360100"/>
    <n v="3733444.4444444445"/>
    <n v="15578536"/>
    <n v="10795818"/>
    <n v="1531513483"/>
    <n v="100026584"/>
    <n v="922899"/>
    <n v="2138075249"/>
    <n v="221235059"/>
    <n v="1074774"/>
    <n v="1.4660152794045941E-3"/>
    <n v="1.6289058660051046E-3"/>
    <n v="7.2862430858250862E-3"/>
    <n v="6.7969321766478755E-3"/>
    <n v="2.8802683079699225"/>
    <n v="1.0749860093776846"/>
    <m/>
    <m/>
  </r>
  <r>
    <x v="0"/>
    <x v="0"/>
    <x v="3"/>
    <x v="7"/>
    <s v="ConEd"/>
    <x v="12"/>
    <x v="0"/>
    <m/>
    <s v="Multifamily Gas"/>
    <m/>
    <x v="2"/>
    <n v="3739350"/>
    <n v="4154833.333333333"/>
    <n v="17265295"/>
    <n v="5208234"/>
    <n v="1531513483"/>
    <n v="100026584"/>
    <n v="922899"/>
    <n v="2138075249"/>
    <n v="221235059"/>
    <n v="1074774"/>
    <n v="1.6314824663080172E-3"/>
    <n v="1.8127582958977968E-3"/>
    <n v="8.0751577887986665E-3"/>
    <n v="7.5328669603368171E-3"/>
    <n v="2.8992403162997831"/>
    <n v="1.0629009281216679"/>
    <m/>
    <m/>
  </r>
  <r>
    <x v="0"/>
    <x v="1"/>
    <x v="2"/>
    <x v="5"/>
    <s v="FortisBC"/>
    <x v="8"/>
    <x v="0"/>
    <m/>
    <s v="Home Renovation"/>
    <m/>
    <x v="6"/>
    <n v="1488527.7992079998"/>
    <n v="1653919.7768977776"/>
    <n v="20850980"/>
    <n v="20345560"/>
    <n v="874680000"/>
    <n v="82460085.7641761"/>
    <n v="976170"/>
    <n v="1429680000"/>
    <n v="158285451.98410821"/>
    <n v="1074614"/>
    <n v="9.0772896496683171E-4"/>
    <n v="1.0085877388520351E-3"/>
    <n v="1.4584368530020705E-2"/>
    <n v="1.2715273778571425E-2"/>
    <n v="12.781104650281833"/>
    <n v="2.5576663845352705"/>
    <m/>
    <s v="https://www.cdn.fortisbc.com/libraries/docs/default-source/about-us-documents/regulatory-affairs-documents/gas-utility/230712-fei-2024-27-dsm-expenditures-application-ff.pdf?sfvrsn=2bc0ce61_1"/>
  </r>
  <r>
    <x v="0"/>
    <x v="0"/>
    <x v="3"/>
    <x v="5"/>
    <s v="FortisBC"/>
    <x v="8"/>
    <x v="0"/>
    <m/>
    <s v="Home Renovation"/>
    <m/>
    <x v="2"/>
    <n v="1674584.2959379999"/>
    <n v="1860649.2177088887"/>
    <n v="25281360"/>
    <n v="24727840"/>
    <n v="874680000"/>
    <n v="82460085.7641761"/>
    <n v="976170"/>
    <n v="1429680000"/>
    <n v="158285451.98410821"/>
    <n v="1074614"/>
    <n v="1.0211893056416503E-3"/>
    <n v="1.1346547840462781E-3"/>
    <n v="1.7683229813664596E-2"/>
    <n v="1.5416993057142852E-2"/>
    <n v="14.206184238139404"/>
    <n v="3.0046339627441214"/>
    <s v="$ have been converted from CA$ -&gt; US$"/>
    <s v="^ Page 63"/>
  </r>
  <r>
    <x v="0"/>
    <x v="0"/>
    <x v="4"/>
    <x v="5"/>
    <s v="FortisBC"/>
    <x v="8"/>
    <x v="0"/>
    <m/>
    <s v="Home Renovation"/>
    <m/>
    <x v="2"/>
    <n v="1841703.40701"/>
    <n v="2046337.1188999999"/>
    <n v="29526740"/>
    <n v="28991720"/>
    <n v="874680000"/>
    <n v="82460085.7641761"/>
    <n v="976170"/>
    <n v="1429680000"/>
    <n v="158285451.98410821"/>
    <n v="1074614"/>
    <n v="1.1231013141377482E-3"/>
    <n v="1.2478903490419425E-3"/>
    <n v="2.0652691511387163E-2"/>
    <n v="1.8005896264285708E-2"/>
    <n v="14.937383069740839"/>
    <n v="3.0502624117117874"/>
    <s v="Some programs arent Res/C&amp;I"/>
    <m/>
  </r>
  <r>
    <x v="0"/>
    <x v="0"/>
    <x v="5"/>
    <x v="5"/>
    <s v="FortisBC"/>
    <x v="8"/>
    <x v="0"/>
    <m/>
    <s v="Home Renovation"/>
    <m/>
    <x v="2"/>
    <n v="2033257.2429199999"/>
    <n v="2259174.7143555554"/>
    <n v="34617200"/>
    <n v="34122880"/>
    <n v="874680000"/>
    <n v="82460085.7641761"/>
    <n v="976170"/>
    <n v="1429680000"/>
    <n v="158285451.98410821"/>
    <n v="1074614"/>
    <n v="1.2399140235130964E-3"/>
    <n v="1.3776822483478847E-3"/>
    <n v="2.4213250517598345E-2"/>
    <n v="2.111014328571428E-2"/>
    <n v="15.702368159412968"/>
    <n v="3.238220569129397"/>
    <s v="Savings = Yearly Incremental Gas Savings - is this net or gross?"/>
    <m/>
  </r>
  <r>
    <x v="0"/>
    <x v="1"/>
    <x v="2"/>
    <x v="5"/>
    <s v="FortisBC"/>
    <x v="8"/>
    <x v="0"/>
    <m/>
    <s v="New Home"/>
    <m/>
    <x v="0"/>
    <n v="91056.788797000001"/>
    <n v="101174.20977444445"/>
    <n v="2632180"/>
    <n v="2147480"/>
    <n v="874680000"/>
    <n v="82460085.7641761"/>
    <n v="976170"/>
    <n v="1429680000"/>
    <n v="158285451.98410821"/>
    <n v="1074614"/>
    <n v="5.5527941562046977E-5"/>
    <n v="6.1697712846718857E-5"/>
    <n v="1.8410973084886128E-3"/>
    <n v="1.6051470642857136E-3"/>
    <n v="1.6134574028836455"/>
    <n v="0.32287395144238051"/>
    <m/>
    <m/>
  </r>
  <r>
    <x v="0"/>
    <x v="0"/>
    <x v="3"/>
    <x v="5"/>
    <s v="FortisBC"/>
    <x v="8"/>
    <x v="0"/>
    <m/>
    <s v="New Home"/>
    <m/>
    <x v="0"/>
    <n v="105018.13468"/>
    <n v="116686.81631111111"/>
    <n v="3164240"/>
    <n v="2679540"/>
    <n v="874680000"/>
    <n v="82460085.7641761"/>
    <n v="976170"/>
    <n v="1429680000"/>
    <n v="158285451.98410821"/>
    <n v="1074614"/>
    <n v="6.404180207218492E-5"/>
    <n v="7.1157557857983234E-5"/>
    <n v="2.2132505175983439E-3"/>
    <n v="1.9296060857142848E-3"/>
    <n v="1.7780600574371881"/>
    <n v="0.37606295588027933"/>
    <m/>
    <m/>
  </r>
  <r>
    <x v="0"/>
    <x v="0"/>
    <x v="4"/>
    <x v="5"/>
    <s v="FortisBC"/>
    <x v="8"/>
    <x v="0"/>
    <m/>
    <s v="New Home"/>
    <m/>
    <x v="0"/>
    <n v="134997.589553"/>
    <n v="149997.32172555555"/>
    <n v="4084060"/>
    <n v="3599360"/>
    <n v="874680000"/>
    <n v="82460085.7641761"/>
    <n v="976170"/>
    <n v="1429680000"/>
    <n v="158285451.98410821"/>
    <n v="1074614"/>
    <n v="8.2323771382141665E-5"/>
    <n v="9.1470857091268526E-5"/>
    <n v="2.856625258799172E-3"/>
    <n v="2.490527592857142E-3"/>
    <n v="2.0660990241322197"/>
    <n v="0.42190416907439299"/>
    <m/>
    <m/>
  </r>
  <r>
    <x v="0"/>
    <x v="0"/>
    <x v="5"/>
    <x v="5"/>
    <s v="FortisBC"/>
    <x v="8"/>
    <x v="0"/>
    <m/>
    <s v="New Home"/>
    <m/>
    <x v="0"/>
    <n v="171327.41899599999"/>
    <n v="190363.79888444443"/>
    <n v="5054940"/>
    <n v="4570240"/>
    <n v="874680000"/>
    <n v="82460085.7641761"/>
    <n v="976170"/>
    <n v="1429680000"/>
    <n v="158285451.98410821"/>
    <n v="1074614"/>
    <n v="1.044783045358136E-4"/>
    <n v="1.1608700503979287E-4"/>
    <n v="3.5357142857142857E-3"/>
    <n v="3.0825863357142849E-3"/>
    <n v="2.2929216951036766"/>
    <n v="0.47285773210181509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Residential Labour"/>
    <m/>
    <x v="4"/>
    <n v="0"/>
    <m/>
    <n v="1575460"/>
    <n v="0"/>
    <n v="0"/>
    <n v="0"/>
    <n v="0"/>
    <n v="1429680000"/>
    <n v="158285451.98410821"/>
    <n v="1074614"/>
    <n v="0"/>
    <n v="0"/>
    <n v="1.101966873706004E-3"/>
    <n v="9.6074166428571387E-4"/>
    <s v=""/>
    <n v="0.1872399516064347"/>
    <m/>
    <m/>
  </r>
  <r>
    <x v="0"/>
    <x v="0"/>
    <x v="4"/>
    <x v="5"/>
    <s v="FortisBC"/>
    <x v="8"/>
    <x v="3"/>
    <m/>
    <s v="Residential Labour"/>
    <m/>
    <x v="4"/>
    <n v="0"/>
    <m/>
    <n v="1815960"/>
    <n v="0"/>
    <n v="0"/>
    <n v="0"/>
    <n v="0"/>
    <n v="1429680000"/>
    <n v="158285451.98410821"/>
    <n v="1074614"/>
    <n v="0"/>
    <n v="0"/>
    <n v="1.2701863354037267E-3"/>
    <n v="1.1074025571428568E-3"/>
    <s v=""/>
    <n v="0.18759790377034977"/>
    <m/>
    <m/>
  </r>
  <r>
    <x v="0"/>
    <x v="0"/>
    <x v="5"/>
    <x v="5"/>
    <s v="FortisBC"/>
    <x v="8"/>
    <x v="3"/>
    <m/>
    <s v="Residential Labour"/>
    <m/>
    <x v="4"/>
    <n v="0"/>
    <m/>
    <n v="1852960"/>
    <n v="0"/>
    <n v="0"/>
    <n v="0"/>
    <n v="0"/>
    <n v="1429680000"/>
    <n v="158285451.98410821"/>
    <n v="1074614"/>
    <n v="0"/>
    <n v="0"/>
    <n v="1.2960662525879918E-3"/>
    <n v="1.1299657714285709E-3"/>
    <s v=""/>
    <n v="0.17333271280675525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Residential Non-Program Specific Expenditures"/>
    <m/>
    <x v="4"/>
    <n v="0"/>
    <m/>
    <n v="44400"/>
    <n v="0"/>
    <n v="0"/>
    <n v="0"/>
    <n v="0"/>
    <n v="1429680000"/>
    <n v="158285451.98410821"/>
    <n v="1074614"/>
    <n v="0"/>
    <n v="0"/>
    <n v="3.1055900621118014E-5"/>
    <n v="2.707585714285713E-5"/>
    <s v=""/>
    <n v="5.276842224699897E-3"/>
    <m/>
    <m/>
  </r>
  <r>
    <x v="0"/>
    <x v="0"/>
    <x v="4"/>
    <x v="5"/>
    <s v="FortisBC"/>
    <x v="8"/>
    <x v="3"/>
    <m/>
    <s v="Residential Non-Program Specific Expenditures"/>
    <m/>
    <x v="4"/>
    <n v="0"/>
    <m/>
    <n v="53280"/>
    <n v="0"/>
    <n v="0"/>
    <n v="0"/>
    <n v="0"/>
    <n v="1429680000"/>
    <n v="158285451.98410821"/>
    <n v="1074614"/>
    <n v="0"/>
    <n v="0"/>
    <n v="3.7267080745341614E-5"/>
    <n v="3.249102857142856E-5"/>
    <s v=""/>
    <n v="5.5040949761471815E-3"/>
    <m/>
    <m/>
  </r>
  <r>
    <x v="0"/>
    <x v="0"/>
    <x v="5"/>
    <x v="5"/>
    <s v="FortisBC"/>
    <x v="8"/>
    <x v="3"/>
    <m/>
    <s v="Residential Non-Program Specific Expenditures"/>
    <m/>
    <x v="4"/>
    <n v="0"/>
    <m/>
    <n v="63640"/>
    <n v="0"/>
    <n v="0"/>
    <n v="0"/>
    <n v="0"/>
    <n v="1429680000"/>
    <n v="158285451.98410821"/>
    <n v="1074614"/>
    <n v="0"/>
    <n v="0"/>
    <n v="4.451345755693582E-5"/>
    <n v="3.8808728571428555E-5"/>
    <s v=""/>
    <n v="5.9531203280275358E-3"/>
    <m/>
    <m/>
  </r>
  <r>
    <x v="0"/>
    <x v="1"/>
    <x v="2"/>
    <x v="5"/>
    <s v="FortisBC"/>
    <x v="8"/>
    <x v="2"/>
    <m/>
    <s v="Commercial Prescriptive"/>
    <m/>
    <x v="6"/>
    <n v="469766.58927299996"/>
    <n v="521962.87696999992"/>
    <n v="1840380"/>
    <n v="1470380"/>
    <n v="555000000"/>
    <n v="75825366.219932109"/>
    <n v="98444"/>
    <n v="1429680000"/>
    <n v="158285451.98410821"/>
    <n v="1074614"/>
    <n v="2.8647146535231956E-4"/>
    <n v="3.1830162816924394E-4"/>
    <n v="1.2872670807453415E-3"/>
    <n v="1.1222942785714281E-3"/>
    <n v="0.31128542870171583"/>
    <n v="0.22574852888310384"/>
    <m/>
    <m/>
  </r>
  <r>
    <x v="0"/>
    <x v="0"/>
    <x v="3"/>
    <x v="5"/>
    <s v="FortisBC"/>
    <x v="8"/>
    <x v="2"/>
    <m/>
    <s v="Commercial Prescriptive"/>
    <m/>
    <x v="2"/>
    <n v="515148.07202099997"/>
    <n v="572386.74668999994"/>
    <n v="2123800"/>
    <n v="1753800"/>
    <n v="555000000"/>
    <n v="75825366.219932109"/>
    <n v="98444"/>
    <n v="1429680000"/>
    <n v="158285451.98410821"/>
    <n v="1074614"/>
    <n v="3.1414584696979442E-4"/>
    <n v="3.4905094107754933E-4"/>
    <n v="1.4855072463768116E-3"/>
    <n v="1.2951284999999995E-3"/>
    <n v="0.3609710298537131"/>
    <n v="0.25240895308147843"/>
    <m/>
    <m/>
  </r>
  <r>
    <x v="0"/>
    <x v="0"/>
    <x v="4"/>
    <x v="5"/>
    <s v="FortisBC"/>
    <x v="8"/>
    <x v="2"/>
    <m/>
    <s v="Commercial Prescriptive"/>
    <m/>
    <x v="2"/>
    <n v="564747.34086400003"/>
    <n v="627497.04540444445"/>
    <n v="2314720"/>
    <n v="1944720"/>
    <n v="555000000"/>
    <n v="75825366.219932109"/>
    <n v="98444"/>
    <n v="1429680000"/>
    <n v="158285451.98410821"/>
    <n v="1074614"/>
    <n v="3.4439230457302046E-4"/>
    <n v="3.8265811619224492E-4"/>
    <n v="1.6190476190476191E-3"/>
    <n v="1.411554685714285E-3"/>
    <n v="0.33883719745155316"/>
    <n v="0.23912234840817201"/>
    <m/>
    <m/>
  </r>
  <r>
    <x v="0"/>
    <x v="0"/>
    <x v="5"/>
    <x v="5"/>
    <s v="FortisBC"/>
    <x v="8"/>
    <x v="2"/>
    <m/>
    <s v="Commercial Prescriptive"/>
    <m/>
    <x v="2"/>
    <n v="581874.39586099994"/>
    <n v="646527.10651222209"/>
    <n v="2516740"/>
    <n v="2146740"/>
    <n v="555000000"/>
    <n v="75825366.219932109"/>
    <n v="98444"/>
    <n v="1429680000"/>
    <n v="158285451.98410821"/>
    <n v="1074614"/>
    <n v="3.5483666705898051E-4"/>
    <n v="3.9426296339886718E-4"/>
    <n v="1.7603519668737059E-3"/>
    <n v="1.5347498357142851E-3"/>
    <n v="0.3359163686476237"/>
    <n v="0.23542514227467035"/>
    <m/>
    <m/>
  </r>
  <r>
    <x v="0"/>
    <x v="1"/>
    <x v="2"/>
    <x v="5"/>
    <s v="FortisBC"/>
    <x v="8"/>
    <x v="2"/>
    <m/>
    <s v="Commercial Performance"/>
    <m/>
    <x v="6"/>
    <n v="284496.78073599999"/>
    <n v="316107.53415111109"/>
    <n v="2386500"/>
    <n v="2312500"/>
    <n v="555000000"/>
    <n v="75825366.219932109"/>
    <n v="98444"/>
    <n v="1429680000"/>
    <n v="158285451.98410821"/>
    <n v="1074614"/>
    <n v="1.7349086019843884E-4"/>
    <n v="1.9276762244270981E-4"/>
    <n v="1.6692546583850932E-3"/>
    <n v="1.455327321428571E-3"/>
    <n v="0.40365722057218884"/>
    <n v="0.29273783902211897"/>
    <m/>
    <m/>
  </r>
  <r>
    <x v="0"/>
    <x v="0"/>
    <x v="3"/>
    <x v="5"/>
    <s v="FortisBC"/>
    <x v="8"/>
    <x v="2"/>
    <m/>
    <s v="Commercial Performance"/>
    <m/>
    <x v="2"/>
    <n v="659339.48744399997"/>
    <n v="732599.43049333326"/>
    <n v="4865500"/>
    <n v="4791500"/>
    <n v="555000000"/>
    <n v="75825366.219932109"/>
    <n v="98444"/>
    <n v="1429680000"/>
    <n v="158285451.98410821"/>
    <n v="1074614"/>
    <n v="4.0207616600626995E-4"/>
    <n v="4.4675129556252222E-4"/>
    <n v="3.4032091097308489E-3"/>
    <n v="2.9670626785714273E-3"/>
    <n v="0.82696324783559705"/>
    <n v="0.57825396045669708"/>
    <m/>
    <m/>
  </r>
  <r>
    <x v="0"/>
    <x v="0"/>
    <x v="4"/>
    <x v="5"/>
    <s v="FortisBC"/>
    <x v="8"/>
    <x v="2"/>
    <m/>
    <s v="Commercial Performance"/>
    <m/>
    <x v="2"/>
    <n v="1062370.274706"/>
    <n v="1180411.41634"/>
    <n v="7354120"/>
    <n v="7280120"/>
    <n v="555000000"/>
    <n v="75825366.219932109"/>
    <n v="98444"/>
    <n v="1429680000"/>
    <n v="158285451.98410821"/>
    <n v="1074614"/>
    <n v="6.4785103132336812E-4"/>
    <n v="7.1983447924818674E-4"/>
    <n v="5.1438923395445138E-3"/>
    <n v="4.48466447142857E-3"/>
    <n v="1.076523039729391"/>
    <n v="0.7597179982354263"/>
    <m/>
    <m/>
  </r>
  <r>
    <x v="0"/>
    <x v="0"/>
    <x v="5"/>
    <x v="5"/>
    <s v="FortisBC"/>
    <x v="8"/>
    <x v="2"/>
    <m/>
    <s v="Commercial Performance"/>
    <m/>
    <x v="2"/>
    <n v="1344933.508558"/>
    <n v="1494370.5650644444"/>
    <n v="8968800"/>
    <n v="8894800"/>
    <n v="555000000"/>
    <n v="75825366.219932109"/>
    <n v="98444"/>
    <n v="1429680000"/>
    <n v="158285451.98410821"/>
    <n v="1074614"/>
    <n v="8.2016278253058627E-4"/>
    <n v="9.1129198058954029E-4"/>
    <n v="6.2732919254658388E-3"/>
    <n v="5.4693231428571409E-3"/>
    <n v="1.1970909697174945"/>
    <n v="0.83897463227550861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2"/>
    <m/>
    <s v="Performance New Construction"/>
    <m/>
    <x v="4"/>
    <n v="0"/>
    <m/>
    <n v="111000"/>
    <n v="0"/>
    <n v="555000000"/>
    <n v="75825366.219932109"/>
    <n v="98444"/>
    <n v="1429680000"/>
    <n v="158285451.98410821"/>
    <n v="1074614"/>
    <n v="0"/>
    <n v="0"/>
    <n v="7.7639751552795034E-5"/>
    <n v="6.7689642857142826E-5"/>
    <n v="1.8866081699671414E-2"/>
    <n v="1.3192105561749743E-2"/>
    <m/>
    <m/>
  </r>
  <r>
    <x v="0"/>
    <x v="0"/>
    <x v="4"/>
    <x v="5"/>
    <s v="FortisBC"/>
    <x v="8"/>
    <x v="2"/>
    <m/>
    <s v="Performance New Construction"/>
    <m/>
    <x v="0"/>
    <n v="19657.726653999998"/>
    <n v="21841.918504444442"/>
    <n v="703000"/>
    <n v="592000"/>
    <n v="555000000"/>
    <n v="75825366.219932109"/>
    <n v="98444"/>
    <n v="1429680000"/>
    <n v="158285451.98410821"/>
    <n v="1074614"/>
    <n v="1.1987608077410785E-5"/>
    <n v="1.3319564530456428E-5"/>
    <n v="4.9171842650103516E-4"/>
    <n v="4.2870107142857126E-4"/>
    <n v="0.10290771661731953"/>
    <n v="7.2623475379719762E-2"/>
    <m/>
    <m/>
  </r>
  <r>
    <x v="0"/>
    <x v="0"/>
    <x v="5"/>
    <x v="5"/>
    <s v="FortisBC"/>
    <x v="8"/>
    <x v="2"/>
    <m/>
    <s v="Performance New Construction"/>
    <m/>
    <x v="0"/>
    <n v="43675.411968"/>
    <n v="48528.235520000002"/>
    <n v="1295000"/>
    <n v="1184000"/>
    <n v="555000000"/>
    <n v="75825366.219932109"/>
    <n v="98444"/>
    <n v="1429680000"/>
    <n v="158285451.98410821"/>
    <n v="1074614"/>
    <n v="2.6633991331103622E-5"/>
    <n v="2.9593323701226244E-5"/>
    <n v="9.0579710144927537E-4"/>
    <n v="7.8971249999999966E-4"/>
    <n v="0.17284729348231151"/>
    <n v="0.12113907644242079"/>
    <m/>
    <m/>
  </r>
  <r>
    <x v="0"/>
    <x v="1"/>
    <x v="2"/>
    <x v="5"/>
    <s v="FortisBC"/>
    <x v="8"/>
    <x v="2"/>
    <m/>
    <s v="RAP"/>
    <m/>
    <x v="6"/>
    <n v="136552.009597"/>
    <n v="151724.45510777776"/>
    <n v="569060"/>
    <n v="273060"/>
    <n v="555000000"/>
    <n v="75825366.219932109"/>
    <n v="98444"/>
    <n v="1429680000"/>
    <n v="158285451.98410821"/>
    <n v="1074614"/>
    <n v="8.3271682531946579E-5"/>
    <n v="9.2524091702162855E-5"/>
    <n v="3.9803312629399588E-4"/>
    <n v="3.470222357142856E-4"/>
    <n v="9.6251907789151381E-2"/>
    <n v="6.9803224250545581E-2"/>
    <m/>
    <m/>
  </r>
  <r>
    <x v="0"/>
    <x v="0"/>
    <x v="3"/>
    <x v="5"/>
    <s v="FortisBC"/>
    <x v="8"/>
    <x v="2"/>
    <m/>
    <s v="RAP"/>
    <m/>
    <x v="2"/>
    <n v="136552.009597"/>
    <n v="151724.45510777776"/>
    <n v="569060"/>
    <n v="273060"/>
    <n v="555000000"/>
    <n v="75825366.219932109"/>
    <n v="98444"/>
    <n v="1429680000"/>
    <n v="158285451.98410821"/>
    <n v="1074614"/>
    <n v="8.3271682531946579E-5"/>
    <n v="9.2524091702162855E-5"/>
    <n v="3.9803312629399588E-4"/>
    <n v="3.470222357142856E-4"/>
    <n v="9.6720112180315454E-2"/>
    <n v="6.7631527846570352E-2"/>
    <m/>
    <m/>
  </r>
  <r>
    <x v="0"/>
    <x v="0"/>
    <x v="4"/>
    <x v="5"/>
    <s v="FortisBC"/>
    <x v="8"/>
    <x v="2"/>
    <m/>
    <s v="RAP"/>
    <m/>
    <x v="2"/>
    <n v="115472.55729299999"/>
    <n v="128302.84143666665"/>
    <n v="569060"/>
    <n v="273060"/>
    <n v="555000000"/>
    <n v="75825366.219932109"/>
    <n v="98444"/>
    <n v="1429680000"/>
    <n v="158285451.98410821"/>
    <n v="1074614"/>
    <n v="7.041708254922642E-5"/>
    <n v="7.8241202832473811E-5"/>
    <n v="3.9803312629399588E-4"/>
    <n v="3.470222357142856E-4"/>
    <n v="8.3301088503914433E-2"/>
    <n v="5.8786792175794203E-2"/>
    <m/>
    <m/>
  </r>
  <r>
    <x v="0"/>
    <x v="0"/>
    <x v="5"/>
    <x v="5"/>
    <s v="FortisBC"/>
    <x v="8"/>
    <x v="2"/>
    <m/>
    <s v="RAP"/>
    <m/>
    <x v="2"/>
    <n v="134997.589553"/>
    <n v="149997.32172555555"/>
    <n v="569060"/>
    <n v="273060"/>
    <n v="555000000"/>
    <n v="75825366.219932109"/>
    <n v="98444"/>
    <n v="1429680000"/>
    <n v="158285451.98410821"/>
    <n v="1074614"/>
    <n v="8.2323771382141665E-5"/>
    <n v="9.1470857091268526E-5"/>
    <n v="3.9803312629399588E-4"/>
    <n v="3.470222357142856E-4"/>
    <n v="7.5954039250227173E-2"/>
    <n v="5.3231971305269479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ommercial Labour"/>
    <m/>
    <x v="4"/>
    <m/>
    <m/>
    <n v="1225440"/>
    <n v="0"/>
    <n v="0"/>
    <n v="0"/>
    <n v="0"/>
    <n v="1429680000"/>
    <n v="158285451.98410821"/>
    <n v="1074614"/>
    <n v="0"/>
    <n v="0"/>
    <n v="8.571428571428571E-4"/>
    <n v="7.4729365714285684E-4"/>
    <s v=""/>
    <n v="0.14564084540171718"/>
    <m/>
    <m/>
  </r>
  <r>
    <x v="0"/>
    <x v="0"/>
    <x v="4"/>
    <x v="5"/>
    <s v="FortisBC"/>
    <x v="8"/>
    <x v="3"/>
    <m/>
    <s v="Commercial Labour"/>
    <m/>
    <x v="4"/>
    <m/>
    <m/>
    <n v="1455580"/>
    <n v="0"/>
    <n v="0"/>
    <n v="0"/>
    <n v="0"/>
    <n v="1429680000"/>
    <n v="158285451.98410821"/>
    <n v="1074614"/>
    <n v="0"/>
    <n v="0"/>
    <n v="1.0181159420289854E-3"/>
    <n v="8.8763684999999966E-4"/>
    <s v=""/>
    <n v="0.15036881691779869"/>
    <m/>
    <m/>
  </r>
  <r>
    <x v="0"/>
    <x v="0"/>
    <x v="5"/>
    <x v="5"/>
    <s v="FortisBC"/>
    <x v="8"/>
    <x v="3"/>
    <m/>
    <s v="Commercial Labour"/>
    <m/>
    <x v="4"/>
    <m/>
    <m/>
    <n v="1455580"/>
    <n v="0"/>
    <n v="0"/>
    <n v="0"/>
    <n v="0"/>
    <n v="1429680000"/>
    <n v="158285451.98410821"/>
    <n v="1074614"/>
    <n v="0"/>
    <n v="0"/>
    <n v="1.0181159420289854E-3"/>
    <n v="8.8763684999999966E-4"/>
    <s v=""/>
    <n v="0.13616032192128097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ommercial Non-Program Specific Expenditures"/>
    <m/>
    <x v="4"/>
    <m/>
    <m/>
    <n v="555000"/>
    <n v="0"/>
    <n v="0"/>
    <n v="0"/>
    <n v="0"/>
    <n v="1429680000"/>
    <n v="158285451.98410821"/>
    <n v="1074614"/>
    <n v="0"/>
    <n v="0"/>
    <n v="3.8819875776397513E-4"/>
    <n v="3.3844821428571416E-4"/>
    <s v=""/>
    <n v="6.5960527808748712E-2"/>
    <m/>
    <m/>
  </r>
  <r>
    <x v="0"/>
    <x v="0"/>
    <x v="4"/>
    <x v="5"/>
    <s v="FortisBC"/>
    <x v="8"/>
    <x v="3"/>
    <m/>
    <s v="Commercial Non-Program Specific Expenditures"/>
    <m/>
    <x v="4"/>
    <m/>
    <m/>
    <n v="555000"/>
    <n v="0"/>
    <n v="0"/>
    <n v="0"/>
    <n v="0"/>
    <n v="1429680000"/>
    <n v="158285451.98410821"/>
    <n v="1074614"/>
    <n v="0"/>
    <n v="0"/>
    <n v="3.8819875776397513E-4"/>
    <n v="3.3844821428571416E-4"/>
    <s v=""/>
    <n v="5.7334322668199808E-2"/>
    <m/>
    <m/>
  </r>
  <r>
    <x v="0"/>
    <x v="0"/>
    <x v="5"/>
    <x v="5"/>
    <s v="FortisBC"/>
    <x v="8"/>
    <x v="3"/>
    <m/>
    <s v="Commercial Non-Program Specific Expenditures"/>
    <m/>
    <x v="4"/>
    <m/>
    <m/>
    <n v="555000"/>
    <n v="0"/>
    <n v="0"/>
    <n v="0"/>
    <n v="0"/>
    <n v="1429680000"/>
    <n v="158285451.98410821"/>
    <n v="1074614"/>
    <n v="0"/>
    <n v="0"/>
    <n v="3.8819875776397513E-4"/>
    <n v="3.3844821428571416E-4"/>
    <s v=""/>
    <n v="5.1916747046751768E-2"/>
    <m/>
    <m/>
  </r>
  <r>
    <x v="0"/>
    <x v="1"/>
    <x v="2"/>
    <x v="5"/>
    <s v="FortisBC"/>
    <x v="8"/>
    <x v="2"/>
    <m/>
    <s v="Industrial Prescriptive"/>
    <m/>
    <x v="6"/>
    <n v="720085.08538299997"/>
    <n v="800094.53931444441"/>
    <n v="1115920"/>
    <n v="879120"/>
    <n v="555000000"/>
    <n v="75825366.219932109"/>
    <n v="98444"/>
    <n v="1429680000"/>
    <n v="158285451.98410821"/>
    <n v="1074614"/>
    <n v="4.3911984014712133E-4"/>
    <n v="4.8791093349680149E-4"/>
    <n v="7.8053830227743269E-4"/>
    <n v="6.8050654285714259E-4"/>
    <n v="0.18874886468925914"/>
    <n v="0.13688330581251332"/>
    <m/>
    <m/>
  </r>
  <r>
    <x v="0"/>
    <x v="0"/>
    <x v="3"/>
    <x v="5"/>
    <s v="FortisBC"/>
    <x v="8"/>
    <x v="2"/>
    <m/>
    <s v="Industrial Prescriptive"/>
    <m/>
    <x v="2"/>
    <n v="995113.17328999995"/>
    <n v="1105681.3036555555"/>
    <n v="1433380"/>
    <n v="1196580"/>
    <n v="555000000"/>
    <n v="75825366.219932109"/>
    <n v="98444"/>
    <n v="1429680000"/>
    <n v="158285451.98410821"/>
    <n v="1074614"/>
    <n v="6.0683653425619986E-4"/>
    <n v="6.74262815840222E-4"/>
    <n v="1.0025879917184264E-3"/>
    <n v="8.7409892142857105E-4"/>
    <n v="0.24362400168175688"/>
    <n v="0.17035405648739502"/>
    <m/>
    <m/>
  </r>
  <r>
    <x v="0"/>
    <x v="0"/>
    <x v="4"/>
    <x v="5"/>
    <s v="FortisBC"/>
    <x v="8"/>
    <x v="2"/>
    <m/>
    <s v="Industrial Prescriptive"/>
    <m/>
    <x v="2"/>
    <n v="1288073.9607289999"/>
    <n v="1431193.2896988888"/>
    <n v="1774520"/>
    <n v="1537720"/>
    <n v="555000000"/>
    <n v="75825366.219932109"/>
    <n v="98444"/>
    <n v="1429680000"/>
    <n v="158285451.98410821"/>
    <n v="1074614"/>
    <n v="7.8548888626424709E-4"/>
    <n v="8.7276542918249668E-4"/>
    <n v="1.2412008281573498E-3"/>
    <n v="1.0821317571428567E-3"/>
    <n v="0.25976074152456025"/>
    <n v="0.1833169410111242"/>
    <m/>
    <m/>
  </r>
  <r>
    <x v="0"/>
    <x v="0"/>
    <x v="5"/>
    <x v="5"/>
    <s v="FortisBC"/>
    <x v="8"/>
    <x v="2"/>
    <m/>
    <s v="Industrial Prescriptive"/>
    <m/>
    <x v="2"/>
    <n v="1700620.831675"/>
    <n v="1889578.701861111"/>
    <n v="2189660"/>
    <n v="1952860"/>
    <n v="555000000"/>
    <n v="75825366.219932109"/>
    <n v="98444"/>
    <n v="1429680000"/>
    <n v="158285451.98410821"/>
    <n v="1074614"/>
    <n v="1.0370668174008826E-3"/>
    <n v="1.1522964637787584E-3"/>
    <n v="1.5315734989648033E-3"/>
    <n v="1.3352910214285709E-3"/>
    <n v="0.29226008080809129"/>
    <n v="0.20482887268178465"/>
    <m/>
    <m/>
  </r>
  <r>
    <x v="0"/>
    <x v="1"/>
    <x v="2"/>
    <x v="5"/>
    <s v="FortisBC"/>
    <x v="8"/>
    <x v="2"/>
    <m/>
    <s v="Industrial Performance"/>
    <m/>
    <x v="6"/>
    <n v="2744499.1947599999"/>
    <n v="3049443.5497333333"/>
    <n v="4001920"/>
    <n v="3942720"/>
    <n v="555000000"/>
    <n v="75825366.219932109"/>
    <n v="98444"/>
    <n v="1429680000"/>
    <n v="158285451.98410821"/>
    <n v="1074614"/>
    <n v="1.6736411740091934E-3"/>
    <n v="1.8596013044546596E-3"/>
    <n v="2.7991718426501034E-3"/>
    <n v="2.4404372571428562E-3"/>
    <n v="0.67689248026492932"/>
    <n v="0.49089185532763396"/>
    <m/>
    <m/>
  </r>
  <r>
    <x v="0"/>
    <x v="0"/>
    <x v="3"/>
    <x v="5"/>
    <s v="FortisBC"/>
    <x v="8"/>
    <x v="2"/>
    <m/>
    <s v="Industrial Performance"/>
    <m/>
    <x v="2"/>
    <n v="2744499.1947599999"/>
    <n v="3049443.5497333333"/>
    <n v="4001920"/>
    <n v="3942720"/>
    <n v="555000000"/>
    <n v="75825366.219932109"/>
    <n v="98444"/>
    <n v="1429680000"/>
    <n v="158285451.98410821"/>
    <n v="1074614"/>
    <n v="1.6736411740091934E-3"/>
    <n v="1.8596013044546596E-3"/>
    <n v="2.7991718426501034E-3"/>
    <n v="2.4404372571428562E-3"/>
    <n v="0.68018513221215338"/>
    <n v="0.47561937918628405"/>
    <m/>
    <m/>
  </r>
  <r>
    <x v="0"/>
    <x v="0"/>
    <x v="4"/>
    <x v="5"/>
    <s v="FortisBC"/>
    <x v="8"/>
    <x v="2"/>
    <m/>
    <s v="Industrial Performance"/>
    <m/>
    <x v="2"/>
    <n v="3199451.40276"/>
    <n v="3554946.0030666664"/>
    <n v="4303100"/>
    <n v="4243900"/>
    <n v="555000000"/>
    <n v="75825366.219932109"/>
    <n v="98444"/>
    <n v="1429680000"/>
    <n v="158285451.98410821"/>
    <n v="1074614"/>
    <n v="1.9510785837081896E-3"/>
    <n v="2.1678650930090993E-3"/>
    <n v="3.0098343685300206E-3"/>
    <n v="2.6241018214285703E-3"/>
    <n v="0.62990354961022421"/>
    <n v="0.4445321150874425"/>
    <m/>
    <m/>
  </r>
  <r>
    <x v="0"/>
    <x v="0"/>
    <x v="5"/>
    <x v="5"/>
    <s v="FortisBC"/>
    <x v="8"/>
    <x v="2"/>
    <m/>
    <s v="Industrial Performance"/>
    <m/>
    <x v="2"/>
    <n v="3199451.40276"/>
    <n v="3554946.0030666664"/>
    <n v="4340100"/>
    <n v="4280900"/>
    <n v="555000000"/>
    <n v="75825366.219932109"/>
    <n v="98444"/>
    <n v="1429680000"/>
    <n v="158285451.98410821"/>
    <n v="1074614"/>
    <n v="1.9510785837081896E-3"/>
    <n v="2.1678650930090993E-3"/>
    <n v="3.0357142857142857E-3"/>
    <n v="2.6466650357142847E-3"/>
    <n v="0.57928535787071822"/>
    <n v="0.40598896190559886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dustrial Labor"/>
    <m/>
    <x v="4"/>
    <n v="0"/>
    <m/>
    <n v="347800"/>
    <n v="0"/>
    <n v="0"/>
    <n v="0"/>
    <n v="0"/>
    <n v="1429680000"/>
    <n v="158285451.98410821"/>
    <n v="1074614"/>
    <n v="0"/>
    <n v="0"/>
    <n v="2.432712215320911E-4"/>
    <n v="2.1209421428571419E-4"/>
    <s v=""/>
    <n v="4.1335264093482531E-2"/>
    <m/>
    <m/>
  </r>
  <r>
    <x v="0"/>
    <x v="0"/>
    <x v="4"/>
    <x v="5"/>
    <s v="FortisBC"/>
    <x v="8"/>
    <x v="3"/>
    <m/>
    <s v="Industrial Labor"/>
    <m/>
    <x v="4"/>
    <n v="0"/>
    <m/>
    <n v="347800"/>
    <n v="0"/>
    <n v="0"/>
    <n v="0"/>
    <n v="0"/>
    <n v="1429680000"/>
    <n v="158285451.98410821"/>
    <n v="1074614"/>
    <n v="0"/>
    <n v="0"/>
    <n v="2.432712215320911E-4"/>
    <n v="2.1209421428571419E-4"/>
    <s v=""/>
    <n v="3.5929508872071879E-2"/>
    <m/>
    <m/>
  </r>
  <r>
    <x v="0"/>
    <x v="0"/>
    <x v="5"/>
    <x v="5"/>
    <s v="FortisBC"/>
    <x v="8"/>
    <x v="3"/>
    <m/>
    <s v="Industrial Labor"/>
    <m/>
    <x v="4"/>
    <n v="0"/>
    <m/>
    <n v="347800"/>
    <n v="0"/>
    <n v="0"/>
    <n v="0"/>
    <n v="0"/>
    <n v="1429680000"/>
    <n v="158285451.98410821"/>
    <n v="1074614"/>
    <n v="0"/>
    <n v="0"/>
    <n v="2.432712215320911E-4"/>
    <n v="2.1209421428571419E-4"/>
    <s v=""/>
    <n v="3.2534494815964439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dustrial Non Program Specific Expenditures"/>
    <m/>
    <x v="4"/>
    <n v="0"/>
    <m/>
    <n v="148000"/>
    <n v="0"/>
    <n v="0"/>
    <n v="0"/>
    <n v="0"/>
    <n v="1429680000"/>
    <n v="158285451.98410821"/>
    <n v="1074614"/>
    <n v="0"/>
    <n v="0"/>
    <n v="1.0351966873706004E-4"/>
    <n v="9.0252857142857114E-5"/>
    <s v=""/>
    <n v="1.7589474082332992E-2"/>
    <m/>
    <m/>
  </r>
  <r>
    <x v="0"/>
    <x v="0"/>
    <x v="4"/>
    <x v="5"/>
    <s v="FortisBC"/>
    <x v="8"/>
    <x v="3"/>
    <m/>
    <s v="Industrial Non Program Specific Expenditures"/>
    <m/>
    <x v="4"/>
    <n v="0"/>
    <m/>
    <n v="148000"/>
    <n v="0"/>
    <n v="0"/>
    <n v="0"/>
    <n v="0"/>
    <n v="1429680000"/>
    <n v="158285451.98410821"/>
    <n v="1074614"/>
    <n v="0"/>
    <n v="0"/>
    <n v="1.0351966873706004E-4"/>
    <n v="9.0252857142857114E-5"/>
    <s v=""/>
    <n v="1.5289152711519949E-2"/>
    <m/>
    <m/>
  </r>
  <r>
    <x v="0"/>
    <x v="0"/>
    <x v="5"/>
    <x v="5"/>
    <s v="FortisBC"/>
    <x v="8"/>
    <x v="3"/>
    <m/>
    <s v="Industrial Non Program Specific Expenditures"/>
    <m/>
    <x v="4"/>
    <n v="0"/>
    <m/>
    <n v="148000"/>
    <n v="0"/>
    <n v="0"/>
    <n v="0"/>
    <n v="0"/>
    <n v="1429680000"/>
    <n v="158285451.98410821"/>
    <n v="1074614"/>
    <n v="0"/>
    <n v="0"/>
    <n v="1.0351966873706004E-4"/>
    <n v="9.0252857142857114E-5"/>
    <s v=""/>
    <n v="1.3844465879133804E-2"/>
    <m/>
    <m/>
  </r>
  <r>
    <x v="0"/>
    <x v="1"/>
    <x v="2"/>
    <x v="5"/>
    <s v="FortisBC"/>
    <x v="8"/>
    <x v="1"/>
    <n v="1"/>
    <s v="Low Income Self Install"/>
    <m/>
    <x v="13"/>
    <n v="257047.99752"/>
    <n v="285608.88613333332"/>
    <n v="483220"/>
    <n v="383320"/>
    <n v="0"/>
    <n v="0"/>
    <n v="0"/>
    <n v="1429680000"/>
    <n v="158285451.98410821"/>
    <n v="1074614"/>
    <n v="1.5675213647993276E-4"/>
    <n v="1.7416904053325861E-4"/>
    <n v="3.3799171842650101E-4"/>
    <n v="2.9467557857142844E-4"/>
    <n v="0.79377762984377487"/>
    <n v="5.9273739188044558E-2"/>
    <m/>
    <m/>
  </r>
  <r>
    <x v="0"/>
    <x v="0"/>
    <x v="3"/>
    <x v="5"/>
    <s v="FortisBC"/>
    <x v="8"/>
    <x v="1"/>
    <n v="1"/>
    <s v="Low Income Self Install"/>
    <m/>
    <x v="3"/>
    <n v="263189.85232800001"/>
    <n v="292433.16925333336"/>
    <n v="552040"/>
    <n v="447700"/>
    <n v="0"/>
    <n v="0"/>
    <n v="0"/>
    <n v="1429680000"/>
    <n v="158285451.98410821"/>
    <n v="1074614"/>
    <n v="1.6049754151086922E-4"/>
    <n v="1.7833060167874357E-4"/>
    <n v="3.8612836438923397E-4"/>
    <n v="3.3664315714285702E-4"/>
    <n v="0.73512608434142279"/>
    <n v="6.5608738327102054E-2"/>
    <m/>
    <m/>
  </r>
  <r>
    <x v="0"/>
    <x v="0"/>
    <x v="4"/>
    <x v="5"/>
    <s v="FortisBC"/>
    <x v="8"/>
    <x v="1"/>
    <n v="1"/>
    <s v="Low Income Self Install"/>
    <m/>
    <x v="3"/>
    <n v="269331.70713599998"/>
    <n v="299257.45237333333"/>
    <n v="674880"/>
    <n v="566100"/>
    <n v="0"/>
    <n v="0"/>
    <n v="0"/>
    <n v="1429680000"/>
    <n v="158285451.98410821"/>
    <n v="1074614"/>
    <n v="1.6424294654180565E-4"/>
    <n v="1.8249216282422849E-4"/>
    <n v="4.7204968944099376E-4"/>
    <n v="4.1155302857142837E-4"/>
    <n v="0.77394388004078074"/>
    <n v="6.9718536364530972E-2"/>
    <m/>
    <m/>
  </r>
  <r>
    <x v="0"/>
    <x v="0"/>
    <x v="5"/>
    <x v="5"/>
    <s v="FortisBC"/>
    <x v="8"/>
    <x v="1"/>
    <n v="1"/>
    <s v="Low Income Self Install"/>
    <m/>
    <x v="3"/>
    <n v="275473.56194400002"/>
    <n v="306081.73549333337"/>
    <n v="697820"/>
    <n v="584600"/>
    <n v="0"/>
    <n v="0"/>
    <n v="0"/>
    <n v="1429680000"/>
    <n v="158285451.98410821"/>
    <n v="1074614"/>
    <n v="1.679883515727421E-4"/>
    <n v="1.8665372396971345E-4"/>
    <n v="4.880952380952381E-4"/>
    <n v="4.2554222142857128E-4"/>
    <n v="0.70242438114577466"/>
    <n v="6.5276656620115892E-2"/>
    <m/>
    <m/>
  </r>
  <r>
    <x v="0"/>
    <x v="1"/>
    <x v="2"/>
    <x v="5"/>
    <s v="FortisBC"/>
    <x v="8"/>
    <x v="1"/>
    <n v="1"/>
    <s v="Low Income Direct Install"/>
    <m/>
    <x v="13"/>
    <n v="139660.84968499999"/>
    <n v="155178.7218722222"/>
    <n v="3700000"/>
    <n v="3108000"/>
    <n v="0"/>
    <n v="0"/>
    <n v="0"/>
    <n v="1429680000"/>
    <n v="158285451.98410821"/>
    <n v="1074614"/>
    <n v="8.516750483155638E-5"/>
    <n v="9.4630560923951527E-5"/>
    <n v="2.587991718426501E-3"/>
    <n v="2.2563214285714274E-3"/>
    <n v="6.0779297844086901"/>
    <n v="0.45385711476297519"/>
    <m/>
    <m/>
  </r>
  <r>
    <x v="0"/>
    <x v="0"/>
    <x v="3"/>
    <x v="5"/>
    <s v="FortisBC"/>
    <x v="8"/>
    <x v="1"/>
    <n v="1"/>
    <s v="Low Income Direct Install"/>
    <m/>
    <x v="3"/>
    <n v="147641.469667"/>
    <n v="164046.07740777778"/>
    <n v="3907200"/>
    <n v="3285600"/>
    <n v="0"/>
    <n v="0"/>
    <n v="0"/>
    <n v="1429680000"/>
    <n v="158285451.98410821"/>
    <n v="1074614"/>
    <n v="9.0034219393359612E-5"/>
    <n v="1.0003802154817734E-4"/>
    <n v="2.732919254658385E-3"/>
    <n v="2.3826754285714278E-3"/>
    <n v="5.2030371653119465"/>
    <n v="0.46436211577359099"/>
    <m/>
    <m/>
  </r>
  <r>
    <x v="0"/>
    <x v="0"/>
    <x v="4"/>
    <x v="5"/>
    <s v="FortisBC"/>
    <x v="8"/>
    <x v="1"/>
    <n v="1"/>
    <s v="Low Income Direct Install"/>
    <m/>
    <x v="3"/>
    <n v="175573.639604"/>
    <n v="195081.82178222222"/>
    <n v="4558400"/>
    <n v="3907200"/>
    <n v="0"/>
    <n v="0"/>
    <n v="0"/>
    <n v="1429680000"/>
    <n v="158285451.98410821"/>
    <n v="1074614"/>
    <n v="1.0706772035967088E-4"/>
    <n v="1.1896413373296765E-4"/>
    <n v="3.1884057971014491E-3"/>
    <n v="2.7797879999999987E-3"/>
    <n v="5.227515680977203"/>
    <n v="0.47090590351481443"/>
    <m/>
    <m/>
  </r>
  <r>
    <x v="0"/>
    <x v="0"/>
    <x v="5"/>
    <x v="5"/>
    <s v="FortisBC"/>
    <x v="8"/>
    <x v="1"/>
    <n v="1"/>
    <s v="Low Income Direct Install"/>
    <m/>
    <x v="3"/>
    <n v="215476.73951399999"/>
    <n v="239418.59945999997"/>
    <n v="5476000"/>
    <n v="4795200"/>
    <n v="0"/>
    <n v="0"/>
    <n v="0"/>
    <n v="1429680000"/>
    <n v="158285451.98410821"/>
    <n v="1074614"/>
    <n v="1.3140129316868698E-4"/>
    <n v="1.4600143685409664E-4"/>
    <n v="3.8302277432712213E-3"/>
    <n v="3.3393557142857126E-3"/>
    <n v="5.5121319411227274"/>
    <n v="0.51224523752795081"/>
    <m/>
    <m/>
  </r>
  <r>
    <x v="0"/>
    <x v="1"/>
    <x v="2"/>
    <x v="5"/>
    <s v="FortisBC"/>
    <x v="8"/>
    <x v="1"/>
    <n v="1"/>
    <s v="Low Income Prescriptive"/>
    <m/>
    <x v="6"/>
    <n v="83682.771758999996"/>
    <n v="92980.857509999987"/>
    <n v="1275020"/>
    <n v="1188440"/>
    <n v="0"/>
    <n v="0"/>
    <n v="0"/>
    <n v="1429680000"/>
    <n v="158285451.98410821"/>
    <n v="1074614"/>
    <n v="5.1031143546509084E-5"/>
    <n v="5.6701270607232306E-5"/>
    <n v="8.918219461697723E-4"/>
    <n v="7.7752836428571399E-4"/>
    <n v="2.0944546037072347"/>
    <n v="0.15639916174732124"/>
    <m/>
    <m/>
  </r>
  <r>
    <x v="0"/>
    <x v="0"/>
    <x v="3"/>
    <x v="5"/>
    <s v="FortisBC"/>
    <x v="8"/>
    <x v="1"/>
    <n v="1"/>
    <s v="Low Income Prescriptive"/>
    <m/>
    <x v="3"/>
    <n v="129348.59963699999"/>
    <n v="143720.66626333332"/>
    <n v="1904760"/>
    <n v="1832240"/>
    <n v="0"/>
    <n v="0"/>
    <n v="0"/>
    <n v="1429680000"/>
    <n v="158285451.98410821"/>
    <n v="1074614"/>
    <n v="7.8878923545045804E-5"/>
    <n v="8.7643248383384228E-5"/>
    <n v="1.3322981366459628E-3"/>
    <n v="1.161554271428571E-3"/>
    <n v="2.5364806180895738"/>
    <n v="0.22637653143962561"/>
    <m/>
    <m/>
  </r>
  <r>
    <x v="0"/>
    <x v="0"/>
    <x v="4"/>
    <x v="5"/>
    <s v="FortisBC"/>
    <x v="8"/>
    <x v="1"/>
    <n v="1"/>
    <s v="Low Income Prescriptive"/>
    <m/>
    <x v="3"/>
    <n v="167185.458269"/>
    <n v="185761.62029888888"/>
    <n v="2553000"/>
    <n v="2491580"/>
    <n v="0"/>
    <n v="0"/>
    <n v="0"/>
    <n v="1429680000"/>
    <n v="158285451.98410821"/>
    <n v="1074614"/>
    <n v="1.0195246811834564E-4"/>
    <n v="1.1328052013149517E-4"/>
    <n v="1.7857142857142857E-3"/>
    <n v="1.5568617857142852E-3"/>
    <n v="2.9277482304174272"/>
    <n v="0.26373788427371914"/>
    <m/>
    <m/>
  </r>
  <r>
    <x v="0"/>
    <x v="0"/>
    <x v="5"/>
    <x v="5"/>
    <s v="FortisBC"/>
    <x v="8"/>
    <x v="1"/>
    <n v="1"/>
    <s v="Low Income Prescriptive"/>
    <m/>
    <x v="3"/>
    <n v="225485.68808999998"/>
    <n v="250539.6534333333"/>
    <n v="3648200"/>
    <n v="3586780"/>
    <n v="0"/>
    <n v="0"/>
    <n v="0"/>
    <n v="1429680000"/>
    <n v="158285451.98410821"/>
    <n v="1074614"/>
    <n v="1.3750491618206488E-4"/>
    <n v="1.5278324020229431E-4"/>
    <n v="2.5517598343685302E-3"/>
    <n v="2.2247329285714277E-3"/>
    <n v="3.6722716850993304"/>
    <n v="0.34126608392064828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1"/>
    <n v="1"/>
    <s v="Low Income Support"/>
    <m/>
    <x v="4"/>
    <n v="0"/>
    <m/>
    <n v="129500"/>
    <n v="0"/>
    <n v="0"/>
    <n v="0"/>
    <n v="0"/>
    <n v="1429680000"/>
    <n v="158285451.98410821"/>
    <n v="1074614"/>
    <n v="0"/>
    <n v="0"/>
    <n v="9.0579710144927537E-5"/>
    <n v="7.8971249999999963E-5"/>
    <n v="0.17244914847151338"/>
    <n v="1.5390789822041367E-2"/>
    <m/>
    <m/>
  </r>
  <r>
    <x v="0"/>
    <x v="0"/>
    <x v="4"/>
    <x v="5"/>
    <s v="FortisBC"/>
    <x v="8"/>
    <x v="1"/>
    <n v="1"/>
    <s v="Low Income Support"/>
    <m/>
    <x v="4"/>
    <n v="0"/>
    <m/>
    <n v="144300"/>
    <n v="0"/>
    <n v="0"/>
    <n v="0"/>
    <n v="0"/>
    <n v="1429680000"/>
    <n v="158285451.98410821"/>
    <n v="1074614"/>
    <n v="0"/>
    <n v="0"/>
    <n v="1.0093167701863354E-4"/>
    <n v="8.7996535714285679E-5"/>
    <n v="0.16548142171924587"/>
    <n v="1.490692389373195E-2"/>
    <m/>
    <m/>
  </r>
  <r>
    <x v="0"/>
    <x v="0"/>
    <x v="5"/>
    <x v="5"/>
    <s v="FortisBC"/>
    <x v="8"/>
    <x v="1"/>
    <n v="1"/>
    <s v="Low Income Support"/>
    <m/>
    <x v="4"/>
    <n v="0"/>
    <m/>
    <n v="159100"/>
    <n v="0"/>
    <n v="0"/>
    <n v="0"/>
    <n v="0"/>
    <n v="1429680000"/>
    <n v="158285451.98410821"/>
    <n v="1074614"/>
    <n v="0"/>
    <n v="0"/>
    <n v="1.1128364389233955E-4"/>
    <n v="9.7021821428571408E-5"/>
    <n v="0.16014977937045763"/>
    <n v="1.4882800820068841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1"/>
    <n v="1"/>
    <s v="Low Income Labour"/>
    <m/>
    <x v="4"/>
    <n v="0"/>
    <m/>
    <n v="606800"/>
    <n v="0"/>
    <n v="0"/>
    <n v="0"/>
    <n v="0"/>
    <n v="1429680000"/>
    <n v="158285451.98410821"/>
    <n v="1074614"/>
    <n v="0"/>
    <n v="0"/>
    <n v="4.2443064182194618E-4"/>
    <n v="3.7003671428571415E-4"/>
    <n v="0.80804743855223415"/>
    <n v="7.2116843737565259E-2"/>
    <m/>
    <m/>
  </r>
  <r>
    <x v="0"/>
    <x v="0"/>
    <x v="4"/>
    <x v="5"/>
    <s v="FortisBC"/>
    <x v="8"/>
    <x v="1"/>
    <n v="1"/>
    <s v="Low Income Labour"/>
    <m/>
    <x v="4"/>
    <n v="0"/>
    <m/>
    <n v="660820"/>
    <n v="0"/>
    <n v="0"/>
    <n v="0"/>
    <n v="0"/>
    <n v="1429680000"/>
    <n v="158285451.98410821"/>
    <n v="1074614"/>
    <n v="0"/>
    <n v="0"/>
    <n v="4.6221532091097307E-4"/>
    <n v="4.0297900714285703E-4"/>
    <n v="0.75782004920659773"/>
    <n v="6.8266066856936578E-2"/>
    <m/>
    <m/>
  </r>
  <r>
    <x v="0"/>
    <x v="0"/>
    <x v="5"/>
    <x v="5"/>
    <s v="FortisBC"/>
    <x v="8"/>
    <x v="1"/>
    <n v="1"/>
    <s v="Low Income Labour"/>
    <m/>
    <x v="4"/>
    <n v="0"/>
    <m/>
    <n v="674880"/>
    <n v="0"/>
    <n v="0"/>
    <n v="0"/>
    <n v="0"/>
    <n v="1429680000"/>
    <n v="158285451.98410821"/>
    <n v="1074614"/>
    <n v="0"/>
    <n v="0"/>
    <n v="4.7204968944099376E-4"/>
    <n v="4.1155302857142837E-4"/>
    <n v="0.67933301760863884"/>
    <n v="6.3130764408850154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1"/>
    <n v="1"/>
    <s v="Low Income Non Program Specific Expenditures"/>
    <m/>
    <x v="4"/>
    <n v="0"/>
    <m/>
    <n v="37000"/>
    <n v="0"/>
    <n v="0"/>
    <n v="0"/>
    <n v="0"/>
    <n v="1429680000"/>
    <n v="158285451.98410821"/>
    <n v="1074614"/>
    <n v="0"/>
    <n v="0"/>
    <n v="2.587991718426501E-5"/>
    <n v="2.2563214285714279E-5"/>
    <n v="4.9271185277575257E-2"/>
    <n v="4.397368520583248E-3"/>
    <m/>
    <m/>
  </r>
  <r>
    <x v="0"/>
    <x v="0"/>
    <x v="4"/>
    <x v="5"/>
    <s v="FortisBC"/>
    <x v="8"/>
    <x v="1"/>
    <n v="1"/>
    <s v="Low Income Non Program Specific Expenditures"/>
    <m/>
    <x v="4"/>
    <n v="0"/>
    <m/>
    <n v="37000"/>
    <n v="0"/>
    <n v="0"/>
    <n v="0"/>
    <n v="0"/>
    <n v="1429680000"/>
    <n v="158285451.98410821"/>
    <n v="1074614"/>
    <n v="0"/>
    <n v="0"/>
    <n v="2.587991718426501E-5"/>
    <n v="2.2563214285714279E-5"/>
    <n v="4.2431133774165609E-2"/>
    <n v="3.8222881778799873E-3"/>
    <m/>
    <m/>
  </r>
  <r>
    <x v="0"/>
    <x v="0"/>
    <x v="5"/>
    <x v="5"/>
    <s v="FortisBC"/>
    <x v="8"/>
    <x v="1"/>
    <n v="1"/>
    <s v="Low Income Non Program Specific Expenditures"/>
    <m/>
    <x v="4"/>
    <n v="0"/>
    <m/>
    <n v="37000"/>
    <n v="0"/>
    <n v="0"/>
    <n v="0"/>
    <n v="0"/>
    <n v="1429680000"/>
    <n v="158285451.98410821"/>
    <n v="1074614"/>
    <n v="0"/>
    <n v="0"/>
    <n v="2.587991718426501E-5"/>
    <n v="2.2563214285714279E-5"/>
    <n v="3.7244134737315727E-2"/>
    <n v="3.461116469783451E-3"/>
    <m/>
    <m/>
  </r>
  <r>
    <x v="0"/>
    <x v="1"/>
    <x v="2"/>
    <x v="5"/>
    <s v="FortisBC"/>
    <x v="8"/>
    <x v="1"/>
    <n v="1"/>
    <s v="Indigenous Direct Install"/>
    <m/>
    <x v="13"/>
    <n v="1914.5905419999999"/>
    <n v="2127.3228244444444"/>
    <n v="56980"/>
    <n v="53280"/>
    <n v="0"/>
    <n v="0"/>
    <n v="0"/>
    <n v="1429680000"/>
    <n v="158285451.98410821"/>
    <n v="1074614"/>
    <n v="1.1675490991499415E-6"/>
    <n v="1.2972767768332685E-6"/>
    <n v="3.9855072463768117E-5"/>
    <n v="3.4747349999999988E-5"/>
    <n v="9.3600118679893818E-2"/>
    <n v="6.9893995673498176E-3"/>
    <m/>
    <m/>
  </r>
  <r>
    <x v="0"/>
    <x v="0"/>
    <x v="3"/>
    <x v="5"/>
    <s v="FortisBC"/>
    <x v="8"/>
    <x v="1"/>
    <n v="1"/>
    <s v="Indigenous Direct Install"/>
    <m/>
    <x v="3"/>
    <n v="1914.5905419999999"/>
    <n v="2127.3228244444444"/>
    <n v="56980"/>
    <n v="53280"/>
    <n v="0"/>
    <n v="0"/>
    <n v="0"/>
    <n v="1429680000"/>
    <n v="158285451.98410821"/>
    <n v="1074614"/>
    <n v="1.1675490991499415E-6"/>
    <n v="1.2972767768332685E-6"/>
    <n v="3.9855072463768117E-5"/>
    <n v="3.4747349999999988E-5"/>
    <n v="7.5877625327465892E-2"/>
    <n v="6.7719475216982015E-3"/>
    <m/>
    <m/>
  </r>
  <r>
    <x v="0"/>
    <x v="0"/>
    <x v="4"/>
    <x v="5"/>
    <s v="FortisBC"/>
    <x v="8"/>
    <x v="1"/>
    <n v="1"/>
    <s v="Indigenous Direct Install"/>
    <m/>
    <x v="3"/>
    <n v="2397.9772629999998"/>
    <n v="2664.4191811111109"/>
    <n v="67340"/>
    <n v="63640"/>
    <n v="0"/>
    <n v="0"/>
    <n v="0"/>
    <n v="1429680000"/>
    <n v="158285451.98410821"/>
    <n v="1074614"/>
    <n v="1.4623263469551248E-6"/>
    <n v="1.6248070521723611E-6"/>
    <n v="4.7101449275362317E-5"/>
    <n v="4.1065049999999984E-5"/>
    <n v="7.7224663468981408E-2"/>
    <n v="6.9565644837415765E-3"/>
    <m/>
    <m/>
  </r>
  <r>
    <x v="0"/>
    <x v="0"/>
    <x v="5"/>
    <x v="5"/>
    <s v="FortisBC"/>
    <x v="8"/>
    <x v="1"/>
    <n v="1"/>
    <s v="Indigenous Direct Install"/>
    <m/>
    <x v="3"/>
    <n v="2634.9315379999998"/>
    <n v="2927.7017088888888"/>
    <n v="78440"/>
    <n v="74740"/>
    <n v="0"/>
    <n v="0"/>
    <n v="0"/>
    <n v="1429680000"/>
    <n v="158285451.98410821"/>
    <n v="1074614"/>
    <n v="1.6068249978400186E-6"/>
    <n v="1.7853611087111318E-6"/>
    <n v="5.486542443064182E-5"/>
    <n v="4.783401428571427E-5"/>
    <n v="7.8957565643109337E-2"/>
    <n v="7.3375669159409171E-3"/>
    <m/>
    <m/>
  </r>
  <r>
    <x v="0"/>
    <x v="1"/>
    <x v="2"/>
    <x v="5"/>
    <s v="FortisBC"/>
    <x v="8"/>
    <x v="1"/>
    <n v="1"/>
    <s v="Indigenous Prescriptive"/>
    <m/>
    <x v="6"/>
    <n v="52556.458194999999"/>
    <n v="58396.064661111108"/>
    <n v="845080"/>
    <n v="808080"/>
    <n v="0"/>
    <n v="0"/>
    <n v="0"/>
    <n v="1429680000"/>
    <n v="158285451.98410821"/>
    <n v="1074614"/>
    <n v="3.2049800766269432E-5"/>
    <n v="3.5610889740299374E-5"/>
    <n v="5.9109730848861286E-4"/>
    <n v="5.1534381428571408E-4"/>
    <n v="1.3881991627589447"/>
    <n v="0.10366096501186353"/>
    <m/>
    <m/>
  </r>
  <r>
    <x v="0"/>
    <x v="0"/>
    <x v="3"/>
    <x v="5"/>
    <s v="FortisBC"/>
    <x v="8"/>
    <x v="1"/>
    <n v="1"/>
    <s v="Indigenous Prescriptive"/>
    <m/>
    <x v="3"/>
    <n v="103236.238532"/>
    <n v="114706.93170222222"/>
    <n v="1568060"/>
    <n v="1531060"/>
    <n v="0"/>
    <n v="0"/>
    <n v="0"/>
    <n v="1429680000"/>
    <n v="158285451.98410821"/>
    <n v="1074614"/>
    <n v="6.2955172217530529E-5"/>
    <n v="6.9950191352811681E-5"/>
    <n v="1.0967908902691512E-3"/>
    <n v="9.5622902142857111E-4"/>
    <n v="2.0881128320636391"/>
    <n v="0.18636047790231805"/>
    <m/>
    <m/>
  </r>
  <r>
    <x v="0"/>
    <x v="0"/>
    <x v="4"/>
    <x v="5"/>
    <s v="FortisBC"/>
    <x v="8"/>
    <x v="1"/>
    <n v="1"/>
    <s v="Indigenous Prescriptive"/>
    <m/>
    <x v="3"/>
    <n v="146892.694158"/>
    <n v="163214.10462"/>
    <n v="2202980"/>
    <n v="2165980"/>
    <n v="0"/>
    <n v="0"/>
    <n v="0"/>
    <n v="1429680000"/>
    <n v="158285451.98410821"/>
    <n v="1074614"/>
    <n v="8.9577603656563348E-5"/>
    <n v="9.9530670729514821E-5"/>
    <n v="1.5408902691511387E-3"/>
    <n v="1.3434137785714281E-3"/>
    <n v="2.5263497049138204"/>
    <n v="0.22757903811097444"/>
    <m/>
    <m/>
  </r>
  <r>
    <x v="0"/>
    <x v="0"/>
    <x v="5"/>
    <x v="5"/>
    <s v="FortisBC"/>
    <x v="8"/>
    <x v="1"/>
    <n v="1"/>
    <s v="Indigenous Prescriptive"/>
    <m/>
    <x v="3"/>
    <n v="160285.349781"/>
    <n v="178094.83309"/>
    <n v="2701740"/>
    <n v="2664740"/>
    <n v="0"/>
    <n v="0"/>
    <n v="0"/>
    <n v="1429680000"/>
    <n v="158285451.98410821"/>
    <n v="1074614"/>
    <n v="9.7744667404577545E-5"/>
    <n v="1.0860518600508617E-4"/>
    <n v="1.8897515527950309E-3"/>
    <n v="1.6475659071428566E-3"/>
    <n v="2.7195667185187942"/>
    <n v="0.25273072462358759"/>
    <m/>
    <m/>
  </r>
  <r>
    <x v="0"/>
    <x v="1"/>
    <x v="2"/>
    <x v="5"/>
    <s v="FortisBC"/>
    <x v="8"/>
    <x v="1"/>
    <n v="1"/>
    <s v="Indigenous Performance"/>
    <m/>
    <x v="1"/>
    <n v="97890.550088000004"/>
    <n v="108767.27787555556"/>
    <n v="466940"/>
    <n v="429940"/>
    <n v="0"/>
    <n v="0"/>
    <n v="0"/>
    <n v="1429680000"/>
    <n v="158285451.98410821"/>
    <n v="1074614"/>
    <n v="5.9695282653567317E-5"/>
    <n v="6.632809183729701E-5"/>
    <n v="3.2660455486542442E-4"/>
    <n v="2.8474776428571416E-4"/>
    <n v="0.7670347387923766"/>
    <n v="5.727676788308747E-2"/>
    <m/>
    <m/>
  </r>
  <r>
    <x v="0"/>
    <x v="0"/>
    <x v="3"/>
    <x v="5"/>
    <s v="FortisBC"/>
    <x v="8"/>
    <x v="1"/>
    <n v="1"/>
    <s v="Indigenous Performance"/>
    <m/>
    <x v="3"/>
    <n v="105615.25945299999"/>
    <n v="117350.2882811111"/>
    <n v="800680"/>
    <n v="763680"/>
    <n v="0"/>
    <n v="0"/>
    <n v="0"/>
    <n v="1429680000"/>
    <n v="158285451.98410821"/>
    <n v="1074614"/>
    <n v="6.4405938672414852E-5"/>
    <n v="7.1562154080460945E-5"/>
    <n v="5.6004140786749482E-4"/>
    <n v="4.8826795714285691E-4"/>
    <n v="1.0662284494067285"/>
    <n v="9.5159054785421485E-2"/>
    <m/>
    <m/>
  </r>
  <r>
    <x v="0"/>
    <x v="0"/>
    <x v="4"/>
    <x v="5"/>
    <s v="FortisBC"/>
    <x v="8"/>
    <x v="1"/>
    <n v="1"/>
    <s v="Indigenous Performance"/>
    <m/>
    <x v="3"/>
    <n v="110619.73374099999"/>
    <n v="122910.81526777777"/>
    <n v="1015280"/>
    <n v="978280"/>
    <n v="0"/>
    <n v="0"/>
    <n v="0"/>
    <n v="1429680000"/>
    <n v="158285451.98410821"/>
    <n v="1074614"/>
    <n v="6.7457750179103802E-5"/>
    <n v="7.4953055754559781E-5"/>
    <n v="7.1014492753623186E-4"/>
    <n v="6.1913459999999969E-4"/>
    <n v="1.1643103107631043"/>
    <n v="0.10488358760102685"/>
    <m/>
    <m/>
  </r>
  <r>
    <x v="0"/>
    <x v="0"/>
    <x v="5"/>
    <x v="5"/>
    <s v="FortisBC"/>
    <x v="8"/>
    <x v="1"/>
    <n v="1"/>
    <s v="Indigenous Performance"/>
    <m/>
    <x v="3"/>
    <n v="114088.74432699999"/>
    <n v="126765.27147444444"/>
    <n v="1185480"/>
    <n v="1148480"/>
    <n v="0"/>
    <n v="0"/>
    <n v="0"/>
    <n v="1429680000"/>
    <n v="158285451.98410821"/>
    <n v="1074614"/>
    <n v="6.9573210428058651E-5"/>
    <n v="7.7303567142287386E-5"/>
    <n v="8.2919254658385096E-4"/>
    <n v="7.229253857142854E-4"/>
    <n v="1.1933020769835958"/>
    <n v="0.11089417169186178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digenous Conservation Education and Outreach"/>
    <m/>
    <x v="4"/>
    <m/>
    <m/>
    <n v="14800"/>
    <n v="0"/>
    <n v="0"/>
    <n v="0"/>
    <n v="0"/>
    <n v="1429680000"/>
    <n v="158285451.98410821"/>
    <n v="1074614"/>
    <n v="0"/>
    <n v="0"/>
    <n v="1.0351966873706003E-5"/>
    <n v="9.0252857142857104E-6"/>
    <s v=""/>
    <n v="1.758947408233299E-3"/>
    <m/>
    <m/>
  </r>
  <r>
    <x v="0"/>
    <x v="0"/>
    <x v="4"/>
    <x v="5"/>
    <s v="FortisBC"/>
    <x v="8"/>
    <x v="3"/>
    <m/>
    <s v="Indigenous Conservation Education and Outreach"/>
    <m/>
    <x v="4"/>
    <m/>
    <m/>
    <n v="14800"/>
    <n v="0"/>
    <n v="0"/>
    <n v="0"/>
    <n v="0"/>
    <n v="1429680000"/>
    <n v="158285451.98410821"/>
    <n v="1074614"/>
    <n v="0"/>
    <n v="0"/>
    <n v="1.0351966873706003E-5"/>
    <n v="9.0252857142857104E-6"/>
    <s v=""/>
    <n v="1.528915271151995E-3"/>
    <m/>
    <m/>
  </r>
  <r>
    <x v="0"/>
    <x v="0"/>
    <x v="5"/>
    <x v="5"/>
    <s v="FortisBC"/>
    <x v="8"/>
    <x v="3"/>
    <m/>
    <s v="Indigenous Conservation Education and Outreach"/>
    <m/>
    <x v="4"/>
    <m/>
    <m/>
    <n v="14800"/>
    <n v="0"/>
    <n v="0"/>
    <n v="0"/>
    <n v="0"/>
    <n v="1429680000"/>
    <n v="158285451.98410821"/>
    <n v="1074614"/>
    <n v="0"/>
    <n v="0"/>
    <n v="1.0351966873706003E-5"/>
    <n v="9.0252857142857104E-6"/>
    <s v=""/>
    <n v="1.3844465879133804E-3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digenous Community Energy Specialist"/>
    <m/>
    <x v="4"/>
    <n v="0"/>
    <m/>
    <n v="414400"/>
    <n v="407000"/>
    <n v="0"/>
    <n v="0"/>
    <n v="0"/>
    <n v="1429680000"/>
    <n v="158285451.98410821"/>
    <n v="1074614"/>
    <n v="0"/>
    <n v="0"/>
    <n v="2.8985507246376811E-4"/>
    <n v="2.5270799999999993E-4"/>
    <s v=""/>
    <n v="4.9250527430532376E-2"/>
    <m/>
    <m/>
  </r>
  <r>
    <x v="0"/>
    <x v="0"/>
    <x v="4"/>
    <x v="5"/>
    <s v="FortisBC"/>
    <x v="8"/>
    <x v="3"/>
    <m/>
    <s v="Indigenous Community Energy Specialist"/>
    <m/>
    <x v="4"/>
    <n v="0"/>
    <m/>
    <n v="451400"/>
    <n v="444000"/>
    <n v="0"/>
    <n v="0"/>
    <n v="0"/>
    <n v="1429680000"/>
    <n v="158285451.98410821"/>
    <n v="1074614"/>
    <n v="0"/>
    <n v="0"/>
    <n v="3.1573498964803314E-4"/>
    <n v="2.7527121428571417E-4"/>
    <s v=""/>
    <n v="4.6631915770135847E-2"/>
    <m/>
    <m/>
  </r>
  <r>
    <x v="0"/>
    <x v="0"/>
    <x v="5"/>
    <x v="5"/>
    <s v="FortisBC"/>
    <x v="8"/>
    <x v="3"/>
    <m/>
    <s v="Indigenous Community Energy Specialist"/>
    <m/>
    <x v="4"/>
    <n v="0"/>
    <m/>
    <n v="488400"/>
    <n v="481000"/>
    <n v="0"/>
    <n v="0"/>
    <n v="0"/>
    <n v="1429680000"/>
    <n v="158285451.98410821"/>
    <n v="1074614"/>
    <n v="0"/>
    <n v="0"/>
    <n v="3.4161490683229812E-4"/>
    <n v="2.9783442857142848E-4"/>
    <s v=""/>
    <n v="4.5686737401141556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digenous Labour"/>
    <m/>
    <x v="4"/>
    <n v="0"/>
    <m/>
    <n v="259000"/>
    <n v="0"/>
    <n v="0"/>
    <n v="0"/>
    <n v="0"/>
    <n v="1429680000"/>
    <n v="158285451.98410821"/>
    <n v="1074614"/>
    <n v="0"/>
    <n v="0"/>
    <n v="1.8115942028985507E-4"/>
    <n v="1.5794249999999993E-4"/>
    <s v=""/>
    <n v="3.0781579644082735E-2"/>
    <m/>
    <m/>
  </r>
  <r>
    <x v="0"/>
    <x v="0"/>
    <x v="4"/>
    <x v="5"/>
    <s v="FortisBC"/>
    <x v="8"/>
    <x v="3"/>
    <m/>
    <s v="Indigenous Labour"/>
    <m/>
    <x v="4"/>
    <n v="0"/>
    <m/>
    <n v="265660"/>
    <n v="0"/>
    <n v="0"/>
    <n v="0"/>
    <n v="0"/>
    <n v="1429680000"/>
    <n v="158285451.98410821"/>
    <n v="1074614"/>
    <n v="0"/>
    <n v="0"/>
    <n v="1.8581780538302276E-4"/>
    <n v="1.6200387857142853E-4"/>
    <s v=""/>
    <n v="2.7444029117178307E-2"/>
    <m/>
    <m/>
  </r>
  <r>
    <x v="0"/>
    <x v="0"/>
    <x v="5"/>
    <x v="5"/>
    <s v="FortisBC"/>
    <x v="8"/>
    <x v="3"/>
    <m/>
    <s v="Indigenous Labour"/>
    <m/>
    <x v="4"/>
    <n v="0"/>
    <m/>
    <n v="259000"/>
    <n v="0"/>
    <n v="0"/>
    <n v="0"/>
    <n v="0"/>
    <n v="1429680000"/>
    <n v="158285451.98410821"/>
    <n v="1074614"/>
    <n v="0"/>
    <n v="0"/>
    <n v="1.8115942028985507E-4"/>
    <n v="1.5794249999999993E-4"/>
    <s v=""/>
    <n v="2.422781528848416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digenous Non-Program Specific Expenditures"/>
    <m/>
    <x v="4"/>
    <n v="0"/>
    <m/>
    <n v="7400"/>
    <n v="0"/>
    <n v="0"/>
    <n v="0"/>
    <n v="0"/>
    <n v="1429680000"/>
    <n v="158285451.98410821"/>
    <n v="1074614"/>
    <n v="0"/>
    <n v="0"/>
    <n v="5.1759834368530017E-6"/>
    <n v="4.5126428571428552E-6"/>
    <s v=""/>
    <n v="8.7947370411664951E-4"/>
    <m/>
    <m/>
  </r>
  <r>
    <x v="0"/>
    <x v="0"/>
    <x v="4"/>
    <x v="5"/>
    <s v="FortisBC"/>
    <x v="8"/>
    <x v="3"/>
    <m/>
    <s v="Indigenous Non-Program Specific Expenditures"/>
    <m/>
    <x v="4"/>
    <n v="0"/>
    <m/>
    <n v="7400"/>
    <n v="0"/>
    <n v="0"/>
    <n v="0"/>
    <n v="0"/>
    <n v="1429680000"/>
    <n v="158285451.98410821"/>
    <n v="1074614"/>
    <n v="0"/>
    <n v="0"/>
    <n v="5.1759834368530017E-6"/>
    <n v="4.5126428571428552E-6"/>
    <s v=""/>
    <n v="7.644576355759975E-4"/>
    <m/>
    <m/>
  </r>
  <r>
    <x v="0"/>
    <x v="0"/>
    <x v="5"/>
    <x v="5"/>
    <s v="FortisBC"/>
    <x v="8"/>
    <x v="3"/>
    <m/>
    <s v="Indigenous Non-Program Specific Expenditures"/>
    <m/>
    <x v="4"/>
    <n v="0"/>
    <m/>
    <n v="7400"/>
    <n v="0"/>
    <n v="0"/>
    <n v="0"/>
    <n v="0"/>
    <n v="1429680000"/>
    <n v="158285451.98410821"/>
    <n v="1074614"/>
    <n v="0"/>
    <n v="0"/>
    <n v="5.1759834368530017E-6"/>
    <n v="4.5126428571428552E-6"/>
    <s v=""/>
    <n v="6.9222329395669021E-4"/>
    <m/>
    <m/>
  </r>
  <r>
    <x v="0"/>
    <x v="0"/>
    <x v="2"/>
    <x v="5"/>
    <s v="FortisBC"/>
    <x v="8"/>
    <x v="4"/>
    <m/>
    <s v="CEO Program Overhead"/>
    <m/>
    <x v="6"/>
    <n v="0"/>
    <n v="0"/>
    <n v="6765080"/>
    <n v="429940"/>
    <n v="0"/>
    <n v="0"/>
    <n v="0"/>
    <n v="1429680000"/>
    <n v="158285451.98410821"/>
    <n v="1074614"/>
    <n v="0"/>
    <n v="0"/>
    <n v="4.7318840579710147E-3"/>
    <n v="4.1254580999999981E-3"/>
    <s v=""/>
    <n v="0.82983234863262378"/>
    <m/>
    <m/>
  </r>
  <r>
    <x v="0"/>
    <x v="0"/>
    <x v="2"/>
    <x v="5"/>
    <s v="FortisBC"/>
    <x v="8"/>
    <x v="4"/>
    <m/>
    <s v="Overhead"/>
    <m/>
    <x v="6"/>
    <n v="0"/>
    <n v="0"/>
    <n v="37385540"/>
    <n v="429940"/>
    <n v="0"/>
    <n v="0"/>
    <n v="0"/>
    <n v="1429680000"/>
    <n v="158285451.98410821"/>
    <n v="1074614"/>
    <n v="0"/>
    <n v="0"/>
    <n v="2.614958592132505E-2"/>
    <n v="2.2798322978571421E-2"/>
    <s v=""/>
    <n v="4.5858630589880534"/>
    <m/>
    <m/>
  </r>
  <r>
    <x v="0"/>
    <x v="0"/>
    <x v="2"/>
    <x v="5"/>
    <s v="FortisBC"/>
    <x v="8"/>
    <x v="2"/>
    <m/>
    <s v="CEO Program Customer Engagement Tool"/>
    <m/>
    <x v="6"/>
    <n v="189563.41999999998"/>
    <n v="210626.02222222221"/>
    <n v="4077400"/>
    <n v="0"/>
    <n v="555000000"/>
    <n v="75825366.219932109"/>
    <n v="98444"/>
    <n v="1429680000"/>
    <n v="158285451.98410821"/>
    <n v="1074614"/>
    <n v="1.1559892070791499E-4"/>
    <n v="1.2844324523101668E-4"/>
    <n v="2.8519668737060043E-3"/>
    <n v="2.4864662142857134E-3"/>
    <n v="0.6896593132876776"/>
    <n v="0.5001505404687987"/>
    <m/>
    <m/>
  </r>
  <r>
    <x v="0"/>
    <x v="0"/>
    <x v="3"/>
    <x v="5"/>
    <s v="FortisBC"/>
    <x v="8"/>
    <x v="2"/>
    <m/>
    <s v="CEO Program Customer Engagement Tool"/>
    <m/>
    <x v="2"/>
    <n v="284345.13"/>
    <n v="315939.03333333333"/>
    <n v="3448400"/>
    <n v="0"/>
    <n v="555000000"/>
    <n v="75825366.219932109"/>
    <n v="98444"/>
    <n v="1429680000"/>
    <n v="158285451.98410821"/>
    <n v="1074614"/>
    <n v="1.7339838106187252E-4"/>
    <n v="1.92664867846525E-4"/>
    <n v="2.4120082815734991E-3"/>
    <n v="2.1028915714285707E-3"/>
    <n v="0.586106271469792"/>
    <n v="0.40983474611835868"/>
    <m/>
    <m/>
  </r>
  <r>
    <x v="0"/>
    <x v="0"/>
    <x v="4"/>
    <x v="5"/>
    <s v="FortisBC"/>
    <x v="8"/>
    <x v="2"/>
    <m/>
    <s v="CEO Program Customer Engagement Tool"/>
    <m/>
    <x v="2"/>
    <n v="284345.13"/>
    <n v="315939.03333333333"/>
    <n v="3596400"/>
    <n v="0"/>
    <n v="555000000"/>
    <n v="75825366.219932109"/>
    <n v="98444"/>
    <n v="1429680000"/>
    <n v="158285451.98410821"/>
    <n v="1074614"/>
    <n v="1.7339838106187252E-4"/>
    <n v="1.92664867846525E-4"/>
    <n v="2.515527950310559E-3"/>
    <n v="2.1931444285714276E-3"/>
    <n v="0.52645421343176091"/>
    <n v="0.37152641088993477"/>
    <m/>
    <m/>
  </r>
  <r>
    <x v="0"/>
    <x v="0"/>
    <x v="5"/>
    <x v="5"/>
    <s v="FortisBC"/>
    <x v="8"/>
    <x v="2"/>
    <m/>
    <s v="CEO Program Customer Engagement Tool"/>
    <m/>
    <x v="2"/>
    <n v="284345.13"/>
    <n v="315939.03333333333"/>
    <n v="3670400"/>
    <n v="0"/>
    <n v="555000000"/>
    <n v="75825366.219932109"/>
    <n v="98444"/>
    <n v="1429680000"/>
    <n v="158285451.98410821"/>
    <n v="1074614"/>
    <n v="1.7339838106187252E-4"/>
    <n v="1.92664867846525E-4"/>
    <n v="2.5672877846790892E-3"/>
    <n v="2.2382708571428564E-3"/>
    <n v="0.48989861466986573"/>
    <n v="0.34334275380251839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EO Program Residential Education Program"/>
    <m/>
    <x v="4"/>
    <n v="0"/>
    <m/>
    <n v="2649200"/>
    <n v="0"/>
    <n v="0"/>
    <n v="0"/>
    <n v="0"/>
    <n v="1429680000"/>
    <n v="158285451.98410821"/>
    <n v="1074614"/>
    <n v="0"/>
    <n v="0"/>
    <n v="1.8530020703933748E-3"/>
    <n v="1.6155261428571423E-3"/>
    <s v=""/>
    <n v="0.31485158607376051"/>
    <m/>
    <m/>
  </r>
  <r>
    <x v="0"/>
    <x v="0"/>
    <x v="4"/>
    <x v="5"/>
    <s v="FortisBC"/>
    <x v="8"/>
    <x v="3"/>
    <m/>
    <s v="CEO Program Residential Education Program"/>
    <m/>
    <x v="4"/>
    <n v="0"/>
    <m/>
    <n v="2678800"/>
    <n v="0"/>
    <n v="0"/>
    <n v="0"/>
    <n v="0"/>
    <n v="1429680000"/>
    <n v="158285451.98410821"/>
    <n v="1074614"/>
    <n v="0"/>
    <n v="0"/>
    <n v="1.8737060041407868E-3"/>
    <n v="1.6335767142857136E-3"/>
    <s v=""/>
    <n v="0.27673366407851108"/>
    <m/>
    <m/>
  </r>
  <r>
    <x v="0"/>
    <x v="0"/>
    <x v="5"/>
    <x v="5"/>
    <s v="FortisBC"/>
    <x v="8"/>
    <x v="3"/>
    <m/>
    <s v="CEO Program Residential Education Program"/>
    <m/>
    <x v="4"/>
    <n v="0"/>
    <m/>
    <n v="2708400"/>
    <n v="0"/>
    <n v="0"/>
    <n v="0"/>
    <n v="0"/>
    <n v="1429680000"/>
    <n v="158285451.98410821"/>
    <n v="1074614"/>
    <n v="0"/>
    <n v="0"/>
    <n v="1.8944099378881989E-3"/>
    <n v="1.6516272857142853E-3"/>
    <s v=""/>
    <n v="0.25335372558814861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EO Program Commercial Education Program"/>
    <m/>
    <x v="4"/>
    <n v="0"/>
    <m/>
    <n v="1224700"/>
    <n v="0"/>
    <n v="0"/>
    <n v="0"/>
    <n v="0"/>
    <n v="1429680000"/>
    <n v="158285451.98410821"/>
    <n v="1074614"/>
    <n v="0"/>
    <n v="0"/>
    <n v="8.5662525879917184E-4"/>
    <n v="7.468423928571426E-4"/>
    <s v=""/>
    <n v="0.1455528980313055"/>
    <m/>
    <m/>
  </r>
  <r>
    <x v="0"/>
    <x v="0"/>
    <x v="4"/>
    <x v="5"/>
    <s v="FortisBC"/>
    <x v="8"/>
    <x v="3"/>
    <m/>
    <s v="CEO Program Commercial Education Program"/>
    <m/>
    <x v="4"/>
    <n v="0"/>
    <m/>
    <n v="1261700"/>
    <n v="0"/>
    <n v="0"/>
    <n v="0"/>
    <n v="0"/>
    <n v="1429680000"/>
    <n v="158285451.98410821"/>
    <n v="1074614"/>
    <n v="0"/>
    <n v="0"/>
    <n v="8.8250517598343682E-4"/>
    <n v="7.6940560714285685E-4"/>
    <s v=""/>
    <n v="0.13034002686570756"/>
    <m/>
    <m/>
  </r>
  <r>
    <x v="0"/>
    <x v="0"/>
    <x v="5"/>
    <x v="5"/>
    <s v="FortisBC"/>
    <x v="8"/>
    <x v="3"/>
    <m/>
    <s v="CEO Program Commercial Education Program"/>
    <m/>
    <x v="4"/>
    <n v="0"/>
    <m/>
    <n v="1261700"/>
    <n v="0"/>
    <n v="0"/>
    <n v="0"/>
    <n v="0"/>
    <n v="1429680000"/>
    <n v="158285451.98410821"/>
    <n v="1074614"/>
    <n v="0"/>
    <n v="0"/>
    <n v="8.8250517598343682E-4"/>
    <n v="7.6940560714285685E-4"/>
    <s v=""/>
    <n v="0.11802407161961569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EO Program School Education Program"/>
    <m/>
    <x v="4"/>
    <n v="0"/>
    <m/>
    <n v="840640"/>
    <n v="0"/>
    <n v="0"/>
    <n v="0"/>
    <n v="0"/>
    <n v="1429680000"/>
    <n v="158285451.98410821"/>
    <n v="1074614"/>
    <n v="0"/>
    <n v="0"/>
    <n v="5.8799171842650107E-4"/>
    <n v="5.126362285714284E-4"/>
    <s v=""/>
    <n v="9.9908212787651385E-2"/>
    <m/>
    <m/>
  </r>
  <r>
    <x v="0"/>
    <x v="0"/>
    <x v="4"/>
    <x v="5"/>
    <s v="FortisBC"/>
    <x v="8"/>
    <x v="3"/>
    <m/>
    <s v="CEO Program School Education Program"/>
    <m/>
    <x v="4"/>
    <n v="0"/>
    <m/>
    <n v="807340"/>
    <n v="0"/>
    <n v="0"/>
    <n v="0"/>
    <n v="0"/>
    <n v="1429680000"/>
    <n v="158285451.98410821"/>
    <n v="1074614"/>
    <n v="0"/>
    <n v="0"/>
    <n v="5.6469979296066251E-4"/>
    <n v="4.9232933571428548E-4"/>
    <s v=""/>
    <n v="8.3402328041341317E-2"/>
    <m/>
    <m/>
  </r>
  <r>
    <x v="0"/>
    <x v="0"/>
    <x v="5"/>
    <x v="5"/>
    <s v="FortisBC"/>
    <x v="8"/>
    <x v="3"/>
    <m/>
    <s v="CEO Program School Education Program"/>
    <m/>
    <x v="4"/>
    <n v="0"/>
    <m/>
    <n v="807340"/>
    <n v="0"/>
    <n v="0"/>
    <n v="0"/>
    <n v="0"/>
    <n v="1429680000"/>
    <n v="158285451.98410821"/>
    <n v="1074614"/>
    <n v="0"/>
    <n v="0"/>
    <n v="5.6469979296066251E-4"/>
    <n v="4.9232933571428548E-4"/>
    <s v=""/>
    <n v="7.5521561370674908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EO Program Labour"/>
    <m/>
    <x v="4"/>
    <n v="0"/>
    <m/>
    <n v="2264400"/>
    <n v="0"/>
    <n v="0"/>
    <n v="0"/>
    <n v="0"/>
    <n v="1429680000"/>
    <n v="158285451.98410821"/>
    <n v="1074614"/>
    <n v="0"/>
    <n v="0"/>
    <n v="1.5838509316770187E-3"/>
    <n v="1.3808687142857138E-3"/>
    <s v=""/>
    <n v="0.26911895345969478"/>
    <m/>
    <m/>
  </r>
  <r>
    <x v="0"/>
    <x v="0"/>
    <x v="4"/>
    <x v="5"/>
    <s v="FortisBC"/>
    <x v="8"/>
    <x v="3"/>
    <m/>
    <s v="CEO Program Labour"/>
    <m/>
    <x v="4"/>
    <n v="0"/>
    <m/>
    <n v="2311760"/>
    <n v="0"/>
    <n v="0"/>
    <n v="0"/>
    <n v="0"/>
    <n v="1429680000"/>
    <n v="158285451.98410821"/>
    <n v="1074614"/>
    <n v="0"/>
    <n v="0"/>
    <n v="1.6169772256728779E-3"/>
    <n v="1.4097496285714281E-3"/>
    <s v=""/>
    <n v="0.23881656535394161"/>
    <m/>
    <m/>
  </r>
  <r>
    <x v="0"/>
    <x v="0"/>
    <x v="5"/>
    <x v="5"/>
    <s v="FortisBC"/>
    <x v="8"/>
    <x v="3"/>
    <m/>
    <s v="CEO Program Labour"/>
    <m/>
    <x v="4"/>
    <n v="0"/>
    <m/>
    <n v="2359860"/>
    <n v="0"/>
    <n v="0"/>
    <n v="0"/>
    <n v="0"/>
    <n v="1429680000"/>
    <n v="158285451.98410821"/>
    <n v="1074614"/>
    <n v="0"/>
    <n v="0"/>
    <n v="1.6506211180124224E-3"/>
    <n v="1.4390818071428565E-3"/>
    <s v=""/>
    <n v="0.22075000844278853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CEO Program Non-Program Specific Expenditures"/>
    <m/>
    <x v="4"/>
    <n v="0"/>
    <m/>
    <n v="37000"/>
    <n v="0"/>
    <n v="0"/>
    <n v="0"/>
    <n v="0"/>
    <n v="1429680000"/>
    <n v="158285451.98410821"/>
    <n v="1074614"/>
    <n v="0"/>
    <n v="0"/>
    <n v="2.587991718426501E-5"/>
    <n v="2.2563214285714279E-5"/>
    <s v=""/>
    <n v="4.397368520583248E-3"/>
    <m/>
    <m/>
  </r>
  <r>
    <x v="0"/>
    <x v="0"/>
    <x v="4"/>
    <x v="5"/>
    <s v="FortisBC"/>
    <x v="8"/>
    <x v="3"/>
    <m/>
    <s v="CEO Program Non-Program Specific Expenditures"/>
    <m/>
    <x v="4"/>
    <n v="0"/>
    <m/>
    <n v="37000"/>
    <n v="0"/>
    <n v="0"/>
    <n v="0"/>
    <n v="0"/>
    <n v="1429680000"/>
    <n v="158285451.98410821"/>
    <n v="1074614"/>
    <n v="0"/>
    <n v="0"/>
    <n v="2.587991718426501E-5"/>
    <n v="2.2563214285714279E-5"/>
    <s v=""/>
    <n v="3.8222881778799873E-3"/>
    <m/>
    <m/>
  </r>
  <r>
    <x v="0"/>
    <x v="0"/>
    <x v="5"/>
    <x v="5"/>
    <s v="FortisBC"/>
    <x v="8"/>
    <x v="3"/>
    <m/>
    <s v="CEO Program Non-Program Specific Expenditures"/>
    <m/>
    <x v="4"/>
    <n v="0"/>
    <m/>
    <n v="37000"/>
    <n v="0"/>
    <n v="0"/>
    <n v="0"/>
    <n v="0"/>
    <n v="1429680000"/>
    <n v="158285451.98410821"/>
    <n v="1074614"/>
    <n v="0"/>
    <n v="0"/>
    <n v="2.587991718426501E-5"/>
    <n v="2.2563214285714279E-5"/>
    <s v=""/>
    <n v="3.461116469783451E-3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novative Technologies Program Technology Screening"/>
    <m/>
    <x v="4"/>
    <n v="0"/>
    <m/>
    <n v="592000"/>
    <n v="222000"/>
    <n v="0"/>
    <n v="0"/>
    <n v="0"/>
    <n v="1429680000"/>
    <n v="158285451.98410821"/>
    <n v="1074614"/>
    <n v="0"/>
    <n v="0"/>
    <n v="4.1407867494824016E-4"/>
    <n v="3.6101142857142846E-4"/>
    <s v=""/>
    <n v="7.0357896329331968E-2"/>
    <m/>
    <m/>
  </r>
  <r>
    <x v="0"/>
    <x v="0"/>
    <x v="4"/>
    <x v="5"/>
    <s v="FortisBC"/>
    <x v="8"/>
    <x v="3"/>
    <m/>
    <s v="Innovative Technologies Program Technology Screening"/>
    <m/>
    <x v="4"/>
    <n v="0"/>
    <m/>
    <n v="592000"/>
    <n v="222000"/>
    <n v="0"/>
    <n v="0"/>
    <n v="0"/>
    <n v="1429680000"/>
    <n v="158285451.98410821"/>
    <n v="1074614"/>
    <n v="0"/>
    <n v="0"/>
    <n v="4.1407867494824016E-4"/>
    <n v="3.6101142857142846E-4"/>
    <s v=""/>
    <n v="6.1156610846079797E-2"/>
    <m/>
    <m/>
  </r>
  <r>
    <x v="0"/>
    <x v="0"/>
    <x v="5"/>
    <x v="5"/>
    <s v="FortisBC"/>
    <x v="8"/>
    <x v="3"/>
    <m/>
    <s v="Innovative Technologies Program Technology Screening"/>
    <m/>
    <x v="4"/>
    <n v="0"/>
    <m/>
    <n v="592000"/>
    <n v="222000"/>
    <n v="0"/>
    <n v="0"/>
    <n v="0"/>
    <n v="1429680000"/>
    <n v="158285451.98410821"/>
    <n v="1074614"/>
    <n v="0"/>
    <n v="0"/>
    <n v="4.1407867494824016E-4"/>
    <n v="3.6101142857142846E-4"/>
    <s v=""/>
    <n v="5.5377863516535217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novative Technologies Program Pilots"/>
    <m/>
    <x v="4"/>
    <n v="0"/>
    <m/>
    <n v="4588000"/>
    <n v="4403000"/>
    <n v="0"/>
    <n v="0"/>
    <n v="0"/>
    <n v="1429680000"/>
    <n v="158285451.98410821"/>
    <n v="1074614"/>
    <n v="0"/>
    <n v="0"/>
    <n v="3.2091097308488614E-3"/>
    <n v="2.7978385714285702E-3"/>
    <s v=""/>
    <n v="0.54527369655232272"/>
    <m/>
    <m/>
  </r>
  <r>
    <x v="0"/>
    <x v="0"/>
    <x v="4"/>
    <x v="5"/>
    <s v="FortisBC"/>
    <x v="8"/>
    <x v="3"/>
    <m/>
    <s v="Innovative Technologies Program Pilots"/>
    <m/>
    <x v="4"/>
    <n v="0"/>
    <m/>
    <n v="4521400"/>
    <n v="4329000"/>
    <n v="0"/>
    <n v="0"/>
    <n v="0"/>
    <n v="1429680000"/>
    <n v="158285451.98410821"/>
    <n v="1074614"/>
    <n v="0"/>
    <n v="0"/>
    <n v="3.1625258799171841E-3"/>
    <n v="2.7572247857142848E-3"/>
    <s v=""/>
    <n v="0.46708361533693443"/>
    <m/>
    <m/>
  </r>
  <r>
    <x v="0"/>
    <x v="0"/>
    <x v="5"/>
    <x v="5"/>
    <s v="FortisBC"/>
    <x v="8"/>
    <x v="3"/>
    <m/>
    <s v="Innovative Technologies Program Pilots"/>
    <m/>
    <x v="4"/>
    <n v="0"/>
    <m/>
    <n v="5094900"/>
    <n v="4884000"/>
    <n v="0"/>
    <n v="0"/>
    <n v="0"/>
    <n v="1429680000"/>
    <n v="158285451.98410821"/>
    <n v="1074614"/>
    <n v="0"/>
    <n v="0"/>
    <n v="3.5636645962732918E-3"/>
    <n v="3.1069546071428563E-3"/>
    <s v=""/>
    <n v="0.47659573788918125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novative Technologies Program Deep Energy Retrofits"/>
    <m/>
    <x v="4"/>
    <n v="0"/>
    <m/>
    <n v="8255440"/>
    <n v="7520620"/>
    <n v="0"/>
    <n v="0"/>
    <n v="0"/>
    <n v="1429680000"/>
    <n v="158285451.98410821"/>
    <n v="1074614"/>
    <n v="0"/>
    <n v="0"/>
    <n v="5.7743271221532095E-3"/>
    <n v="5.0343043714285701E-3"/>
    <s v=""/>
    <n v="0.98114086431253422"/>
    <m/>
    <m/>
  </r>
  <r>
    <x v="0"/>
    <x v="0"/>
    <x v="4"/>
    <x v="5"/>
    <s v="FortisBC"/>
    <x v="8"/>
    <x v="3"/>
    <m/>
    <s v="Innovative Technologies Program Deep Energy Retrofits"/>
    <m/>
    <x v="4"/>
    <n v="0"/>
    <m/>
    <n v="4092940"/>
    <n v="3006620"/>
    <n v="0"/>
    <n v="0"/>
    <n v="0"/>
    <n v="1429680000"/>
    <n v="158285451.98410821"/>
    <n v="1074614"/>
    <n v="0"/>
    <n v="0"/>
    <n v="2.8628364389233956E-3"/>
    <n v="2.4959427642857134E-3"/>
    <s v=""/>
    <n v="0.42282151823708419"/>
    <m/>
    <m/>
  </r>
  <r>
    <x v="0"/>
    <x v="0"/>
    <x v="5"/>
    <x v="5"/>
    <s v="FortisBC"/>
    <x v="8"/>
    <x v="3"/>
    <m/>
    <s v="Innovative Technologies Program Deep Energy Retrofits"/>
    <m/>
    <x v="4"/>
    <n v="0"/>
    <m/>
    <n v="5517440"/>
    <n v="4394120"/>
    <n v="0"/>
    <n v="0"/>
    <n v="0"/>
    <n v="1429680000"/>
    <n v="158285451.98410821"/>
    <n v="1074614"/>
    <n v="0"/>
    <n v="0"/>
    <n v="3.8592132505175982E-3"/>
    <n v="3.3646265142857133E-3"/>
    <s v=""/>
    <n v="0.51612168797410829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novative Technologies Program Labour"/>
    <m/>
    <x v="4"/>
    <n v="0"/>
    <m/>
    <n v="1411180"/>
    <n v="0"/>
    <n v="0"/>
    <n v="0"/>
    <n v="0"/>
    <n v="1429680000"/>
    <n v="158285451.98410821"/>
    <n v="1074614"/>
    <n v="0"/>
    <n v="0"/>
    <n v="9.8706004140786748E-4"/>
    <n v="8.6056099285714244E-4"/>
    <s v=""/>
    <n v="0.16771563537504508"/>
    <m/>
    <m/>
  </r>
  <r>
    <x v="0"/>
    <x v="0"/>
    <x v="4"/>
    <x v="5"/>
    <s v="FortisBC"/>
    <x v="8"/>
    <x v="3"/>
    <m/>
    <s v="Innovative Technologies Program Labour"/>
    <m/>
    <x v="4"/>
    <n v="0"/>
    <m/>
    <n v="1410440"/>
    <n v="0"/>
    <n v="0"/>
    <n v="0"/>
    <n v="0"/>
    <n v="1429680000"/>
    <n v="158285451.98410821"/>
    <n v="1074614"/>
    <n v="0"/>
    <n v="0"/>
    <n v="9.8654244306418211E-4"/>
    <n v="8.6010972857142819E-4"/>
    <s v=""/>
    <n v="0.1457056253407851"/>
    <m/>
    <m/>
  </r>
  <r>
    <x v="0"/>
    <x v="0"/>
    <x v="5"/>
    <x v="5"/>
    <s v="FortisBC"/>
    <x v="8"/>
    <x v="3"/>
    <m/>
    <s v="Innovative Technologies Program Labour"/>
    <m/>
    <x v="4"/>
    <n v="0"/>
    <m/>
    <n v="1411180"/>
    <n v="0"/>
    <n v="0"/>
    <n v="0"/>
    <n v="0"/>
    <n v="1429680000"/>
    <n v="158285451.98410821"/>
    <n v="1074614"/>
    <n v="0"/>
    <n v="0"/>
    <n v="9.8706004140786748E-4"/>
    <n v="8.6056099285714244E-4"/>
    <s v=""/>
    <n v="0.13200698215754084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Innovative Technologies Program Non-Program Specific Expenses"/>
    <m/>
    <x v="4"/>
    <n v="0"/>
    <m/>
    <n v="388500"/>
    <n v="0"/>
    <n v="0"/>
    <n v="0"/>
    <n v="0"/>
    <n v="1429680000"/>
    <n v="158285451.98410821"/>
    <n v="1074614"/>
    <n v="0"/>
    <n v="0"/>
    <n v="2.7173913043478261E-4"/>
    <n v="2.3691374999999993E-4"/>
    <s v=""/>
    <n v="4.6172369466124102E-2"/>
    <m/>
    <m/>
  </r>
  <r>
    <x v="0"/>
    <x v="0"/>
    <x v="4"/>
    <x v="5"/>
    <s v="FortisBC"/>
    <x v="8"/>
    <x v="3"/>
    <m/>
    <s v="Innovative Technologies Program Non-Program Specific Expenses"/>
    <m/>
    <x v="4"/>
    <n v="0"/>
    <m/>
    <n v="403300"/>
    <n v="0"/>
    <n v="0"/>
    <n v="0"/>
    <n v="0"/>
    <n v="1429680000"/>
    <n v="158285451.98410821"/>
    <n v="1074614"/>
    <n v="0"/>
    <n v="0"/>
    <n v="2.8209109730848863E-4"/>
    <n v="2.4593903571428562E-4"/>
    <s v=""/>
    <n v="4.1662941138891858E-2"/>
    <m/>
    <m/>
  </r>
  <r>
    <x v="0"/>
    <x v="0"/>
    <x v="5"/>
    <x v="5"/>
    <s v="FortisBC"/>
    <x v="8"/>
    <x v="3"/>
    <m/>
    <s v="Innovative Technologies Program Non-Program Specific Expenses"/>
    <m/>
    <x v="4"/>
    <n v="0"/>
    <m/>
    <n v="403300"/>
    <n v="0"/>
    <n v="0"/>
    <n v="0"/>
    <n v="0"/>
    <n v="1429680000"/>
    <n v="158285451.98410821"/>
    <n v="1074614"/>
    <n v="0"/>
    <n v="0"/>
    <n v="2.8209109730848863E-4"/>
    <n v="2.4593903571428562E-4"/>
    <s v=""/>
    <n v="3.7726169520639619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Trade Ally Network"/>
    <m/>
    <x v="4"/>
    <n v="0"/>
    <m/>
    <n v="1283900"/>
    <n v="0"/>
    <n v="0"/>
    <n v="0"/>
    <n v="0"/>
    <n v="1429680000"/>
    <n v="158285451.98410821"/>
    <n v="1074614"/>
    <n v="0"/>
    <n v="0"/>
    <n v="8.9803312629399589E-4"/>
    <n v="7.8294353571428546E-4"/>
    <s v=""/>
    <n v="0.15258868766423869"/>
    <m/>
    <m/>
  </r>
  <r>
    <x v="0"/>
    <x v="0"/>
    <x v="4"/>
    <x v="5"/>
    <s v="FortisBC"/>
    <x v="8"/>
    <x v="3"/>
    <m/>
    <s v="Enabling Activities Trade Ally Network"/>
    <m/>
    <x v="4"/>
    <n v="0"/>
    <m/>
    <n v="1309800"/>
    <n v="0"/>
    <n v="0"/>
    <n v="0"/>
    <n v="0"/>
    <n v="1429680000"/>
    <n v="158285451.98410821"/>
    <n v="1074614"/>
    <n v="0"/>
    <n v="0"/>
    <n v="9.1614906832298139E-4"/>
    <n v="7.987377857142854E-4"/>
    <s v=""/>
    <n v="0.13530900149695155"/>
    <m/>
    <m/>
  </r>
  <r>
    <x v="0"/>
    <x v="0"/>
    <x v="5"/>
    <x v="5"/>
    <s v="FortisBC"/>
    <x v="8"/>
    <x v="3"/>
    <m/>
    <s v="Enabling Activities Trade Ally Network"/>
    <m/>
    <x v="4"/>
    <n v="0"/>
    <m/>
    <n v="1280200"/>
    <n v="2487140"/>
    <n v="0"/>
    <n v="0"/>
    <n v="0"/>
    <n v="1429680000"/>
    <n v="158285451.98410821"/>
    <n v="1074614"/>
    <n v="0"/>
    <n v="0"/>
    <n v="8.9544513457556936E-4"/>
    <n v="7.8068721428571403E-4"/>
    <s v=""/>
    <n v="0.11975462985450741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Codes &amp; Standards"/>
    <m/>
    <x v="4"/>
    <n v="0"/>
    <m/>
    <n v="1848520"/>
    <n v="230140"/>
    <n v="0"/>
    <n v="0"/>
    <n v="0"/>
    <n v="1429680000"/>
    <n v="158285451.98410821"/>
    <n v="1074614"/>
    <n v="0"/>
    <n v="0"/>
    <n v="1.29296066252588E-3"/>
    <n v="1.1272581857142852E-3"/>
    <s v=""/>
    <n v="0.21969253128833907"/>
    <m/>
    <m/>
  </r>
  <r>
    <x v="0"/>
    <x v="0"/>
    <x v="4"/>
    <x v="5"/>
    <s v="FortisBC"/>
    <x v="8"/>
    <x v="3"/>
    <m/>
    <s v="Enabling Activities Codes &amp; Standards"/>
    <m/>
    <x v="4"/>
    <n v="0"/>
    <m/>
    <n v="1072260"/>
    <n v="299700"/>
    <n v="0"/>
    <n v="0"/>
    <n v="0"/>
    <n v="1429680000"/>
    <n v="158285451.98410821"/>
    <n v="1074614"/>
    <n v="0"/>
    <n v="0"/>
    <n v="7.5000000000000002E-4"/>
    <n v="6.5388194999999982E-4"/>
    <s v=""/>
    <n v="0.11076991139496203"/>
    <m/>
    <m/>
  </r>
  <r>
    <x v="0"/>
    <x v="0"/>
    <x v="5"/>
    <x v="5"/>
    <s v="FortisBC"/>
    <x v="8"/>
    <x v="3"/>
    <m/>
    <s v="Enabling Activities Codes &amp; Standards"/>
    <m/>
    <x v="4"/>
    <n v="0"/>
    <m/>
    <n v="1141820"/>
    <n v="0"/>
    <n v="0"/>
    <n v="0"/>
    <n v="0"/>
    <n v="1429680000"/>
    <n v="158285451.98410821"/>
    <n v="1074614"/>
    <n v="0"/>
    <n v="0"/>
    <n v="7.9865424430641818E-4"/>
    <n v="6.9630079285714264E-4"/>
    <s v=""/>
    <n v="0.1068100542575173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Reporting Tool &amp; Customer Application Portal"/>
    <m/>
    <x v="4"/>
    <n v="0"/>
    <m/>
    <n v="894660"/>
    <n v="0"/>
    <n v="0"/>
    <n v="0"/>
    <n v="0"/>
    <n v="1429680000"/>
    <n v="158285451.98410821"/>
    <n v="1074614"/>
    <n v="0"/>
    <n v="0"/>
    <n v="6.2577639751552796E-4"/>
    <n v="5.4557852142857123E-4"/>
    <s v=""/>
    <n v="0.10632837082770293"/>
    <m/>
    <m/>
  </r>
  <r>
    <x v="0"/>
    <x v="0"/>
    <x v="4"/>
    <x v="5"/>
    <s v="FortisBC"/>
    <x v="8"/>
    <x v="3"/>
    <m/>
    <s v="Enabling Activities Reporting Tool &amp; Customer Application Portal"/>
    <m/>
    <x v="4"/>
    <n v="0"/>
    <m/>
    <n v="674140"/>
    <n v="0"/>
    <n v="0"/>
    <n v="0"/>
    <n v="0"/>
    <n v="1429680000"/>
    <n v="158285451.98410821"/>
    <n v="1074614"/>
    <n v="0"/>
    <n v="0"/>
    <n v="4.715320910973085E-4"/>
    <n v="4.1110176428571412E-4"/>
    <s v=""/>
    <n v="6.9642090600973372E-2"/>
    <m/>
    <m/>
  </r>
  <r>
    <x v="0"/>
    <x v="0"/>
    <x v="5"/>
    <x v="5"/>
    <s v="FortisBC"/>
    <x v="8"/>
    <x v="3"/>
    <m/>
    <s v="Enabling Activities Reporting Tool &amp; Customer Application Portal"/>
    <m/>
    <x v="4"/>
    <n v="0"/>
    <m/>
    <n v="681540"/>
    <n v="0"/>
    <n v="0"/>
    <n v="0"/>
    <n v="0"/>
    <n v="1429680000"/>
    <n v="158285451.98410821"/>
    <n v="1074614"/>
    <n v="0"/>
    <n v="0"/>
    <n v="4.7670807453416151E-4"/>
    <n v="4.1561440714285694E-4"/>
    <s v=""/>
    <n v="6.3753765373411167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Conservation Potenital Review"/>
    <m/>
    <x v="4"/>
    <n v="0"/>
    <m/>
    <n v="192400"/>
    <n v="0"/>
    <n v="0"/>
    <n v="0"/>
    <n v="0"/>
    <n v="1429680000"/>
    <n v="158285451.98410821"/>
    <n v="1074614"/>
    <n v="0"/>
    <n v="0"/>
    <n v="1.3457556935817804E-4"/>
    <n v="1.1732871428571423E-4"/>
    <s v=""/>
    <n v="2.286631630703289E-2"/>
    <m/>
    <m/>
  </r>
  <r>
    <x v="0"/>
    <x v="0"/>
    <x v="4"/>
    <x v="5"/>
    <s v="FortisBC"/>
    <x v="8"/>
    <x v="3"/>
    <m/>
    <s v="Enabling Activities Conservation Potenital Review"/>
    <m/>
    <x v="4"/>
    <n v="0"/>
    <m/>
    <n v="266400"/>
    <n v="0"/>
    <n v="0"/>
    <n v="0"/>
    <n v="0"/>
    <n v="1429680000"/>
    <n v="158285451.98410821"/>
    <n v="1074614"/>
    <n v="0"/>
    <n v="0"/>
    <n v="1.8633540372670808E-4"/>
    <n v="1.624551428571428E-4"/>
    <s v=""/>
    <n v="2.7520474880735907E-2"/>
    <m/>
    <m/>
  </r>
  <r>
    <x v="0"/>
    <x v="0"/>
    <x v="5"/>
    <x v="5"/>
    <s v="FortisBC"/>
    <x v="8"/>
    <x v="3"/>
    <m/>
    <s v="Enabling Activities Conservation Potenital Review"/>
    <m/>
    <x v="4"/>
    <n v="0"/>
    <m/>
    <n v="0"/>
    <n v="0"/>
    <n v="0"/>
    <n v="0"/>
    <n v="0"/>
    <n v="1429680000"/>
    <n v="158285451.98410821"/>
    <n v="1074614"/>
    <n v="0"/>
    <n v="0"/>
    <n v="0"/>
    <n v="0"/>
    <s v=""/>
    <n v="0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Customer Research"/>
    <m/>
    <x v="4"/>
    <n v="0"/>
    <m/>
    <n v="74000"/>
    <n v="0"/>
    <n v="0"/>
    <n v="0"/>
    <n v="0"/>
    <n v="1429680000"/>
    <n v="158285451.98410821"/>
    <n v="1074614"/>
    <n v="0"/>
    <n v="0"/>
    <n v="5.175983436853002E-5"/>
    <n v="4.5126428571428557E-5"/>
    <s v=""/>
    <n v="8.7947370411664959E-3"/>
    <m/>
    <m/>
  </r>
  <r>
    <x v="0"/>
    <x v="0"/>
    <x v="4"/>
    <x v="5"/>
    <s v="FortisBC"/>
    <x v="8"/>
    <x v="3"/>
    <m/>
    <s v="Enabling Activities Customer Research"/>
    <m/>
    <x v="4"/>
    <n v="0"/>
    <m/>
    <n v="74000"/>
    <n v="0"/>
    <n v="0"/>
    <n v="0"/>
    <n v="0"/>
    <n v="1429680000"/>
    <n v="158285451.98410821"/>
    <n v="1074614"/>
    <n v="0"/>
    <n v="0"/>
    <n v="5.175983436853002E-5"/>
    <n v="4.5126428571428557E-5"/>
    <s v=""/>
    <n v="7.6445763557599746E-3"/>
    <m/>
    <m/>
  </r>
  <r>
    <x v="0"/>
    <x v="0"/>
    <x v="5"/>
    <x v="5"/>
    <s v="FortisBC"/>
    <x v="8"/>
    <x v="3"/>
    <m/>
    <s v="Enabling Activities Customer Research"/>
    <m/>
    <x v="4"/>
    <n v="0"/>
    <m/>
    <n v="74000"/>
    <n v="0"/>
    <n v="0"/>
    <n v="0"/>
    <n v="0"/>
    <n v="1429680000"/>
    <n v="158285451.98410821"/>
    <n v="1074614"/>
    <n v="0"/>
    <n v="0"/>
    <n v="5.175983436853002E-5"/>
    <n v="4.5126428571428557E-5"/>
    <s v=""/>
    <n v="6.9222329395669021E-3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Commercial Energy Specialist Pogram"/>
    <m/>
    <x v="4"/>
    <n v="0"/>
    <m/>
    <n v="2109000"/>
    <n v="1924000"/>
    <n v="0"/>
    <n v="0"/>
    <n v="0"/>
    <n v="1429680000"/>
    <n v="158285451.98410821"/>
    <n v="1074614"/>
    <n v="0"/>
    <n v="0"/>
    <n v="1.4751552795031057E-3"/>
    <n v="1.2861032142857138E-3"/>
    <s v=""/>
    <n v="0.25065000567324514"/>
    <m/>
    <m/>
  </r>
  <r>
    <x v="0"/>
    <x v="0"/>
    <x v="4"/>
    <x v="5"/>
    <s v="FortisBC"/>
    <x v="8"/>
    <x v="3"/>
    <m/>
    <s v="Enabling Activities Commercial Energy Specialist Pogram"/>
    <m/>
    <x v="4"/>
    <n v="0"/>
    <m/>
    <n v="2053500"/>
    <n v="1850000"/>
    <n v="0"/>
    <n v="0"/>
    <n v="0"/>
    <n v="1429680000"/>
    <n v="158285451.98410821"/>
    <n v="1074614"/>
    <n v="0"/>
    <n v="0"/>
    <n v="1.4363354037267081E-3"/>
    <n v="1.2522583928571422E-3"/>
    <s v=""/>
    <n v="0.21213699387233928"/>
    <m/>
    <m/>
  </r>
  <r>
    <x v="0"/>
    <x v="0"/>
    <x v="5"/>
    <x v="5"/>
    <s v="FortisBC"/>
    <x v="8"/>
    <x v="3"/>
    <m/>
    <s v="Enabling Activities Commercial Energy Specialist Pogram"/>
    <m/>
    <x v="4"/>
    <n v="0"/>
    <m/>
    <n v="2053500"/>
    <n v="1850000"/>
    <n v="0"/>
    <n v="0"/>
    <n v="0"/>
    <n v="1429680000"/>
    <n v="158285451.98410821"/>
    <n v="1074614"/>
    <n v="0"/>
    <n v="0"/>
    <n v="1.4363354037267081E-3"/>
    <n v="1.2522583928571422E-3"/>
    <s v=""/>
    <n v="0.19209196407298154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Community Energy Specialist Program"/>
    <m/>
    <x v="4"/>
    <n v="0"/>
    <m/>
    <n v="765900"/>
    <n v="740000"/>
    <n v="0"/>
    <n v="0"/>
    <n v="0"/>
    <n v="1429680000"/>
    <n v="158285451.98410821"/>
    <n v="1074614"/>
    <n v="0"/>
    <n v="0"/>
    <n v="5.3571428571428574E-4"/>
    <n v="4.6705853571428555E-4"/>
    <s v=""/>
    <n v="9.1025528376073223E-2"/>
    <m/>
    <m/>
  </r>
  <r>
    <x v="0"/>
    <x v="0"/>
    <x v="4"/>
    <x v="5"/>
    <s v="FortisBC"/>
    <x v="8"/>
    <x v="3"/>
    <m/>
    <s v="Enabling Activities Community Energy Specialist Program"/>
    <m/>
    <x v="4"/>
    <n v="0"/>
    <m/>
    <n v="843600"/>
    <n v="814000"/>
    <n v="0"/>
    <n v="0"/>
    <n v="0"/>
    <n v="1429680000"/>
    <n v="158285451.98410821"/>
    <n v="1074614"/>
    <n v="0"/>
    <n v="0"/>
    <n v="5.9006211180124223E-4"/>
    <n v="5.1444128571428549E-4"/>
    <s v=""/>
    <n v="8.7148170455663712E-2"/>
    <m/>
    <m/>
  </r>
  <r>
    <x v="0"/>
    <x v="0"/>
    <x v="5"/>
    <x v="5"/>
    <s v="FortisBC"/>
    <x v="8"/>
    <x v="3"/>
    <m/>
    <s v="Enabling Activities Community Energy Specialist Program"/>
    <m/>
    <x v="4"/>
    <n v="0"/>
    <m/>
    <n v="847300"/>
    <n v="814000"/>
    <n v="0"/>
    <n v="0"/>
    <n v="0"/>
    <n v="1429680000"/>
    <n v="158285451.98410821"/>
    <n v="1074614"/>
    <n v="0"/>
    <n v="0"/>
    <n v="5.9265010351966876E-4"/>
    <n v="5.1669760714285692E-4"/>
    <s v=""/>
    <n v="7.9259567158041028E-2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Enabling Activities Labour"/>
    <m/>
    <x v="4"/>
    <n v="0"/>
    <m/>
    <n v="1784140"/>
    <n v="0"/>
    <n v="0"/>
    <n v="0"/>
    <n v="0"/>
    <n v="1429680000"/>
    <n v="158285451.98410821"/>
    <n v="1074614"/>
    <n v="0"/>
    <n v="0"/>
    <n v="1.2479296066252588E-3"/>
    <n v="1.0879981928571425E-3"/>
    <s v=""/>
    <n v="0.21204111006252421"/>
    <m/>
    <m/>
  </r>
  <r>
    <x v="0"/>
    <x v="0"/>
    <x v="4"/>
    <x v="5"/>
    <s v="FortisBC"/>
    <x v="8"/>
    <x v="3"/>
    <m/>
    <s v="Enabling Activities Labour"/>
    <m/>
    <x v="4"/>
    <n v="0"/>
    <m/>
    <n v="1828540"/>
    <n v="0"/>
    <n v="0"/>
    <n v="0"/>
    <n v="0"/>
    <n v="1429680000"/>
    <n v="158285451.98410821"/>
    <n v="1074614"/>
    <n v="0"/>
    <n v="0"/>
    <n v="1.2789855072463769E-3"/>
    <n v="1.1150740499999996E-3"/>
    <s v=""/>
    <n v="0.18889748175082896"/>
    <m/>
    <m/>
  </r>
  <r>
    <x v="0"/>
    <x v="0"/>
    <x v="5"/>
    <x v="5"/>
    <s v="FortisBC"/>
    <x v="8"/>
    <x v="3"/>
    <m/>
    <s v="Enabling Activities Labour"/>
    <m/>
    <x v="4"/>
    <n v="0"/>
    <m/>
    <n v="1784140"/>
    <n v="0"/>
    <n v="0"/>
    <n v="0"/>
    <n v="0"/>
    <n v="1429680000"/>
    <n v="158285451.98410821"/>
    <n v="1074614"/>
    <n v="0"/>
    <n v="0"/>
    <n v="1.2479296066252588E-3"/>
    <n v="1.0879981928571425E-3"/>
    <s v=""/>
    <n v="0.16689503617295803"/>
    <m/>
    <m/>
  </r>
  <r>
    <x v="0"/>
    <x v="1"/>
    <x v="2"/>
    <x v="5"/>
    <s v="FortisBC"/>
    <x v="8"/>
    <x v="2"/>
    <m/>
    <s v="Legacy Incentives"/>
    <m/>
    <x v="6"/>
    <n v="1395044.5986349999"/>
    <n v="1550049.5540388888"/>
    <n v="25672820"/>
    <n v="25672820"/>
    <n v="555000000"/>
    <n v="75825366.219932109"/>
    <n v="98444"/>
    <n v="1429680000"/>
    <n v="158285451.98410821"/>
    <n v="1074614"/>
    <n v="8.5072135721972345E-4"/>
    <n v="9.4524595246635941E-4"/>
    <n v="1.7957039337474119E-2"/>
    <n v="1.5655711864285708E-2"/>
    <n v="4.3423503731196735"/>
    <n v="3.1491329764943794"/>
    <m/>
    <m/>
  </r>
  <r>
    <x v="0"/>
    <x v="0"/>
    <x v="3"/>
    <x v="5"/>
    <s v="FortisBC"/>
    <x v="8"/>
    <x v="2"/>
    <m/>
    <s v="Legacy Incentives"/>
    <m/>
    <x v="2"/>
    <n v="548577.58113800001"/>
    <n v="609530.64570888889"/>
    <n v="11864.42"/>
    <n v="11864420"/>
    <n v="555000000"/>
    <n v="75825366.219932109"/>
    <n v="98444"/>
    <n v="1429680000"/>
    <n v="158285451.98410821"/>
    <n v="1074614"/>
    <n v="3.3453171663663523E-4"/>
    <n v="3.7170190737403918E-4"/>
    <n v="8.2986542443064179E-6"/>
    <n v="7.2351202928571396E-6"/>
    <n v="2.0165325859388787E-3"/>
    <n v="1.4100601898102243E-3"/>
    <m/>
    <m/>
  </r>
  <r>
    <x v="0"/>
    <x v="0"/>
    <x v="4"/>
    <x v="5"/>
    <s v="FortisBC"/>
    <x v="8"/>
    <x v="2"/>
    <m/>
    <s v="Legacy Incentives"/>
    <m/>
    <x v="2"/>
    <n v="297244.92073099996"/>
    <n v="330272.13414555549"/>
    <n v="6070960"/>
    <n v="6070960"/>
    <n v="555000000"/>
    <n v="75825366.219932109"/>
    <n v="98444"/>
    <n v="1429680000"/>
    <n v="158285451.98410821"/>
    <n v="1074614"/>
    <n v="1.8126488761604611E-4"/>
    <n v="2.0140543068449568E-4"/>
    <n v="4.2463768115942029E-3"/>
    <n v="3.7021721999999984E-3"/>
    <n v="0.88868937592472563"/>
    <n v="0.62716104422654828"/>
    <m/>
    <m/>
  </r>
  <r>
    <x v="0"/>
    <x v="0"/>
    <x v="5"/>
    <x v="5"/>
    <s v="FortisBC"/>
    <x v="8"/>
    <x v="2"/>
    <m/>
    <s v="Legacy Incentives"/>
    <m/>
    <x v="2"/>
    <n v="202264.16913999998"/>
    <n v="224737.96571111109"/>
    <n v="3805080"/>
    <n v="3805080"/>
    <n v="555000000"/>
    <n v="75825366.219932109"/>
    <n v="98444"/>
    <n v="1429680000"/>
    <n v="158285451.98410821"/>
    <n v="1074614"/>
    <n v="1.233440483953453E-4"/>
    <n v="1.3704894266149478E-4"/>
    <n v="2.6614906832298137E-3"/>
    <n v="2.3204009571428565E-3"/>
    <n v="0.50787473319202614"/>
    <n v="0.35594121775253013"/>
    <m/>
    <m/>
  </r>
  <r>
    <x v="0"/>
    <x v="0"/>
    <x v="6"/>
    <x v="9"/>
    <m/>
    <x v="15"/>
    <x v="5"/>
    <m/>
    <m/>
    <m/>
    <x v="8"/>
    <m/>
    <m/>
    <m/>
    <m/>
    <n v="0"/>
    <n v="0"/>
    <n v="0"/>
    <n v="0"/>
    <n v="0"/>
    <n v="0"/>
    <s v=""/>
    <s v=""/>
    <s v=""/>
    <s v=""/>
    <s v=""/>
    <s v=""/>
    <m/>
    <m/>
  </r>
  <r>
    <x v="0"/>
    <x v="0"/>
    <x v="3"/>
    <x v="5"/>
    <s v="FortisBC"/>
    <x v="8"/>
    <x v="3"/>
    <m/>
    <s v="Legacy Program Labour"/>
    <m/>
    <x v="4"/>
    <n v="0"/>
    <m/>
    <n v="667480"/>
    <n v="0"/>
    <n v="0"/>
    <n v="0"/>
    <n v="0"/>
    <n v="1429680000"/>
    <n v="158285451.98410821"/>
    <n v="1074614"/>
    <n v="0"/>
    <n v="0"/>
    <n v="4.6687370600414081E-4"/>
    <n v="4.070403857142856E-4"/>
    <s v=""/>
    <n v="7.9328528111321794E-2"/>
    <m/>
    <m/>
  </r>
  <r>
    <x v="0"/>
    <x v="0"/>
    <x v="4"/>
    <x v="5"/>
    <s v="FortisBC"/>
    <x v="8"/>
    <x v="3"/>
    <m/>
    <s v="Legacy Program Labour"/>
    <m/>
    <x v="4"/>
    <n v="0"/>
    <m/>
    <n v="133200"/>
    <n v="0"/>
    <n v="0"/>
    <n v="0"/>
    <n v="0"/>
    <n v="1429680000"/>
    <n v="158285451.98410821"/>
    <n v="1074614"/>
    <n v="0"/>
    <n v="0"/>
    <n v="9.3167701863354041E-5"/>
    <n v="8.1227571428571399E-5"/>
    <s v=""/>
    <n v="1.3760237440367954E-2"/>
    <m/>
    <m/>
  </r>
  <r>
    <x v="0"/>
    <x v="0"/>
    <x v="5"/>
    <x v="5"/>
    <s v="FortisBC"/>
    <x v="8"/>
    <x v="3"/>
    <m/>
    <s v="Legacy Program Labour"/>
    <m/>
    <x v="4"/>
    <n v="0"/>
    <m/>
    <n v="92500"/>
    <n v="0"/>
    <n v="0"/>
    <n v="0"/>
    <n v="0"/>
    <n v="1429680000"/>
    <n v="158285451.98410821"/>
    <n v="1074614"/>
    <n v="0"/>
    <n v="0"/>
    <n v="6.4699792960662531E-5"/>
    <n v="5.6408035714285695E-5"/>
    <s v=""/>
    <n v="8.6527911744586281E-3"/>
    <m/>
    <m/>
  </r>
  <r>
    <x v="0"/>
    <x v="0"/>
    <x v="2"/>
    <x v="10"/>
    <s v="PSE"/>
    <x v="16"/>
    <x v="1"/>
    <m/>
    <s v="Low Income Weatherization"/>
    <m/>
    <x v="1"/>
    <n v="21918"/>
    <n v="21918"/>
    <n v="1584340.85"/>
    <n v="1513744.25"/>
    <n v="0"/>
    <n v="0"/>
    <n v="0"/>
    <n v="1056069000"/>
    <n v="116976400"/>
    <n v="860438"/>
    <n v="1.8086016201875473E-5"/>
    <n v="1.8086016201875473E-5"/>
    <n v="1.5002247485722997E-3"/>
    <n v="1.3073462123548295E-3"/>
    <n v="72.284918788210604"/>
    <n v="0.44267886091561776"/>
    <s v="https://www.utc.wa.gov/casedocket/2023/230893/docsets"/>
    <m/>
  </r>
  <r>
    <x v="0"/>
    <x v="0"/>
    <x v="2"/>
    <x v="10"/>
    <s v="PSE"/>
    <x v="16"/>
    <x v="0"/>
    <m/>
    <s v="SF Space heat"/>
    <m/>
    <x v="6"/>
    <n v="210684.6"/>
    <n v="210684.6"/>
    <n v="1567939.2"/>
    <n v="1344050"/>
    <n v="722022000"/>
    <n v="61102800"/>
    <n v="801186"/>
    <n v="1056069000"/>
    <n v="116976400"/>
    <n v="860438"/>
    <n v="1.7385003600171791E-4"/>
    <n v="1.7385003600171791E-4"/>
    <n v="1.4846938978419024E-3"/>
    <n v="1.2938121076172854E-3"/>
    <n v="0.70032736526252826"/>
    <n v="0.438096094688807"/>
    <s v="Budgets doc"/>
    <m/>
  </r>
  <r>
    <x v="0"/>
    <x v="0"/>
    <x v="2"/>
    <x v="10"/>
    <s v="PSE"/>
    <x v="16"/>
    <x v="0"/>
    <m/>
    <s v="SF Water heat"/>
    <m/>
    <x v="6"/>
    <n v="61231.1"/>
    <n v="61231.1"/>
    <n v="662890.5"/>
    <n v="456400"/>
    <n v="722022000"/>
    <n v="61102800"/>
    <n v="801186"/>
    <n v="1056069000"/>
    <n v="116976400"/>
    <n v="860438"/>
    <n v="5.0525899564680045E-5"/>
    <n v="5.0525899564680045E-5"/>
    <n v="6.2769620166864095E-4"/>
    <n v="5.4699554352903243E-4"/>
    <n v="0.29608313723042323"/>
    <n v="0.18521747479513914"/>
    <m/>
    <m/>
  </r>
  <r>
    <x v="0"/>
    <x v="0"/>
    <x v="2"/>
    <x v="10"/>
    <s v="PSE"/>
    <x v="16"/>
    <x v="0"/>
    <m/>
    <s v="SF Home Appliances"/>
    <m/>
    <x v="6"/>
    <n v="4836"/>
    <n v="4836"/>
    <n v="0"/>
    <n v="0"/>
    <n v="722022000"/>
    <n v="61102800"/>
    <n v="801186"/>
    <n v="1056069000"/>
    <n v="116976400"/>
    <n v="860438"/>
    <n v="3.9905089128693204E-6"/>
    <n v="3.9905089128693204E-6"/>
    <n v="0"/>
    <n v="0"/>
    <n v="0"/>
    <n v="0"/>
    <m/>
    <m/>
  </r>
  <r>
    <x v="0"/>
    <x v="0"/>
    <x v="2"/>
    <x v="10"/>
    <s v="PSE"/>
    <x v="16"/>
    <x v="0"/>
    <m/>
    <s v="SF Smart Thermostats"/>
    <m/>
    <x v="6"/>
    <n v="291510.59999999998"/>
    <n v="291510.59999999998"/>
    <n v="2172016.2000000002"/>
    <n v="1351050"/>
    <n v="722022000"/>
    <n v="61102800"/>
    <n v="801186"/>
    <n v="1056069000"/>
    <n v="116976400"/>
    <n v="860438"/>
    <n v="2.4054500568566653E-4"/>
    <n v="2.4054500568566653E-4"/>
    <n v="2.0566991361359913E-3"/>
    <n v="1.7922766759711651E-3"/>
    <n v="0.97014117808492117"/>
    <n v="0.60688055686140308"/>
    <m/>
    <m/>
  </r>
  <r>
    <x v="0"/>
    <x v="0"/>
    <x v="2"/>
    <x v="10"/>
    <s v="PSE"/>
    <x v="16"/>
    <x v="0"/>
    <m/>
    <s v="SF Weatherization"/>
    <m/>
    <x v="1"/>
    <n v="334873.13429999998"/>
    <n v="334873.13429999998"/>
    <n v="7117960.5000000009"/>
    <n v="6573783.8000000007"/>
    <n v="722022000"/>
    <n v="61102800"/>
    <n v="801186"/>
    <n v="1056069000"/>
    <n v="116976400"/>
    <n v="860438"/>
    <n v="2.7632634969078471E-4"/>
    <n v="2.7632634969078471E-4"/>
    <n v="6.7400524965698276E-3"/>
    <n v="5.8735080266132693E-3"/>
    <n v="3.1792702950520972"/>
    <n v="1.9888211846474586"/>
    <m/>
    <m/>
  </r>
  <r>
    <x v="0"/>
    <x v="0"/>
    <x v="2"/>
    <x v="10"/>
    <s v="PSE"/>
    <x v="16"/>
    <x v="0"/>
    <m/>
    <s v="SF Home Energy Reports "/>
    <m/>
    <x v="5"/>
    <n v="1244780.1099999999"/>
    <n v="1244780.1099999999"/>
    <n v="1934234.59"/>
    <n v="910192.29"/>
    <n v="722022000"/>
    <n v="61102800"/>
    <n v="801186"/>
    <n v="1056069000"/>
    <n v="116976400"/>
    <n v="860438"/>
    <n v="1.0271518038704412E-3"/>
    <n v="1.0271518038704412E-3"/>
    <n v="1.831541868949851E-3"/>
    <n v="1.5960670742297637E-3"/>
    <n v="0.86393491164347869"/>
    <n v="0.54044226975829535"/>
    <m/>
    <m/>
  </r>
  <r>
    <x v="0"/>
    <x v="0"/>
    <x v="2"/>
    <x v="10"/>
    <s v="PSE"/>
    <x v="16"/>
    <x v="0"/>
    <m/>
    <s v="SF Midstream HVAC and Water Heat"/>
    <m/>
    <x v="6"/>
    <n v="71727"/>
    <n v="71727"/>
    <n v="510345"/>
    <n v="366650"/>
    <n v="722022000"/>
    <n v="61102800"/>
    <n v="801186"/>
    <n v="1056069000"/>
    <n v="116976400"/>
    <n v="860438"/>
    <n v="5.9186772703345284E-5"/>
    <n v="5.9186772703345284E-5"/>
    <n v="4.832496740269812E-4"/>
    <n v="4.2111998989625586E-4"/>
    <n v="0.22794797733541261"/>
    <n v="0.14259491148888886"/>
    <m/>
    <m/>
  </r>
  <r>
    <x v="0"/>
    <x v="0"/>
    <x v="2"/>
    <x v="10"/>
    <s v="PSE"/>
    <x v="16"/>
    <x v="0"/>
    <m/>
    <s v="Single Family New Construction"/>
    <m/>
    <x v="0"/>
    <n v="547.4"/>
    <n v="547.4"/>
    <n v="14800"/>
    <n v="14800"/>
    <n v="722022000"/>
    <n v="61102800"/>
    <n v="801186"/>
    <n v="1056069000"/>
    <n v="116976400"/>
    <n v="860438"/>
    <n v="4.5169656304893841E-7"/>
    <n v="4.5169656304893841E-7"/>
    <n v="1.4014235812243328E-5"/>
    <n v="1.2212475581155075E-5"/>
    <n v="6.6104891094536178E-3"/>
    <n v="4.135251036133508E-3"/>
    <m/>
    <m/>
  </r>
  <r>
    <x v="0"/>
    <x v="0"/>
    <x v="2"/>
    <x v="10"/>
    <s v="PSE"/>
    <x v="16"/>
    <x v="1"/>
    <m/>
    <s v="Moderate Income Residences"/>
    <m/>
    <x v="4"/>
    <n v="0"/>
    <m/>
    <n v="75866"/>
    <n v="0"/>
    <n v="0"/>
    <n v="0"/>
    <n v="0"/>
    <n v="1056069000"/>
    <n v="116976400"/>
    <n v="860438"/>
    <n v="0"/>
    <n v="0"/>
    <n v="7.183810906294948E-5"/>
    <n v="6.2602140029723719E-5"/>
    <n v="3.4613559631353223"/>
    <n v="2.1197632101844912E-2"/>
    <m/>
    <m/>
  </r>
  <r>
    <x v="0"/>
    <x v="0"/>
    <x v="2"/>
    <x v="10"/>
    <s v="PSE"/>
    <x v="16"/>
    <x v="0"/>
    <m/>
    <s v="Multifamily Retrofit"/>
    <m/>
    <x v="6"/>
    <n v="14676.16"/>
    <n v="14676.16"/>
    <n v="279950.28000000003"/>
    <n v="167802.5"/>
    <n v="722022000"/>
    <n v="61102800"/>
    <n v="801186"/>
    <n v="1056069000"/>
    <n v="116976400"/>
    <n v="860438"/>
    <n v="1.2110286866562493E-5"/>
    <n v="1.2110286866562493E-5"/>
    <n v="2.6508711078537486E-4"/>
    <n v="2.3100580800253557E-4"/>
    <n v="0.12504109980597913"/>
    <n v="7.8220586853774712E-2"/>
    <m/>
    <m/>
  </r>
  <r>
    <x v="0"/>
    <x v="0"/>
    <x v="2"/>
    <x v="10"/>
    <s v="PSE"/>
    <x v="16"/>
    <x v="0"/>
    <m/>
    <s v="Multifamily New Construction"/>
    <m/>
    <x v="0"/>
    <n v="4000"/>
    <n v="4000"/>
    <n v="38789"/>
    <n v="28350"/>
    <n v="722022000"/>
    <n v="61102800"/>
    <n v="801186"/>
    <n v="1056069000"/>
    <n v="116976400"/>
    <n v="860438"/>
    <n v="3.3006690759878583E-6"/>
    <n v="3.3006690759878583E-6"/>
    <n v="3.6729607629804491E-5"/>
    <n v="3.2007413197123259E-5"/>
    <n v="1.7325287977472729E-2"/>
    <n v="1.0837990029769097E-2"/>
    <m/>
    <m/>
  </r>
  <r>
    <x v="0"/>
    <x v="0"/>
    <x v="2"/>
    <x v="10"/>
    <s v="PSE"/>
    <x v="16"/>
    <x v="2"/>
    <m/>
    <s v="Commercial / Industrial Retrofit"/>
    <m/>
    <x v="6"/>
    <n v="393000"/>
    <n v="393000"/>
    <n v="2796140.4000000004"/>
    <n v="1744850"/>
    <n v="334047000"/>
    <n v="55873600"/>
    <n v="59252"/>
    <n v="1056069000"/>
    <n v="116976400"/>
    <n v="860438"/>
    <n v="3.2429073671580709E-4"/>
    <n v="3.2429073671580709E-4"/>
    <n v="2.647687224982459E-3"/>
    <n v="2.3072835376000806E-3"/>
    <n v="2.1211798159240645"/>
    <n v="0.78126638420775429"/>
    <m/>
    <m/>
  </r>
  <r>
    <x v="0"/>
    <x v="0"/>
    <x v="2"/>
    <x v="10"/>
    <s v="PSE"/>
    <x v="16"/>
    <x v="2"/>
    <m/>
    <s v="Commercial/Industrial New Construction"/>
    <m/>
    <x v="0"/>
    <n v="20000"/>
    <n v="20000"/>
    <n v="256995.3"/>
    <n v="146000"/>
    <n v="334047000"/>
    <n v="55873600"/>
    <n v="59252"/>
    <n v="1056069000"/>
    <n v="116976400"/>
    <n v="860438"/>
    <n v="1.6503345379939293E-5"/>
    <n v="1.6503345379939293E-5"/>
    <n v="2.4335086059717689E-4"/>
    <n v="2.1206410984605563E-4"/>
    <n v="0.19495918128694453"/>
    <n v="7.1806762203137947E-2"/>
    <m/>
    <m/>
  </r>
  <r>
    <x v="0"/>
    <x v="0"/>
    <x v="2"/>
    <x v="10"/>
    <s v="PSE"/>
    <x v="16"/>
    <x v="2"/>
    <m/>
    <s v="Commercial Strategic Energy Management"/>
    <m/>
    <x v="14"/>
    <n v="382502"/>
    <n v="382502"/>
    <n v="961255.5"/>
    <n v="272516"/>
    <n v="334047000"/>
    <n v="55873600"/>
    <n v="59252"/>
    <n v="1056069000"/>
    <n v="116976400"/>
    <n v="860438"/>
    <n v="3.1562813072587694E-4"/>
    <n v="3.1562813072587694E-4"/>
    <n v="9.1022035491999107E-4"/>
    <n v="7.9319657574331178E-4"/>
    <n v="0.72921794790633332"/>
    <n v="0.26858329745702925"/>
    <m/>
    <m/>
  </r>
  <r>
    <x v="0"/>
    <x v="0"/>
    <x v="2"/>
    <x v="10"/>
    <s v="PSE"/>
    <x v="16"/>
    <x v="2"/>
    <m/>
    <s v="Commercial Rebates"/>
    <m/>
    <x v="6"/>
    <n v="522698.55"/>
    <n v="522698.55"/>
    <n v="3810211.1"/>
    <n v="2059289"/>
    <n v="334047000"/>
    <n v="55873600"/>
    <n v="59252"/>
    <n v="1056069000"/>
    <n v="116976400"/>
    <n v="860438"/>
    <n v="4.3131373501217337E-4"/>
    <n v="4.3131373501217337E-4"/>
    <n v="3.6079187060693951E-3"/>
    <n v="3.1440614876889201E-3"/>
    <n v="2.8904638979250921"/>
    <n v="1.0646067161596211"/>
    <m/>
    <m/>
  </r>
  <r>
    <x v="0"/>
    <x v="0"/>
    <x v="2"/>
    <x v="10"/>
    <s v="PSE"/>
    <x v="16"/>
    <x v="0"/>
    <m/>
    <s v="Regional Efficiency Programs - NEEA Natural Gas Market Transformation"/>
    <m/>
    <x v="4"/>
    <m/>
    <m/>
    <n v="1590236"/>
    <m/>
    <n v="722022000"/>
    <n v="61102800"/>
    <n v="801186"/>
    <n v="1056069000"/>
    <n v="116976400"/>
    <n v="860438"/>
    <n v="0"/>
    <n v="0"/>
    <n v="1.5058069122377421E-3"/>
    <n v="1.312210697180657E-3"/>
    <n v="0.71028633509872185"/>
    <n v="0.44432601802005439"/>
    <m/>
    <m/>
  </r>
  <r>
    <x v="0"/>
    <x v="0"/>
    <x v="2"/>
    <x v="10"/>
    <s v="PSE"/>
    <x v="16"/>
    <x v="0"/>
    <m/>
    <s v="Regional Efficiency Programs - Targeted DSM Pilot"/>
    <m/>
    <x v="4"/>
    <m/>
    <m/>
    <n v="286553"/>
    <m/>
    <n v="722022000"/>
    <n v="61102800"/>
    <n v="801186"/>
    <n v="1056069000"/>
    <n v="116976400"/>
    <n v="860438"/>
    <n v="0"/>
    <n v="0"/>
    <n v="2.7133927802065966E-4"/>
    <n v="2.3645415643288719E-4"/>
    <n v="0.127990235525761"/>
    <n v="8.0065445280889533E-2"/>
    <m/>
    <m/>
  </r>
  <r>
    <x v="0"/>
    <x v="0"/>
    <x v="2"/>
    <x v="10"/>
    <s v="PSE"/>
    <x v="16"/>
    <x v="0"/>
    <m/>
    <s v="Portfolio Support"/>
    <m/>
    <x v="4"/>
    <m/>
    <m/>
    <n v="2823358"/>
    <m/>
    <n v="722022000"/>
    <n v="61102800"/>
    <n v="801186"/>
    <n v="1056069000"/>
    <n v="116976400"/>
    <n v="860438"/>
    <n v="0"/>
    <n v="0"/>
    <n v="2.6734597834043041E-3"/>
    <n v="2.3297426102607318E-3"/>
    <n v="1.2610660345330236"/>
    <n v="0.78887122262674514"/>
    <m/>
    <m/>
  </r>
  <r>
    <x v="0"/>
    <x v="0"/>
    <x v="2"/>
    <x v="10"/>
    <s v="PSE"/>
    <x v="16"/>
    <x v="0"/>
    <m/>
    <s v="Energy Efficiency Research and Compliance"/>
    <m/>
    <x v="4"/>
    <m/>
    <m/>
    <n v="495062"/>
    <m/>
    <n v="722022000"/>
    <n v="61102800"/>
    <n v="801186"/>
    <n v="1056069000"/>
    <n v="116976400"/>
    <n v="860438"/>
    <n v="0"/>
    <n v="0"/>
    <n v="4.6877808173518968E-4"/>
    <n v="4.0850895852417531E-4"/>
    <n v="0.22112175402056264"/>
    <n v="0.13832470597637342"/>
    <m/>
    <m/>
  </r>
  <r>
    <x v="0"/>
    <x v="0"/>
    <x v="2"/>
    <x v="10"/>
    <s v="PSE"/>
    <x v="16"/>
    <x v="0"/>
    <m/>
    <s v="Demand Response Pilot"/>
    <m/>
    <x v="4"/>
    <m/>
    <m/>
    <n v="180000"/>
    <m/>
    <n v="722022000"/>
    <n v="61102800"/>
    <n v="801186"/>
    <n v="1056069000"/>
    <n v="116976400"/>
    <n v="860438"/>
    <n v="0"/>
    <n v="0"/>
    <n v="1.7044340852728372E-4"/>
    <n v="1.4853010841945363E-4"/>
    <n v="8.0397840520381847E-2"/>
    <n v="5.0293593682704828E-2"/>
    <m/>
    <m/>
  </r>
  <r>
    <x v="0"/>
    <x v="0"/>
    <x v="3"/>
    <x v="10"/>
    <s v="PSE"/>
    <x v="16"/>
    <x v="1"/>
    <m/>
    <s v="Low Income Weatherization"/>
    <m/>
    <x v="1"/>
    <n v="21918"/>
    <n v="21918"/>
    <n v="1586032"/>
    <n v="1513744"/>
    <n v="0"/>
    <n v="0"/>
    <n v="0"/>
    <n v="1056069000"/>
    <n v="116976400"/>
    <n v="860438"/>
    <n v="1.8086016201875473E-5"/>
    <n v="1.8086016201875473E-5"/>
    <n v="1.5018261117408049E-3"/>
    <n v="1.3087416939817937E-3"/>
    <n v="72.362076831827721"/>
    <n v="0.45704287125483112"/>
    <m/>
    <m/>
  </r>
  <r>
    <x v="0"/>
    <x v="0"/>
    <x v="3"/>
    <x v="10"/>
    <s v="PSE"/>
    <x v="16"/>
    <x v="0"/>
    <m/>
    <s v="SF Space heat"/>
    <m/>
    <x v="2"/>
    <n v="209523"/>
    <n v="209523"/>
    <n v="1642716"/>
    <n v="1417550"/>
    <n v="722022000"/>
    <n v="61102800"/>
    <n v="801186"/>
    <n v="1056069000"/>
    <n v="116976400"/>
    <n v="860438"/>
    <n v="1.7289152170205102E-4"/>
    <n v="1.7289152170205102E-4"/>
    <n v="1.5555006349016968E-3"/>
    <n v="1.3555154754576178E-3"/>
    <n v="0.73901176639951771"/>
    <n v="0.47337735764237493"/>
    <m/>
    <m/>
  </r>
  <r>
    <x v="0"/>
    <x v="0"/>
    <x v="3"/>
    <x v="10"/>
    <s v="PSE"/>
    <x v="16"/>
    <x v="0"/>
    <m/>
    <s v="SF Water heat"/>
    <m/>
    <x v="2"/>
    <n v="61231"/>
    <n v="61231"/>
    <n v="666299"/>
    <n v="456400"/>
    <n v="722022000"/>
    <n v="61102800"/>
    <n v="801186"/>
    <n v="1056069000"/>
    <n v="116976400"/>
    <n v="860438"/>
    <n v="5.052581704795314E-5"/>
    <n v="5.052581704795314E-5"/>
    <n v="6.3092373699067013E-4"/>
    <n v="5.4980812616540857E-4"/>
    <n v="0.29974919641632047"/>
    <n v="0.19200571493779617"/>
    <m/>
    <m/>
  </r>
  <r>
    <x v="0"/>
    <x v="0"/>
    <x v="3"/>
    <x v="10"/>
    <s v="PSE"/>
    <x v="16"/>
    <x v="0"/>
    <m/>
    <s v="SF Home Appliances"/>
    <m/>
    <x v="2"/>
    <n v="4836"/>
    <n v="4836"/>
    <n v="0"/>
    <n v="0"/>
    <n v="722022000"/>
    <n v="61102800"/>
    <n v="801186"/>
    <n v="1056069000"/>
    <n v="116976400"/>
    <n v="860438"/>
    <n v="3.9905089128693204E-6"/>
    <n v="3.9905089128693204E-6"/>
    <n v="0"/>
    <n v="0"/>
    <n v="0"/>
    <n v="0"/>
    <m/>
    <m/>
  </r>
  <r>
    <x v="0"/>
    <x v="0"/>
    <x v="3"/>
    <x v="10"/>
    <s v="PSE"/>
    <x v="16"/>
    <x v="0"/>
    <m/>
    <s v="SF Smart Thermostats"/>
    <m/>
    <x v="2"/>
    <n v="262087"/>
    <n v="262087"/>
    <n v="2184034"/>
    <n v="1214550"/>
    <n v="722022000"/>
    <n v="61102800"/>
    <n v="801186"/>
    <n v="1056069000"/>
    <n v="116976400"/>
    <n v="860438"/>
    <n v="2.1626561402960745E-4"/>
    <n v="2.1626561402960745E-4"/>
    <n v="2.0680788849970978E-3"/>
    <n v="1.8021933711765165E-3"/>
    <n v="0.98253552300982294"/>
    <n v="0.62936761066496383"/>
    <m/>
    <m/>
  </r>
  <r>
    <x v="0"/>
    <x v="0"/>
    <x v="3"/>
    <x v="10"/>
    <s v="PSE"/>
    <x v="16"/>
    <x v="0"/>
    <m/>
    <s v="SF Weatherization"/>
    <m/>
    <x v="1"/>
    <n v="334873"/>
    <n v="334873"/>
    <n v="7138528"/>
    <n v="6573784"/>
    <n v="722022000"/>
    <n v="61102800"/>
    <n v="801186"/>
    <n v="1056069000"/>
    <n v="116976400"/>
    <n v="860438"/>
    <n v="2.763262388708205E-4"/>
    <n v="2.763262388708205E-4"/>
    <n v="6.7595280232636314E-3"/>
    <n v="5.8904796544183638E-3"/>
    <n v="3.2114231472588179"/>
    <n v="2.0570917444622854"/>
    <m/>
    <m/>
  </r>
  <r>
    <x v="0"/>
    <x v="0"/>
    <x v="3"/>
    <x v="10"/>
    <s v="PSE"/>
    <x v="16"/>
    <x v="0"/>
    <m/>
    <s v="SF Home Energy Reports "/>
    <m/>
    <x v="2"/>
    <n v="1244780"/>
    <n v="1244780"/>
    <n v="1937427"/>
    <n v="910192"/>
    <n v="722022000"/>
    <n v="61102800"/>
    <n v="801186"/>
    <n v="1056069000"/>
    <n v="116976400"/>
    <n v="860438"/>
    <n v="1.0271517131020416E-3"/>
    <n v="1.0271517131020416E-3"/>
    <n v="1.8345647869599429E-3"/>
    <n v="1.5987013464709822E-3"/>
    <n v="0.87159396361885955"/>
    <n v="0.55830348878625002"/>
    <m/>
    <m/>
  </r>
  <r>
    <x v="0"/>
    <x v="0"/>
    <x v="3"/>
    <x v="10"/>
    <s v="PSE"/>
    <x v="16"/>
    <x v="0"/>
    <m/>
    <s v="SF Midstream HVAC and Water Heat"/>
    <m/>
    <x v="2"/>
    <n v="76404"/>
    <n v="76404"/>
    <n v="540146"/>
    <n v="387182"/>
    <n v="722022000"/>
    <n v="61102800"/>
    <n v="801186"/>
    <n v="1056069000"/>
    <n v="116976400"/>
    <n v="860438"/>
    <n v="6.304608002044408E-5"/>
    <n v="6.304608002044408E-5"/>
    <n v="5.114684741243233E-4"/>
    <n v="4.457107996796344E-4"/>
    <n v="0.24299650674470444"/>
    <n v="0.15565252071636135"/>
    <m/>
    <m/>
  </r>
  <r>
    <x v="0"/>
    <x v="0"/>
    <x v="3"/>
    <x v="10"/>
    <s v="PSE"/>
    <x v="16"/>
    <x v="0"/>
    <m/>
    <s v="Single Family New Construction"/>
    <m/>
    <x v="0"/>
    <n v="547"/>
    <n v="547"/>
    <n v="14800"/>
    <n v="0"/>
    <n v="722022000"/>
    <n v="61102800"/>
    <n v="801186"/>
    <n v="1056069000"/>
    <n v="116976400"/>
    <n v="860438"/>
    <n v="4.5136649614133962E-7"/>
    <n v="4.5136649614133962E-7"/>
    <n v="1.4014235812243328E-5"/>
    <n v="1.2212475581155075E-5"/>
    <n v="6.6581041048561426E-3"/>
    <n v="4.2648789523613024E-3"/>
    <m/>
    <m/>
  </r>
  <r>
    <x v="0"/>
    <x v="0"/>
    <x v="3"/>
    <x v="10"/>
    <s v="PSE"/>
    <x v="16"/>
    <x v="0"/>
    <m/>
    <s v="Moderate Income Residences"/>
    <m/>
    <x v="4"/>
    <n v="0"/>
    <m/>
    <n v="77234"/>
    <n v="0"/>
    <n v="722022000"/>
    <n v="61102800"/>
    <n v="801186"/>
    <n v="1056069000"/>
    <n v="116976400"/>
    <n v="860438"/>
    <n v="0"/>
    <n v="0"/>
    <n v="7.3133478967756847E-5"/>
    <n v="6.3730968853711574E-5"/>
    <n v="3.4745406245571576E-2"/>
    <n v="2.2256328446396811E-2"/>
    <m/>
    <m/>
  </r>
  <r>
    <x v="0"/>
    <x v="0"/>
    <x v="3"/>
    <x v="10"/>
    <s v="PSE"/>
    <x v="16"/>
    <x v="0"/>
    <m/>
    <s v="Multifamily Retrofit"/>
    <m/>
    <x v="2"/>
    <n v="25374"/>
    <n v="25374"/>
    <n v="289834"/>
    <n v="176253"/>
    <n v="722022000"/>
    <n v="61102800"/>
    <n v="801186"/>
    <n v="1056069000"/>
    <n v="116976400"/>
    <n v="860438"/>
    <n v="2.093779428352898E-5"/>
    <n v="2.093779428352898E-5"/>
    <n v="2.7444608259498198E-4"/>
    <n v="2.3916153024246622E-4"/>
    <n v="0.1303881719680321"/>
    <n v="8.352073826207336E-2"/>
    <m/>
    <m/>
  </r>
  <r>
    <x v="0"/>
    <x v="0"/>
    <x v="3"/>
    <x v="10"/>
    <s v="PSE"/>
    <x v="16"/>
    <x v="0"/>
    <m/>
    <s v="Multifamily New Construction"/>
    <m/>
    <x v="0"/>
    <n v="3200"/>
    <n v="3200"/>
    <n v="33500"/>
    <n v="23100"/>
    <n v="722022000"/>
    <n v="61102800"/>
    <n v="801186"/>
    <n v="1056069000"/>
    <n v="116976400"/>
    <n v="860438"/>
    <n v="2.6405352607902868E-6"/>
    <n v="2.6405352607902868E-6"/>
    <n v="3.1721412142577807E-5"/>
    <n v="2.7643103511398315E-5"/>
    <n v="1.5070708615721674E-2"/>
    <n v="9.653611142169163E-3"/>
    <m/>
    <m/>
  </r>
  <r>
    <x v="0"/>
    <x v="0"/>
    <x v="3"/>
    <x v="10"/>
    <s v="PSE"/>
    <x v="16"/>
    <x v="2"/>
    <m/>
    <s v="Commercial / Industrial Retrofit"/>
    <m/>
    <x v="2"/>
    <n v="389000"/>
    <n v="389000"/>
    <n v="2833816"/>
    <n v="1742290"/>
    <n v="334047000"/>
    <n v="55873600"/>
    <n v="59252"/>
    <n v="1056069000"/>
    <n v="116976400"/>
    <n v="860438"/>
    <n v="3.2099006763981926E-4"/>
    <n v="3.2099006763981926E-4"/>
    <n v="2.6833625454397393E-3"/>
    <n v="2.3383722095599024E-3"/>
    <n v="2.3125055592685348"/>
    <n v="0.81661366305842542"/>
    <m/>
    <m/>
  </r>
  <r>
    <x v="0"/>
    <x v="0"/>
    <x v="3"/>
    <x v="10"/>
    <s v="PSE"/>
    <x v="16"/>
    <x v="2"/>
    <m/>
    <s v="Commercial/Industrial New Construction"/>
    <m/>
    <x v="0"/>
    <n v="20000"/>
    <n v="20000"/>
    <n v="263994"/>
    <n v="146000"/>
    <n v="334047000"/>
    <n v="55873600"/>
    <n v="59252"/>
    <n v="1056069000"/>
    <n v="116976400"/>
    <n v="860438"/>
    <n v="1.6503345379939293E-5"/>
    <n v="1.6503345379939293E-5"/>
    <n v="2.4997798439306524E-4"/>
    <n v="2.1783920801158468E-4"/>
    <n v="0.21542951010705622"/>
    <n v="7.6074490145247947E-2"/>
    <m/>
    <m/>
  </r>
  <r>
    <x v="0"/>
    <x v="0"/>
    <x v="3"/>
    <x v="10"/>
    <s v="PSE"/>
    <x v="16"/>
    <x v="2"/>
    <m/>
    <s v="Commercial Strategic Energy Management"/>
    <m/>
    <x v="14"/>
    <n v="383502"/>
    <n v="383502"/>
    <n v="989087"/>
    <n v="280516"/>
    <n v="334047000"/>
    <n v="55873600"/>
    <n v="59252"/>
    <n v="1056069000"/>
    <n v="116976400"/>
    <n v="860438"/>
    <n v="3.1645329799487391E-4"/>
    <n v="3.1645329799487391E-4"/>
    <n v="9.365742200556971E-4"/>
    <n v="8.1616221859040082E-4"/>
    <n v="0.8071339797997602"/>
    <n v="0.28502272488879615"/>
    <m/>
    <m/>
  </r>
  <r>
    <x v="0"/>
    <x v="0"/>
    <x v="3"/>
    <x v="10"/>
    <s v="PSE"/>
    <x v="16"/>
    <x v="2"/>
    <m/>
    <s v="Commercial Rebates"/>
    <m/>
    <x v="2"/>
    <n v="432929"/>
    <n v="432929"/>
    <n v="3242115"/>
    <n v="1653855"/>
    <n v="334047000"/>
    <n v="55873600"/>
    <n v="59252"/>
    <n v="1056069000"/>
    <n v="116976400"/>
    <n v="860438"/>
    <n v="3.5723884059958686E-4"/>
    <n v="3.5723884059958686E-4"/>
    <n v="3.0699840635413029E-3"/>
    <n v="2.6752871803240939E-3"/>
    <n v="2.6456936375854698"/>
    <n v="0.93427216382667988"/>
    <m/>
    <m/>
  </r>
  <r>
    <x v="0"/>
    <x v="0"/>
    <x v="3"/>
    <x v="10"/>
    <s v="PSE"/>
    <x v="16"/>
    <x v="0"/>
    <m/>
    <s v="Regional Efficiency Programs - NEEA Natural Gas Market Transformation"/>
    <m/>
    <x v="4"/>
    <m/>
    <m/>
    <n v="1590236"/>
    <m/>
    <n v="722022000"/>
    <n v="61102800"/>
    <n v="801186"/>
    <n v="1056069000"/>
    <n v="116976400"/>
    <n v="860438"/>
    <n v="0"/>
    <n v="0"/>
    <n v="1.5058069122377421E-3"/>
    <n v="1.312210697180657E-3"/>
    <n v="0.71540248914121707"/>
    <n v="0.45825432741129918"/>
    <m/>
    <m/>
  </r>
  <r>
    <x v="0"/>
    <x v="0"/>
    <x v="3"/>
    <x v="10"/>
    <s v="PSE"/>
    <x v="16"/>
    <x v="0"/>
    <m/>
    <s v="Regional Efficiency Programs - Targeted DSM Pilot"/>
    <m/>
    <x v="4"/>
    <m/>
    <m/>
    <n v="277349"/>
    <m/>
    <n v="722022000"/>
    <n v="61102800"/>
    <n v="801186"/>
    <n v="1056069000"/>
    <n v="116976400"/>
    <n v="860438"/>
    <n v="0"/>
    <n v="0"/>
    <n v="2.626239383979645E-4"/>
    <n v="2.2885931688903914E-4"/>
    <n v="0.12477152130930717"/>
    <n v="7.9922967064760458E-2"/>
    <m/>
    <m/>
  </r>
  <r>
    <x v="0"/>
    <x v="0"/>
    <x v="3"/>
    <x v="10"/>
    <s v="PSE"/>
    <x v="16"/>
    <x v="0"/>
    <m/>
    <s v="Portfolio Support"/>
    <m/>
    <x v="4"/>
    <m/>
    <m/>
    <n v="2993180"/>
    <m/>
    <n v="722022000"/>
    <n v="61102800"/>
    <n v="801186"/>
    <n v="1056069000"/>
    <n v="116976400"/>
    <n v="860438"/>
    <n v="0"/>
    <n v="0"/>
    <n v="2.8342655640871952E-3"/>
    <n v="2.4698741662163345E-3"/>
    <n v="1.3465475705792775"/>
    <n v="0.86253718801545964"/>
    <m/>
    <m/>
  </r>
  <r>
    <x v="0"/>
    <x v="0"/>
    <x v="3"/>
    <x v="10"/>
    <s v="PSE"/>
    <x v="16"/>
    <x v="0"/>
    <m/>
    <s v="Energy Efficiency Research and Compliance"/>
    <m/>
    <x v="4"/>
    <m/>
    <m/>
    <n v="590948"/>
    <m/>
    <n v="722022000"/>
    <n v="61102800"/>
    <n v="801186"/>
    <n v="1056069000"/>
    <n v="116976400"/>
    <n v="860438"/>
    <n v="0"/>
    <n v="0"/>
    <n v="5.5957328545767372E-4"/>
    <n v="4.8763094727921825E-4"/>
    <n v="0.26585089895652214"/>
    <n v="0.1702920058878383"/>
    <m/>
    <m/>
  </r>
  <r>
    <x v="0"/>
    <x v="0"/>
    <x v="3"/>
    <x v="10"/>
    <s v="PSE"/>
    <x v="16"/>
    <x v="0"/>
    <m/>
    <s v="Demand Response Pilot"/>
    <m/>
    <x v="4"/>
    <m/>
    <m/>
    <n v="180000"/>
    <m/>
    <n v="722022000"/>
    <n v="61102800"/>
    <n v="801186"/>
    <n v="1056069000"/>
    <n v="116976400"/>
    <n v="860438"/>
    <n v="0"/>
    <n v="0"/>
    <n v="1.7044340852728372E-4"/>
    <n v="1.4853010841945363E-4"/>
    <n v="8.0976941815817952E-2"/>
    <n v="5.1870149420610433E-2"/>
    <m/>
    <m/>
  </r>
  <r>
    <x v="0"/>
    <x v="0"/>
    <x v="2"/>
    <x v="11"/>
    <s v="QUESTAR"/>
    <x v="17"/>
    <x v="0"/>
    <m/>
    <s v="ThermWise Home Energy Plan"/>
    <m/>
    <x v="6"/>
    <n v="361656"/>
    <n v="401840"/>
    <n v="546720"/>
    <n v="0"/>
    <n v="641200442"/>
    <n v="71307443"/>
    <n v="1025383"/>
    <n v="890186819"/>
    <n v="150401793"/>
    <n v="1097490"/>
    <n v="2.3210414990784258E-4"/>
    <n v="2.5789349989760289E-4"/>
    <n v="6.1416321645175922E-4"/>
    <n v="3.5087481152701935E-4"/>
    <n v="6.8379289358753231E-2"/>
    <n v="5.9954972399369949E-2"/>
    <s v="https://psc.utah.gov/2023/11/01/docket-no-23-057-17/"/>
    <m/>
  </r>
  <r>
    <x v="0"/>
    <x v="0"/>
    <x v="2"/>
    <x v="11"/>
    <s v="QUESTAR"/>
    <x v="17"/>
    <x v="0"/>
    <m/>
    <s v="ThermWise Weatherization"/>
    <m/>
    <x v="1"/>
    <n v="856281.51655913051"/>
    <n v="951423.9072879228"/>
    <n v="6738804"/>
    <n v="5825804"/>
    <n v="641200442"/>
    <n v="71307443"/>
    <n v="1025383"/>
    <n v="890186819"/>
    <n v="150401793"/>
    <n v="1097490"/>
    <n v="5.4954568286646761E-4"/>
    <n v="6.1060631429607514E-4"/>
    <n v="7.5701008554250456E-3"/>
    <n v="4.3248401072167172E-3"/>
    <n v="0.84283477584124167"/>
    <n v="0.73899767307719455"/>
    <s v="Budget file"/>
    <m/>
  </r>
  <r>
    <x v="0"/>
    <x v="0"/>
    <x v="2"/>
    <x v="11"/>
    <s v="QUESTAR"/>
    <x v="17"/>
    <x v="0"/>
    <m/>
    <s v="ThermWise Builder"/>
    <m/>
    <x v="6"/>
    <n v="2512890.44"/>
    <n v="2792100.4888888886"/>
    <n v="8153010"/>
    <n v="7577010"/>
    <n v="641200442"/>
    <n v="71307443"/>
    <n v="1025383"/>
    <n v="890186819"/>
    <n v="150401793"/>
    <n v="1097490"/>
    <n v="1.612726733104786E-3"/>
    <n v="1.791918592338651E-3"/>
    <n v="9.15876288660257E-3"/>
    <n v="5.2324514324112959E-3"/>
    <n v="1.0197121560118683"/>
    <n v="0.89408378973110036"/>
    <m/>
    <m/>
  </r>
  <r>
    <x v="0"/>
    <x v="0"/>
    <x v="2"/>
    <x v="11"/>
    <s v="QUESTAR"/>
    <x v="17"/>
    <x v="0"/>
    <m/>
    <s v="ThermWise Appliances"/>
    <m/>
    <x v="6"/>
    <n v="1448575.4049999993"/>
    <n v="1609528.227777777"/>
    <n v="4931950"/>
    <n v="3899150"/>
    <n v="641200442"/>
    <n v="71307443"/>
    <n v="1025383"/>
    <n v="890186819"/>
    <n v="150401793"/>
    <n v="1097490"/>
    <n v="9.2966897536591025E-4"/>
    <n v="1.0329655281843448E-3"/>
    <n v="5.54035388385143E-3"/>
    <n v="3.1652345381743547E-3"/>
    <n v="0.61684817850618778"/>
    <n v="0.54085258656180968"/>
    <m/>
    <m/>
  </r>
  <r>
    <x v="0"/>
    <x v="0"/>
    <x v="2"/>
    <x v="11"/>
    <s v="QUESTAR"/>
    <x v="17"/>
    <x v="2"/>
    <m/>
    <s v="ThermWise Buisness"/>
    <m/>
    <x v="6"/>
    <n v="926861.66649999982"/>
    <n v="1029846.2961111108"/>
    <n v="2690181"/>
    <n v="1403181"/>
    <n v="248986377"/>
    <n v="79094350"/>
    <n v="72107"/>
    <n v="890186819"/>
    <n v="150401793"/>
    <n v="1097490"/>
    <n v="5.9484272121891732E-4"/>
    <n v="6.6093635690990808E-4"/>
    <n v="3.0220409273438143E-3"/>
    <n v="1.7265085443162285E-3"/>
    <n v="2.9024622521704004"/>
    <n v="0.2950134028466298"/>
    <m/>
    <m/>
  </r>
  <r>
    <x v="0"/>
    <x v="0"/>
    <x v="2"/>
    <x v="11"/>
    <s v="QUESTAR"/>
    <x v="17"/>
    <x v="0"/>
    <m/>
    <s v="Market Transformation"/>
    <m/>
    <x v="4"/>
    <n v="0"/>
    <m/>
    <n v="1320000"/>
    <n v="0"/>
    <n v="641200442"/>
    <n v="71307443"/>
    <n v="1025383"/>
    <n v="890186819"/>
    <n v="150401793"/>
    <n v="1097490"/>
    <n v="0"/>
    <n v="0"/>
    <n v="1.482834807060876E-3"/>
    <n v="8.4715165206260149E-4"/>
    <n v="0.1650948601725824"/>
    <n v="0.14475520113983087"/>
    <m/>
    <m/>
  </r>
  <r>
    <x v="0"/>
    <x v="0"/>
    <x v="2"/>
    <x v="11"/>
    <s v="QUESTAR"/>
    <x v="17"/>
    <x v="0"/>
    <m/>
    <s v="Energy Comparison Report"/>
    <m/>
    <x v="5"/>
    <n v="2816000"/>
    <n v="3128888.888888889"/>
    <n v="520800"/>
    <n v="0"/>
    <n v="641200442"/>
    <n v="71307443"/>
    <n v="1025383"/>
    <n v="890186819"/>
    <n v="150401793"/>
    <n v="1097490"/>
    <n v="1.8072568577335499E-3"/>
    <n v="2.0080631752595001E-3"/>
    <n v="5.8504573296765474E-4"/>
    <n v="3.3423983363197189E-4"/>
    <n v="6.5137426649909791E-2"/>
    <n v="5.7112506631533271E-2"/>
    <m/>
    <m/>
  </r>
  <r>
    <x v="0"/>
    <x v="0"/>
    <x v="2"/>
    <x v="11"/>
    <s v="QUESTAR"/>
    <x v="17"/>
    <x v="1"/>
    <n v="1"/>
    <s v="Low-Income Efficiency"/>
    <m/>
    <x v="1"/>
    <n v="196578.29919999995"/>
    <n v="218420.33244444439"/>
    <n v="759689"/>
    <n v="232189"/>
    <n v="0"/>
    <n v="0"/>
    <n v="0"/>
    <n v="890186819"/>
    <n v="150401793"/>
    <n v="1097490"/>
    <n v="1.2616032645980027E-4"/>
    <n v="1.4017814051088916E-4"/>
    <n v="8.5340400889490141E-4"/>
    <n v="4.8755438742711037E-4"/>
    <n v="3.8645618722496313"/>
    <n v="8.3309798483876499E-2"/>
    <m/>
    <m/>
  </r>
  <r>
    <x v="0"/>
    <x v="0"/>
    <x v="7"/>
    <x v="12"/>
    <s v="PSEG"/>
    <x v="18"/>
    <x v="0"/>
    <m/>
    <s v="Whole Home"/>
    <m/>
    <x v="2"/>
    <n v="1269519"/>
    <n v="1410576.6666666667"/>
    <n v="121459906"/>
    <n v="86114993"/>
    <n v="1199938741"/>
    <n v="140556182"/>
    <n v="1715380"/>
    <n v="1817153408"/>
    <n v="265130211"/>
    <n v="1880653"/>
    <n v="4.6218966730820436E-4"/>
    <n v="5.135440747868938E-4"/>
    <n v="6.6840755142231784E-2"/>
    <n v="4.4219514277002367E-2"/>
    <n v="7.9287460677736634"/>
    <n v="6.6893606864106685"/>
    <s v="https://poweringprogress.pseg.com/wp-content/uploads/2023/12/2023-12-01-PSEG-CEF-EE-II-Filing.pdf"/>
    <m/>
  </r>
  <r>
    <x v="0"/>
    <x v="0"/>
    <x v="7"/>
    <x v="12"/>
    <s v="PSEG"/>
    <x v="18"/>
    <x v="1"/>
    <n v="1"/>
    <s v="Income Qualified"/>
    <m/>
    <x v="3"/>
    <n v="875523"/>
    <n v="972803.33333333326"/>
    <n v="122030919"/>
    <n v="49397143"/>
    <n v="0"/>
    <n v="0"/>
    <n v="0"/>
    <n v="1817153408"/>
    <n v="265130211"/>
    <n v="1880653"/>
    <n v="3.1874882068774155E-4"/>
    <n v="3.5416535631971287E-4"/>
    <n v="6.7154990031529582E-2"/>
    <n v="4.4427401129029528E-2"/>
    <n v="139.38059765420212"/>
    <n v="6.7208090222395258"/>
    <s v="P189"/>
    <s v="CE-EEP 2"/>
  </r>
  <r>
    <x v="0"/>
    <x v="0"/>
    <x v="7"/>
    <x v="12"/>
    <s v="PSEG"/>
    <x v="18"/>
    <x v="0"/>
    <m/>
    <s v="Energy Efficient Products"/>
    <m/>
    <x v="2"/>
    <n v="2445176"/>
    <n v="2716862.222222222"/>
    <n v="119285590"/>
    <n v="84069327"/>
    <n v="1199938741"/>
    <n v="140556182"/>
    <n v="1715380"/>
    <n v="1817153408"/>
    <n v="265130211"/>
    <n v="1880653"/>
    <n v="8.9020730052091063E-4"/>
    <n v="9.8911922280101169E-4"/>
    <n v="6.5644204542580922E-2"/>
    <n v="4.3427918098715233E-2"/>
    <n v="7.7868095225972045"/>
    <n v="6.5696110138707136"/>
    <s v="Savings are Net"/>
    <m/>
  </r>
  <r>
    <x v="0"/>
    <x v="0"/>
    <x v="7"/>
    <x v="12"/>
    <s v="PSEG"/>
    <x v="18"/>
    <x v="0"/>
    <m/>
    <s v="Behavioral"/>
    <m/>
    <x v="2"/>
    <n v="6218517"/>
    <n v="6909463.333333333"/>
    <n v="17756064"/>
    <n v="9788786"/>
    <n v="1199938741"/>
    <n v="140556182"/>
    <n v="1715380"/>
    <n v="1817153408"/>
    <n v="265130211"/>
    <n v="1880653"/>
    <n v="2.2639553274747468E-3"/>
    <n v="2.515505919416385E-3"/>
    <n v="9.7713621325690517E-3"/>
    <n v="6.4643926659334631E-3"/>
    <n v="1.1590929653702968"/>
    <n v="0.97790884563167502"/>
    <s v="Noting that I think spends are across gas and electric"/>
    <m/>
  </r>
  <r>
    <x v="0"/>
    <x v="0"/>
    <x v="7"/>
    <x v="12"/>
    <s v="PSEG"/>
    <x v="18"/>
    <x v="0"/>
    <m/>
    <s v="Energy Solutions"/>
    <m/>
    <x v="2"/>
    <n v="2022274"/>
    <n v="2246971.111111111"/>
    <n v="130418389"/>
    <n v="112960685"/>
    <n v="1199938741"/>
    <n v="140556182"/>
    <n v="1715380"/>
    <n v="1817153408"/>
    <n v="265130211"/>
    <n v="1880653"/>
    <n v="7.3624274017642245E-4"/>
    <n v="8.1804748908491387E-4"/>
    <n v="7.1770709300510521E-2"/>
    <n v="4.748100014476505E-2"/>
    <n v="8.5135442880148933"/>
    <n v="7.1827459191481147"/>
    <s v="cant compare to totals bc not same programs"/>
    <m/>
  </r>
  <r>
    <x v="0"/>
    <x v="0"/>
    <x v="7"/>
    <x v="12"/>
    <s v="PSEG"/>
    <x v="18"/>
    <x v="2"/>
    <m/>
    <s v="Prescriptive &amp; Custom"/>
    <m/>
    <x v="2"/>
    <n v="1463318"/>
    <n v="1625908.8888888888"/>
    <n v="254148733"/>
    <n v="197563804"/>
    <n v="617214667"/>
    <n v="124574029"/>
    <n v="165273"/>
    <n v="1817153408"/>
    <n v="265130211"/>
    <n v="1880653"/>
    <n v="5.3274544105768175E-4"/>
    <n v="5.9193937895297955E-4"/>
    <n v="0.13986091206230178"/>
    <n v="9.2527105425024486E-2"/>
    <n v="129.48775935893178"/>
    <n v="13.997150162715272"/>
    <s v="Noting their triennial plan went through FY2023 then had a 9 month extension and then their next plan had first 6 months of 2025, then FY2026"/>
    <m/>
  </r>
  <r>
    <x v="0"/>
    <x v="0"/>
    <x v="7"/>
    <x v="12"/>
    <s v="PSEG"/>
    <x v="18"/>
    <x v="0"/>
    <m/>
    <s v="Direct Install"/>
    <m/>
    <x v="2"/>
    <n v="2679320"/>
    <n v="2977022.222222222"/>
    <n v="125388261"/>
    <n v="103702220"/>
    <n v="1199938741"/>
    <n v="140556182"/>
    <n v="1715380"/>
    <n v="1817153408"/>
    <n v="265130211"/>
    <n v="1880653"/>
    <n v="9.7545134764601246E-4"/>
    <n v="1.0838348307177915E-3"/>
    <n v="6.9002573171851878E-2"/>
    <n v="4.5649697748473474E-2"/>
    <n v="8.185184017421582"/>
    <n v="6.905713426707246"/>
    <m/>
    <m/>
  </r>
  <r>
    <x v="0"/>
    <x v="0"/>
    <x v="7"/>
    <x v="12"/>
    <s v="PSEG"/>
    <x v="18"/>
    <x v="0"/>
    <m/>
    <s v="Multifamily"/>
    <m/>
    <x v="2"/>
    <n v="684124"/>
    <n v="760137.77777777775"/>
    <n v="64943001"/>
    <n v="38976613"/>
    <n v="1199938741"/>
    <n v="140556182"/>
    <n v="1715380"/>
    <n v="1817153408"/>
    <n v="265130211"/>
    <n v="1880653"/>
    <n v="2.4906680715889874E-4"/>
    <n v="2.7674089684322082E-4"/>
    <n v="3.5738865367166625E-2"/>
    <n v="2.3643587867677743E-2"/>
    <n v="4.2393953755255751"/>
    <n v="3.5767124481961043"/>
    <m/>
    <m/>
  </r>
  <r>
    <x v="0"/>
    <x v="0"/>
    <x v="7"/>
    <x v="12"/>
    <s v="PSEG"/>
    <x v="18"/>
    <x v="2"/>
    <m/>
    <s v="Next Generation Savings"/>
    <m/>
    <x v="4"/>
    <n v="0"/>
    <n v="0"/>
    <n v="9625001"/>
    <n v="1"/>
    <n v="617214667"/>
    <n v="124574029"/>
    <n v="165273"/>
    <n v="1817153408"/>
    <n v="265130211"/>
    <n v="1880653"/>
    <n v="0"/>
    <n v="0"/>
    <n v="5.2967465254314949E-3"/>
    <n v="3.5041429155697034E-3"/>
    <n v="4.9038993765807115"/>
    <n v="0.53009347212950564"/>
    <m/>
    <m/>
  </r>
  <r>
    <x v="0"/>
    <x v="0"/>
    <x v="7"/>
    <x v="12"/>
    <s v="PSEG"/>
    <x v="18"/>
    <x v="2"/>
    <m/>
    <s v="Building Decarbonization"/>
    <m/>
    <x v="2"/>
    <n v="499406"/>
    <n v="554895.5555555555"/>
    <n v="76382660"/>
    <n v="43671798"/>
    <n v="617214667"/>
    <n v="124574029"/>
    <n v="165273"/>
    <n v="1817153408"/>
    <n v="265130211"/>
    <n v="1880653"/>
    <n v="1.8181712364424724E-4"/>
    <n v="2.0201902627138579E-4"/>
    <n v="4.2034238641452115E-2"/>
    <n v="2.7808387439270849E-2"/>
    <n v="38.916658684562883"/>
    <n v="4.2067475577288249"/>
    <m/>
    <m/>
  </r>
  <r>
    <x v="0"/>
    <x v="0"/>
    <x v="7"/>
    <x v="12"/>
    <s v="PSEG"/>
    <x v="18"/>
    <x v="0"/>
    <m/>
    <s v="Demand Response"/>
    <m/>
    <x v="4"/>
    <n v="0"/>
    <n v="0"/>
    <n v="10690779"/>
    <n v="3319317"/>
    <n v="1199938741"/>
    <n v="140556182"/>
    <n v="1715380"/>
    <n v="1817153408"/>
    <n v="265130211"/>
    <n v="1880653"/>
    <n v="0"/>
    <n v="0"/>
    <n v="5.8832561703012808E-3"/>
    <n v="3.892157257414452E-3"/>
    <n v="0.69788026970552119"/>
    <n v="0.58879081258061206"/>
    <m/>
    <s v="DTH"/>
  </r>
  <r>
    <x v="0"/>
    <x v="0"/>
    <x v="2"/>
    <x v="3"/>
    <s v="Xcel"/>
    <x v="4"/>
    <x v="0"/>
    <m/>
    <s v="Consumer Eduction"/>
    <m/>
    <x v="4"/>
    <n v="0"/>
    <n v="0"/>
    <n v="642000"/>
    <n v="0"/>
    <n v="306619750"/>
    <n v="35286911"/>
    <n v="438247"/>
    <n v="526109473"/>
    <n v="80336233"/>
    <n v="474354"/>
    <n v="0"/>
    <n v="0"/>
    <n v="1.2202783506998361E-3"/>
    <n v="7.7137189105085352E-4"/>
    <n v="0.14136174073111765"/>
    <n v="5.2864698485945154E-2"/>
    <m/>
    <m/>
  </r>
  <r>
    <x v="0"/>
    <x v="0"/>
    <x v="2"/>
    <x v="3"/>
    <s v="Xcel"/>
    <x v="4"/>
    <x v="0"/>
    <m/>
    <s v="Efficient New Home Construction"/>
    <m/>
    <x v="0"/>
    <n v="399050"/>
    <n v="399050"/>
    <n v="2299104"/>
    <n v="1319145"/>
    <n v="306619750"/>
    <n v="35286911"/>
    <n v="438247"/>
    <n v="526109473"/>
    <n v="80336233"/>
    <n v="474354"/>
    <n v="4.7946410143900788E-4"/>
    <n v="4.7946410143900788E-4"/>
    <n v="4.3700106498557574E-3"/>
    <n v="2.7624052962657028E-3"/>
    <n v="0.50623885290011761"/>
    <n v="0.18931688434241503"/>
    <m/>
    <n v="39905"/>
  </r>
  <r>
    <x v="0"/>
    <x v="0"/>
    <x v="2"/>
    <x v="3"/>
    <s v="Xcel"/>
    <x v="4"/>
    <x v="0"/>
    <m/>
    <s v="Energy Efficient Showerhead"/>
    <m/>
    <x v="13"/>
    <n v="130040"/>
    <n v="130040"/>
    <n v="244642"/>
    <n v="49115"/>
    <n v="306619750"/>
    <n v="35286911"/>
    <n v="438247"/>
    <n v="526109473"/>
    <n v="80336233"/>
    <n v="474354"/>
    <n v="1.5624486092251242E-4"/>
    <n v="1.5624486092251242E-4"/>
    <n v="4.6500208142041951E-4"/>
    <n v="2.9394075104433471E-4"/>
    <n v="5.3867630803648099E-2"/>
    <n v="2.0144743873829585E-2"/>
    <m/>
    <n v="13004"/>
  </r>
  <r>
    <x v="0"/>
    <x v="0"/>
    <x v="2"/>
    <x v="3"/>
    <s v="Xcel"/>
    <x v="4"/>
    <x v="0"/>
    <m/>
    <s v="Home Energy Audit"/>
    <m/>
    <x v="4"/>
    <n v="0"/>
    <n v="0"/>
    <n v="1518714"/>
    <n v="0"/>
    <n v="306619750"/>
    <n v="35286911"/>
    <n v="438247"/>
    <n v="526109473"/>
    <n v="80336233"/>
    <n v="474354"/>
    <n v="0"/>
    <n v="0"/>
    <n v="2.8866881855214191E-3"/>
    <n v="1.82475590365328E-3"/>
    <n v="0.3344050696459791"/>
    <n v="0.12505663192583133"/>
    <m/>
    <m/>
  </r>
  <r>
    <x v="0"/>
    <x v="0"/>
    <x v="2"/>
    <x v="3"/>
    <s v="Xcel"/>
    <x v="4"/>
    <x v="0"/>
    <m/>
    <s v="Home Energy Insights"/>
    <m/>
    <x v="5"/>
    <n v="635980"/>
    <n v="635980"/>
    <n v="328553"/>
    <n v="0"/>
    <n v="306619750"/>
    <n v="35286911"/>
    <n v="438247"/>
    <n v="526109473"/>
    <n v="80336233"/>
    <n v="474354"/>
    <n v="7.6413877767994045E-4"/>
    <n v="7.6413877767994045E-4"/>
    <n v="6.2449550304903936E-4"/>
    <n v="3.9476097962683958E-4"/>
    <n v="7.2343962620608868E-2"/>
    <n v="2.7054291715969996E-2"/>
    <m/>
    <n v="63598"/>
  </r>
  <r>
    <x v="0"/>
    <x v="0"/>
    <x v="2"/>
    <x v="3"/>
    <s v="Xcel"/>
    <x v="4"/>
    <x v="0"/>
    <m/>
    <s v="Home Energy Squad"/>
    <m/>
    <x v="6"/>
    <n v="338270"/>
    <n v="338270"/>
    <n v="1020713"/>
    <n v="15629"/>
    <n v="306619750"/>
    <n v="35286911"/>
    <n v="438247"/>
    <n v="526109473"/>
    <n v="80336233"/>
    <n v="474354"/>
    <n v="4.0643608969746445E-4"/>
    <n v="4.0643608969746445E-4"/>
    <n v="1.9401152276914049E-3"/>
    <n v="1.2264008053429745E-3"/>
    <n v="0.22475041505744747"/>
    <n v="8.4049353560256293E-2"/>
    <m/>
    <n v="33827"/>
  </r>
  <r>
    <x v="0"/>
    <x v="0"/>
    <x v="2"/>
    <x v="3"/>
    <s v="Xcel"/>
    <x v="4"/>
    <x v="0"/>
    <m/>
    <s v="Insulation Rebates"/>
    <m/>
    <x v="1"/>
    <n v="323210"/>
    <n v="323210"/>
    <n v="1219022"/>
    <n v="1170672"/>
    <n v="306619750"/>
    <n v="35286911"/>
    <n v="438247"/>
    <n v="526109473"/>
    <n v="80336233"/>
    <n v="474354"/>
    <n v="3.8834129113169211E-4"/>
    <n v="3.8834129113169211E-4"/>
    <n v="2.3170500866461306E-3"/>
    <n v="1.464671815222108E-3"/>
    <n v="0.26841599985907866"/>
    <n v="0.10037886367248261"/>
    <m/>
    <n v="32321"/>
  </r>
  <r>
    <x v="0"/>
    <x v="0"/>
    <x v="2"/>
    <x v="3"/>
    <s v="Xcel"/>
    <x v="4"/>
    <x v="0"/>
    <m/>
    <s v="Residential Heating &amp; Cooling"/>
    <m/>
    <x v="6"/>
    <n v="2055400"/>
    <n v="2055400"/>
    <n v="5394291"/>
    <n v="4883886"/>
    <n v="306619750"/>
    <n v="35286911"/>
    <n v="438247"/>
    <n v="526109473"/>
    <n v="80336233"/>
    <n v="474354"/>
    <n v="2.4695915652117196E-3"/>
    <n v="2.4695915652117196E-3"/>
    <n v="1.0253172156814596E-2"/>
    <n v="6.4813153419760114E-3"/>
    <n v="1.187766924875703"/>
    <n v="0.44418624183870337"/>
    <m/>
    <n v="205540"/>
  </r>
  <r>
    <x v="0"/>
    <x v="0"/>
    <x v="2"/>
    <x v="3"/>
    <s v="Xcel"/>
    <x v="4"/>
    <x v="0"/>
    <m/>
    <s v="School Education Kits"/>
    <m/>
    <x v="13"/>
    <n v="515980"/>
    <n v="515980"/>
    <n v="398520"/>
    <n v="85304"/>
    <n v="306619750"/>
    <n v="35286911"/>
    <n v="438247"/>
    <n v="526109473"/>
    <n v="80336233"/>
    <n v="474354"/>
    <n v="6.199571158012762E-4"/>
    <n v="6.199571158012762E-4"/>
    <n v="7.5748493507928148E-4"/>
    <n v="4.7882729909904374E-4"/>
    <n v="8.7749970274400318E-2"/>
    <n v="3.2815638069499789E-2"/>
    <m/>
    <n v="51598"/>
  </r>
  <r>
    <x v="0"/>
    <x v="0"/>
    <x v="2"/>
    <x v="3"/>
    <s v="Xcel"/>
    <x v="4"/>
    <x v="0"/>
    <m/>
    <s v="Whole Home Efficiency"/>
    <m/>
    <x v="1"/>
    <n v="18425"/>
    <n v="18425"/>
    <n v="85806"/>
    <n v="68400.5"/>
    <n v="306619750"/>
    <n v="35286911"/>
    <n v="438247"/>
    <n v="526109473"/>
    <n v="80336233"/>
    <n v="474354"/>
    <n v="2.2137892667619899E-5"/>
    <n v="2.2137892667619899E-5"/>
    <n v="1.6309533358278838E-4"/>
    <n v="1.0309709732633882E-4"/>
    <n v="1.8893591160707601E-2"/>
    <n v="7.0655892808177724E-3"/>
    <m/>
    <s v="FirstTracks Gas Benchmarking - MN Xcel 23-92 - 2024-2026 MN Triennial Plan 062923.pdf - All Documents (sharepoint.com)"/>
  </r>
  <r>
    <x v="0"/>
    <x v="0"/>
    <x v="2"/>
    <x v="3"/>
    <s v="Xcel"/>
    <x v="4"/>
    <x v="0"/>
    <m/>
    <s v="Whole Home Efficiency"/>
    <m/>
    <x v="6"/>
    <n v="18425"/>
    <n v="18425"/>
    <n v="85806"/>
    <n v="68400.5"/>
    <n v="306619750"/>
    <n v="35286911"/>
    <n v="438247"/>
    <n v="526109473"/>
    <n v="80336233"/>
    <n v="474354"/>
    <n v="2.2137892667619899E-5"/>
    <n v="2.2137892667619899E-5"/>
    <n v="1.6309533358278838E-4"/>
    <n v="1.0309709732633882E-4"/>
    <n v="1.8893591160707601E-2"/>
    <n v="7.0655892808177724E-3"/>
    <m/>
    <n v="3685"/>
  </r>
  <r>
    <x v="0"/>
    <x v="0"/>
    <x v="2"/>
    <x v="3"/>
    <s v="Xcel"/>
    <x v="4"/>
    <x v="2"/>
    <m/>
    <s v="Business Education"/>
    <m/>
    <x v="4"/>
    <n v="0"/>
    <n v="0"/>
    <n v="30750"/>
    <n v="0"/>
    <n v="219489723"/>
    <n v="45049322"/>
    <n v="36107"/>
    <n v="526109473"/>
    <n v="80336233"/>
    <n v="474354"/>
    <n v="0"/>
    <n v="0"/>
    <n v="5.844791165735197E-5"/>
    <n v="3.6946550856407697E-5"/>
    <n v="4.2063131630927821E-3"/>
    <n v="2.5320708386959712E-3"/>
    <m/>
    <m/>
  </r>
  <r>
    <x v="0"/>
    <x v="0"/>
    <x v="2"/>
    <x v="3"/>
    <s v="Xcel"/>
    <x v="4"/>
    <x v="2"/>
    <m/>
    <s v="Business Energy Assessments"/>
    <m/>
    <x v="14"/>
    <n v="275520"/>
    <n v="275520"/>
    <n v="418929"/>
    <n v="192937"/>
    <n v="219489723"/>
    <n v="45049322"/>
    <n v="36107"/>
    <n v="526109473"/>
    <n v="80336233"/>
    <n v="474354"/>
    <n v="3.31041095673413E-4"/>
    <n v="3.31041095673413E-4"/>
    <n v="7.9627724171391231E-4"/>
    <n v="5.033489952430576E-4"/>
    <n v="5.7305579417928333E-2"/>
    <n v="3.44961920124899E-2"/>
    <m/>
    <n v="27552"/>
  </r>
  <r>
    <x v="0"/>
    <x v="0"/>
    <x v="2"/>
    <x v="3"/>
    <s v="Xcel"/>
    <x v="4"/>
    <x v="2"/>
    <m/>
    <s v="Business New Construction"/>
    <m/>
    <x v="0"/>
    <n v="500090"/>
    <n v="500090"/>
    <n v="557897"/>
    <n v="275242"/>
    <n v="219489723"/>
    <n v="45049322"/>
    <n v="36107"/>
    <n v="526109473"/>
    <n v="80336233"/>
    <n v="474354"/>
    <n v="6.0086506074084314E-4"/>
    <n v="6.0086506074084314E-4"/>
    <n v="1.060419986013063E-3"/>
    <n v="6.703209718093426E-4"/>
    <n v="7.6315105520324361E-2"/>
    <n v="4.593934064051923E-2"/>
    <m/>
    <n v="50009"/>
  </r>
  <r>
    <x v="0"/>
    <x v="0"/>
    <x v="2"/>
    <x v="3"/>
    <s v="Xcel"/>
    <x v="4"/>
    <x v="2"/>
    <m/>
    <s v="Custom Efficiency"/>
    <m/>
    <x v="15"/>
    <n v="205180"/>
    <n v="205180"/>
    <n v="202236"/>
    <n v="120008"/>
    <n v="219489723"/>
    <n v="45049322"/>
    <n v="36107"/>
    <n v="526109473"/>
    <n v="80336233"/>
    <n v="474354"/>
    <n v="2.4652661153553597E-4"/>
    <n v="2.4652661153553597E-4"/>
    <n v="3.843990849410157E-4"/>
    <n v="2.4298935476411277E-4"/>
    <n v="2.7663998336625428E-2"/>
    <n v="1.6652874085675395E-2"/>
    <m/>
    <n v="20518"/>
  </r>
  <r>
    <x v="0"/>
    <x v="0"/>
    <x v="2"/>
    <x v="3"/>
    <s v="Xcel"/>
    <x v="4"/>
    <x v="2"/>
    <m/>
    <s v="Efficiency Controls"/>
    <m/>
    <x v="6"/>
    <n v="79450"/>
    <n v="79450"/>
    <n v="64744"/>
    <n v="54784"/>
    <n v="219489723"/>
    <n v="45049322"/>
    <n v="36107"/>
    <n v="526109473"/>
    <n v="80336233"/>
    <n v="474354"/>
    <n v="9.5460275302165583E-5"/>
    <n v="9.5460275302165583E-5"/>
    <n v="1.2306184040141775E-4"/>
    <n v="7.7790812638935282E-5"/>
    <n v="8.8563752660578577E-3"/>
    <n v="5.3312648579034779E-3"/>
    <m/>
    <n v="7945"/>
  </r>
  <r>
    <x v="0"/>
    <x v="0"/>
    <x v="2"/>
    <x v="3"/>
    <s v="Xcel"/>
    <x v="4"/>
    <x v="2"/>
    <m/>
    <s v="Empower Facilities"/>
    <m/>
    <x v="4"/>
    <n v="0"/>
    <n v="0"/>
    <n v="107185"/>
    <n v="0"/>
    <n v="219489723"/>
    <n v="45049322"/>
    <n v="36107"/>
    <n v="526109473"/>
    <n v="80336233"/>
    <n v="474354"/>
    <n v="0"/>
    <n v="0"/>
    <n v="2.0373136295913076E-4"/>
    <n v="1.2878426190387183E-4"/>
    <n v="1.4661908175157719E-2"/>
    <n v="8.826016677906591E-3"/>
    <m/>
    <m/>
  </r>
  <r>
    <x v="0"/>
    <x v="0"/>
    <x v="2"/>
    <x v="3"/>
    <s v="Xcel"/>
    <x v="4"/>
    <x v="2"/>
    <m/>
    <s v="Empower Intelligence"/>
    <m/>
    <x v="5"/>
    <n v="610"/>
    <n v="610"/>
    <n v="53947"/>
    <n v="0"/>
    <n v="219489723"/>
    <n v="45049322"/>
    <n v="36107"/>
    <n v="526109473"/>
    <n v="80336233"/>
    <n v="474354"/>
    <n v="7.3292344788320955E-7"/>
    <n v="7.3292344788320955E-7"/>
    <n v="1.0253949561558265E-4"/>
    <n v="6.4818067611402481E-5"/>
    <n v="7.3794463807924007E-3"/>
    <n v="4.4421992043945221E-3"/>
    <m/>
    <n v="61"/>
  </r>
  <r>
    <x v="0"/>
    <x v="0"/>
    <x v="2"/>
    <x v="3"/>
    <s v="Xcel"/>
    <x v="4"/>
    <x v="2"/>
    <m/>
    <s v="Foodservice Equipment"/>
    <m/>
    <x v="6"/>
    <n v="55360"/>
    <n v="55360"/>
    <n v="94749"/>
    <n v="29527"/>
    <n v="219489723"/>
    <n v="45049322"/>
    <n v="36107"/>
    <n v="526109473"/>
    <n v="80336233"/>
    <n v="474354"/>
    <n v="6.6515806680023733E-5"/>
    <n v="6.6515806680023733E-5"/>
    <n v="1.8009369696333143E-4"/>
    <n v="1.1384223567784627E-4"/>
    <n v="1.2960779378532619E-2"/>
    <n v="7.8019895901009616E-3"/>
    <m/>
    <n v="5536"/>
  </r>
  <r>
    <x v="0"/>
    <x v="0"/>
    <x v="2"/>
    <x v="3"/>
    <s v="Xcel"/>
    <x v="4"/>
    <x v="2"/>
    <m/>
    <s v="HVAC+R"/>
    <m/>
    <x v="6"/>
    <n v="1332320"/>
    <n v="1332320"/>
    <n v="1638749"/>
    <n v="1115796"/>
    <n v="219489723"/>
    <n v="45049322"/>
    <n v="36107"/>
    <n v="526109473"/>
    <n v="80336233"/>
    <n v="474354"/>
    <n v="1.6008009312848488E-3"/>
    <n v="1.6008009312848488E-3"/>
    <n v="3.1148441229454922E-3"/>
    <n v="1.9689796185166589E-3"/>
    <n v="0.22416557690097996"/>
    <n v="0.13494076601112795"/>
    <m/>
    <n v="133232"/>
  </r>
  <r>
    <x v="0"/>
    <x v="0"/>
    <x v="2"/>
    <x v="3"/>
    <s v="Xcel"/>
    <x v="4"/>
    <x v="2"/>
    <m/>
    <s v="Load Strategy Analysis"/>
    <m/>
    <x v="14"/>
    <n v="53410"/>
    <n v="53410"/>
    <n v="30917"/>
    <n v="20856"/>
    <n v="219489723"/>
    <n v="45049322"/>
    <n v="36107"/>
    <n v="526109473"/>
    <n v="80336233"/>
    <n v="474354"/>
    <n v="6.4172854674495451E-5"/>
    <n v="6.4172854674495451E-5"/>
    <n v="5.8765336088141486E-5"/>
    <n v="3.7147203669188836E-5"/>
    <n v="4.2291572053118551E-3"/>
    <n v="2.5458222478036857E-3"/>
    <m/>
    <n v="5341"/>
  </r>
  <r>
    <x v="0"/>
    <x v="0"/>
    <x v="2"/>
    <x v="3"/>
    <s v="Xcel"/>
    <x v="4"/>
    <x v="2"/>
    <m/>
    <s v="MF Building Efficiency"/>
    <m/>
    <x v="6"/>
    <n v="320520"/>
    <n v="320520"/>
    <n v="852011"/>
    <n v="64845"/>
    <n v="219489723"/>
    <n v="45049322"/>
    <n v="36107"/>
    <n v="526109473"/>
    <n v="80336233"/>
    <n v="474354"/>
    <n v="3.8510921887791201E-4"/>
    <n v="3.8510921887791201E-4"/>
    <n v="1.6194557287509629E-3"/>
    <n v="1.0237030159908544E-3"/>
    <n v="0.11654715721625511"/>
    <n v="7.0157795360916847E-2"/>
    <m/>
    <n v="32052"/>
  </r>
  <r>
    <x v="0"/>
    <x v="0"/>
    <x v="2"/>
    <x v="3"/>
    <s v="Xcel"/>
    <x v="4"/>
    <x v="2"/>
    <m/>
    <s v="Non-Profit Energy Savings Program"/>
    <m/>
    <x v="6"/>
    <n v="2833280"/>
    <n v="2833280"/>
    <n v="922649"/>
    <n v="717944"/>
    <n v="219489723"/>
    <n v="45049322"/>
    <n v="36107"/>
    <n v="526109473"/>
    <n v="80336233"/>
    <n v="474354"/>
    <n v="3.4042251580631805E-3"/>
    <n v="3.4042251580631805E-3"/>
    <n v="1.7537205607396466E-3"/>
    <n v="1.1085755512557302E-3"/>
    <n v="0.12620977670290706"/>
    <n v="7.5974394382178831E-2"/>
    <m/>
    <n v="283328"/>
  </r>
  <r>
    <x v="0"/>
    <x v="0"/>
    <x v="2"/>
    <x v="3"/>
    <s v="Xcel"/>
    <x v="4"/>
    <x v="2"/>
    <m/>
    <s v="Process &amp; Commercial Efficiency"/>
    <m/>
    <x v="14"/>
    <n v="1654700"/>
    <n v="1654700"/>
    <n v="1415421"/>
    <n v="786181"/>
    <n v="219489723"/>
    <n v="45049322"/>
    <n v="36107"/>
    <n v="526109473"/>
    <n v="80336233"/>
    <n v="474354"/>
    <n v="1.9881449659218801E-3"/>
    <n v="1.9881449659218801E-3"/>
    <n v="2.6903545224702691E-3"/>
    <n v="1.7006479336496728E-3"/>
    <n v="0.19361638971115283"/>
    <n v="0.11655109718952489"/>
    <m/>
    <n v="165470"/>
  </r>
  <r>
    <x v="0"/>
    <x v="0"/>
    <x v="2"/>
    <x v="3"/>
    <s v="Xcel"/>
    <x v="4"/>
    <x v="1"/>
    <n v="1"/>
    <s v="Affordable Efficient New Home Construction"/>
    <m/>
    <x v="0"/>
    <n v="4600"/>
    <n v="4600"/>
    <n v="198213"/>
    <n v="186869"/>
    <n v="0"/>
    <n v="0"/>
    <n v="0"/>
    <n v="526109473"/>
    <n v="80336233"/>
    <n v="474354"/>
    <n v="5.5269637053487935E-6"/>
    <n v="5.5269637053487935E-6"/>
    <n v="3.7675238742564896E-4"/>
    <n v="2.3815566454963051E-4"/>
    <n v="0.67827738425213013"/>
    <n v="1.6321605110583563E-2"/>
    <m/>
    <n v="460"/>
  </r>
  <r>
    <x v="0"/>
    <x v="0"/>
    <x v="2"/>
    <x v="3"/>
    <s v="Xcel"/>
    <x v="4"/>
    <x v="1"/>
    <n v="1"/>
    <s v="Home Energy Savings Program"/>
    <m/>
    <x v="6"/>
    <n v="89630"/>
    <n v="89630"/>
    <n v="2909990"/>
    <n v="2331972"/>
    <n v="0"/>
    <n v="0"/>
    <n v="0"/>
    <n v="526109473"/>
    <n v="80336233"/>
    <n v="474354"/>
    <n v="1.0769168628487227E-4"/>
    <n v="1.0769168628487227E-4"/>
    <n v="5.5311492176838258E-3"/>
    <n v="3.4963932854191167E-3"/>
    <n v="9.9578756458953563"/>
    <n v="0.23961953885843543"/>
    <m/>
    <n v="8963"/>
  </r>
  <r>
    <x v="0"/>
    <x v="0"/>
    <x v="2"/>
    <x v="3"/>
    <s v="Xcel"/>
    <x v="4"/>
    <x v="1"/>
    <n v="1"/>
    <s v="Low Income Home Energy Squad"/>
    <m/>
    <x v="6"/>
    <n v="67020"/>
    <n v="67020"/>
    <n v="363983"/>
    <n v="39053"/>
    <n v="0"/>
    <n v="0"/>
    <n v="0"/>
    <n v="526109473"/>
    <n v="80336233"/>
    <n v="474354"/>
    <n v="8.0525458159233946E-5"/>
    <n v="8.0525458159233946E-5"/>
    <n v="6.9183890174887616E-4"/>
    <n v="4.3733061529651517E-4"/>
    <n v="1.2455360503712829"/>
    <n v="2.9971731384750427E-2"/>
    <m/>
    <n v="6702"/>
  </r>
  <r>
    <x v="0"/>
    <x v="0"/>
    <x v="2"/>
    <x v="3"/>
    <s v="Xcel"/>
    <x v="4"/>
    <x v="1"/>
    <n v="1"/>
    <s v="Low Income MF Building Efficiency"/>
    <m/>
    <x v="6"/>
    <n v="124590"/>
    <n v="124590"/>
    <n v="239751"/>
    <n v="27984"/>
    <n v="0"/>
    <n v="0"/>
    <n v="0"/>
    <n v="526109473"/>
    <n v="80336233"/>
    <n v="474354"/>
    <n v="1.4969661044552309E-4"/>
    <n v="1.4969661044552309E-4"/>
    <n v="4.5570553716298509E-4"/>
    <n v="2.8806414680893012E-4"/>
    <n v="0.82041884816753929"/>
    <n v="1.9742000508884482E-2"/>
    <m/>
    <n v="12459"/>
  </r>
  <r>
    <x v="0"/>
    <x v="0"/>
    <x v="2"/>
    <x v="3"/>
    <s v="Xcel"/>
    <x v="4"/>
    <x v="1"/>
    <n v="1"/>
    <s v="Workforce Development &amp; Education"/>
    <m/>
    <x v="4"/>
    <n v="0"/>
    <n v="0"/>
    <n v="435008"/>
    <n v="0"/>
    <n v="0"/>
    <n v="0"/>
    <n v="0"/>
    <n v="526109473"/>
    <n v="80336233"/>
    <n v="474354"/>
    <n v="0"/>
    <n v="0"/>
    <n v="8.2683932208915006E-4"/>
    <n v="5.2266813642094952E-4"/>
    <n v="1.4885809122951099"/>
    <n v="3.5820197443884781E-2"/>
    <m/>
    <m/>
  </r>
  <r>
    <x v="0"/>
    <x v="0"/>
    <x v="2"/>
    <x v="3"/>
    <s v="Xcel"/>
    <x v="4"/>
    <x v="1"/>
    <n v="1"/>
    <s v="Commercial AC Control"/>
    <m/>
    <x v="6"/>
    <n v="6390"/>
    <n v="6390"/>
    <n v="32765"/>
    <n v="4765"/>
    <n v="0"/>
    <n v="0"/>
    <n v="0"/>
    <n v="526109473"/>
    <n v="80336233"/>
    <n v="474354"/>
    <n v="7.6776734950388673E-6"/>
    <n v="7.6776734950388673E-6"/>
    <n v="6.2277913022866255E-5"/>
    <n v="3.9367601262120263E-5"/>
    <n v="0.11212058994627519"/>
    <n v="2.6979935294267803E-3"/>
    <m/>
    <n v="639"/>
  </r>
  <r>
    <x v="0"/>
    <x v="0"/>
    <x v="2"/>
    <x v="3"/>
    <s v="Xcel"/>
    <x v="4"/>
    <x v="4"/>
    <m/>
    <s v="Advertising &amp; Promotion"/>
    <m/>
    <x v="4"/>
    <n v="0"/>
    <n v="0"/>
    <n v="1610483"/>
    <n v="0"/>
    <n v="0"/>
    <n v="0"/>
    <n v="0"/>
    <n v="526109473"/>
    <n v="80336233"/>
    <n v="474354"/>
    <n v="0"/>
    <n v="0"/>
    <n v="3.0611176621029973E-3"/>
    <n v="1.9350176280611394E-3"/>
    <s v=""/>
    <n v="0.13261323708993833"/>
    <m/>
    <m/>
  </r>
  <r>
    <x v="0"/>
    <x v="0"/>
    <x v="2"/>
    <x v="3"/>
    <s v="Xcel"/>
    <x v="4"/>
    <x v="4"/>
    <m/>
    <s v="App Development &amp; Maintenance"/>
    <m/>
    <x v="4"/>
    <n v="0"/>
    <n v="0"/>
    <n v="712737"/>
    <n v="0"/>
    <n v="0"/>
    <n v="0"/>
    <n v="0"/>
    <n v="526109473"/>
    <n v="80336233"/>
    <n v="474354"/>
    <n v="0"/>
    <n v="0"/>
    <n v="1.3547313564528803E-3"/>
    <n v="8.5636337618677895E-4"/>
    <s v=""/>
    <n v="5.8689449540151234E-2"/>
    <m/>
    <m/>
  </r>
  <r>
    <x v="0"/>
    <x v="0"/>
    <x v="2"/>
    <x v="3"/>
    <s v="Xcel"/>
    <x v="4"/>
    <x v="2"/>
    <m/>
    <s v="CIP Training"/>
    <m/>
    <x v="4"/>
    <n v="0"/>
    <n v="0"/>
    <n v="146397"/>
    <n v="0"/>
    <n v="219489723"/>
    <n v="45049322"/>
    <n v="36107"/>
    <n v="526109473"/>
    <n v="80336233"/>
    <n v="474354"/>
    <n v="0"/>
    <n v="0"/>
    <n v="2.7826337960654818E-4"/>
    <n v="1.7589802295042334E-4"/>
    <n v="2.0025744004464847E-2"/>
    <n v="1.2054880473904848E-2"/>
    <m/>
    <m/>
  </r>
  <r>
    <x v="0"/>
    <x v="0"/>
    <x v="2"/>
    <x v="3"/>
    <s v="Xcel"/>
    <x v="4"/>
    <x v="1"/>
    <m/>
    <s v="Community Energy Reporting"/>
    <m/>
    <x v="4"/>
    <n v="0"/>
    <n v="0"/>
    <n v="13625"/>
    <n v="0"/>
    <n v="0"/>
    <n v="0"/>
    <n v="0"/>
    <n v="526109473"/>
    <n v="80336233"/>
    <n v="474354"/>
    <n v="0"/>
    <n v="0"/>
    <n v="2.5897651913216927E-5"/>
    <n v="1.6370626192473329E-5"/>
    <n v="4.6624234335968247E-2"/>
    <n v="1.1219338269018735E-3"/>
    <m/>
    <m/>
  </r>
  <r>
    <x v="0"/>
    <x v="0"/>
    <x v="2"/>
    <x v="3"/>
    <s v="Xcel"/>
    <x v="4"/>
    <x v="2"/>
    <m/>
    <s v="Energy Benchmarking"/>
    <m/>
    <x v="4"/>
    <n v="0"/>
    <n v="0"/>
    <n v="31427"/>
    <n v="0"/>
    <n v="219489723"/>
    <n v="45049322"/>
    <n v="36107"/>
    <n v="526109473"/>
    <n v="80336233"/>
    <n v="474354"/>
    <n v="0"/>
    <n v="0"/>
    <n v="5.9734716086360985E-5"/>
    <n v="3.7759975732173161E-5"/>
    <n v="4.2989204480168089E-3"/>
    <n v="2.5878175690308386E-3"/>
    <m/>
    <m/>
  </r>
  <r>
    <x v="0"/>
    <x v="0"/>
    <x v="2"/>
    <x v="3"/>
    <s v="Xcel"/>
    <x v="4"/>
    <x v="2"/>
    <m/>
    <s v="Partners in Energy"/>
    <s v=" "/>
    <x v="4"/>
    <n v="0"/>
    <n v="0"/>
    <n v="340504"/>
    <n v="0"/>
    <n v="219489723"/>
    <n v="45049322"/>
    <n v="36107"/>
    <n v="526109473"/>
    <n v="80336233"/>
    <n v="474354"/>
    <n v="0"/>
    <n v="0"/>
    <n v="6.4721130767398294E-4"/>
    <n v="4.0912027163610555E-4"/>
    <n v="4.6577770968642108E-2"/>
    <n v="2.8038382076726275E-2"/>
    <m/>
    <m/>
  </r>
  <r>
    <x v="0"/>
    <x v="0"/>
    <x v="2"/>
    <x v="3"/>
    <s v="Xcel"/>
    <x v="4"/>
    <x v="4"/>
    <m/>
    <s v="Planning &amp; Regulatory Affairs"/>
    <m/>
    <x v="4"/>
    <n v="0"/>
    <n v="0"/>
    <n v="350000"/>
    <n v="0"/>
    <n v="0"/>
    <n v="0"/>
    <n v="0"/>
    <n v="526109473"/>
    <n v="80336233"/>
    <n v="474354"/>
    <n v="0"/>
    <n v="0"/>
    <n v="6.65260783091811E-4"/>
    <n v="4.2052984714610392E-4"/>
    <s v=""/>
    <n v="2.8820318489222434E-2"/>
    <m/>
    <m/>
  </r>
  <r>
    <x v="0"/>
    <x v="0"/>
    <x v="2"/>
    <x v="3"/>
    <s v="Xcel"/>
    <x v="4"/>
    <x v="4"/>
    <m/>
    <s v="market research"/>
    <m/>
    <x v="4"/>
    <n v="0"/>
    <n v="0"/>
    <n v="525579"/>
    <n v="0"/>
    <n v="0"/>
    <n v="0"/>
    <n v="0"/>
    <n v="526109473"/>
    <n v="80336233"/>
    <n v="474354"/>
    <n v="0"/>
    <n v="0"/>
    <n v="9.9899170604745972E-4"/>
    <n v="6.3149044723772034E-4"/>
    <s v=""/>
    <n v="4.3278154774991542E-2"/>
    <m/>
    <m/>
  </r>
  <r>
    <x v="0"/>
    <x v="0"/>
    <x v="2"/>
    <x v="3"/>
    <s v="Xcel"/>
    <x v="4"/>
    <x v="4"/>
    <m/>
    <s v="Product Development"/>
    <m/>
    <x v="4"/>
    <n v="0"/>
    <n v="0"/>
    <n v="198051"/>
    <n v="0"/>
    <n v="0"/>
    <n v="0"/>
    <n v="0"/>
    <n v="526109473"/>
    <n v="80336233"/>
    <n v="474354"/>
    <n v="0"/>
    <n v="0"/>
    <n v="3.7644446672033217E-4"/>
    <n v="2.3796101930609434E-4"/>
    <s v=""/>
    <n v="1.6308265420311406E-2"/>
    <m/>
    <m/>
  </r>
  <r>
    <x v="0"/>
    <x v="0"/>
    <x v="2"/>
    <x v="3"/>
    <s v="Xcel"/>
    <x v="4"/>
    <x v="4"/>
    <m/>
    <s v="Minnesota Assessments"/>
    <m/>
    <x v="4"/>
    <n v="0"/>
    <n v="0"/>
    <n v="294738"/>
    <n v="0"/>
    <n v="0"/>
    <n v="0"/>
    <n v="0"/>
    <n v="526109473"/>
    <n v="80336233"/>
    <n v="474354"/>
    <n v="0"/>
    <n v="0"/>
    <n v="5.6022180767689765E-4"/>
    <n v="3.5413178882328104E-4"/>
    <s v=""/>
    <n v="2.426983723107555E-2"/>
    <m/>
    <m/>
  </r>
  <r>
    <x v="0"/>
    <x v="0"/>
    <x v="2"/>
    <x v="3"/>
    <s v="Xcel"/>
    <x v="4"/>
    <x v="4"/>
    <m/>
    <s v="Minnesota Efficient Technology Accelerator"/>
    <m/>
    <x v="4"/>
    <n v="0"/>
    <n v="0"/>
    <n v="572364"/>
    <n v="0"/>
    <n v="0"/>
    <n v="0"/>
    <n v="0"/>
    <n v="526109473"/>
    <n v="80336233"/>
    <n v="474354"/>
    <n v="0"/>
    <n v="0"/>
    <n v="1.0879180652958896E-3"/>
    <n v="6.8770327266266449E-4"/>
    <s v=""/>
    <n v="4.7130607919329458E-2"/>
    <m/>
    <m/>
  </r>
  <r>
    <x v="0"/>
    <x v="0"/>
    <x v="2"/>
    <x v="3"/>
    <s v="Xcel"/>
    <x v="4"/>
    <x v="4"/>
    <m/>
    <s v="EnerChange"/>
    <m/>
    <x v="4"/>
    <n v="0"/>
    <n v="0"/>
    <n v="77934"/>
    <n v="0"/>
    <n v="0"/>
    <n v="0"/>
    <n v="0"/>
    <n v="526109473"/>
    <n v="80336233"/>
    <n v="474354"/>
    <n v="0"/>
    <n v="0"/>
    <n v="1.4813266819850628E-4"/>
    <n v="9.3638780307098464E-5"/>
    <s v=""/>
    <n v="6.4173791461116037E-3"/>
    <m/>
    <m/>
  </r>
  <r>
    <x v="0"/>
    <x v="0"/>
    <x v="2"/>
    <x v="3"/>
    <s v="Xcel"/>
    <x v="4"/>
    <x v="4"/>
    <m/>
    <s v="EnergySmart"/>
    <m/>
    <x v="4"/>
    <n v="0"/>
    <n v="0"/>
    <n v="46725"/>
    <n v="0"/>
    <n v="0"/>
    <n v="0"/>
    <n v="0"/>
    <n v="526109473"/>
    <n v="80336233"/>
    <n v="474354"/>
    <n v="0"/>
    <n v="0"/>
    <n v="8.8812314542756766E-5"/>
    <n v="5.6140734594004869E-5"/>
    <s v=""/>
    <n v="3.8475125183111952E-3"/>
    <m/>
    <m/>
  </r>
  <r>
    <x v="0"/>
    <x v="0"/>
    <x v="2"/>
    <x v="3"/>
    <s v="Xcel"/>
    <x v="4"/>
    <x v="0"/>
    <m/>
    <s v="One Stop Shop"/>
    <m/>
    <x v="6"/>
    <n v="106760"/>
    <n v="106760"/>
    <n v="99099"/>
    <n v="62522"/>
    <n v="306619750"/>
    <n v="35286911"/>
    <n v="438247"/>
    <n v="526109473"/>
    <n v="80336233"/>
    <n v="474354"/>
    <n v="1.2827361851805156E-4"/>
    <n v="1.2827361851805156E-4"/>
    <n v="1.8836193812461538E-4"/>
    <n v="1.1906882092094784E-4"/>
    <n v="2.1820571876500043E-2"/>
    <n v="8.1601849770384406E-3"/>
    <m/>
    <n v="10676"/>
  </r>
  <r>
    <x v="0"/>
    <x v="0"/>
    <x v="2"/>
    <x v="3"/>
    <s v="Xcel"/>
    <x v="4"/>
    <x v="4"/>
    <m/>
    <s v="Trillion BTU"/>
    <m/>
    <x v="4"/>
    <n v="0"/>
    <n v="0"/>
    <n v="21877"/>
    <n v="0"/>
    <n v="0"/>
    <n v="0"/>
    <n v="0"/>
    <n v="526109473"/>
    <n v="80336233"/>
    <n v="474354"/>
    <n v="0"/>
    <n v="0"/>
    <n v="4.1582600433427285E-5"/>
    <n v="2.6285518474329472E-5"/>
    <s v=""/>
    <n v="1.8014345931106263E-3"/>
    <m/>
    <m/>
  </r>
  <r>
    <x v="0"/>
    <x v="0"/>
    <x v="2"/>
    <x v="10"/>
    <s v="Avista"/>
    <x v="19"/>
    <x v="0"/>
    <m/>
    <s v="Midstream"/>
    <m/>
    <x v="6"/>
    <n v="245266"/>
    <n v="245266"/>
    <n v="1957130"/>
    <n v="1369991"/>
    <n v="108498566"/>
    <n v="10808791"/>
    <n v="158391"/>
    <n v="165278369"/>
    <n v="25379156"/>
    <n v="173721"/>
    <n v="9.3282551729948491E-4"/>
    <n v="9.3282551729948491E-4"/>
    <n v="1.1841416465091086E-2"/>
    <n v="7.4435951361882229E-3"/>
    <n v="4.5266632127228483"/>
    <n v="2.0538024828686261"/>
    <m/>
    <m/>
  </r>
  <r>
    <x v="0"/>
    <x v="0"/>
    <x v="2"/>
    <x v="10"/>
    <s v="Avista"/>
    <x v="19"/>
    <x v="0"/>
    <m/>
    <s v="Residential Prescriptive"/>
    <m/>
    <x v="6"/>
    <n v="144975"/>
    <n v="144975"/>
    <n v="2378407"/>
    <n v="1664885"/>
    <n v="108498566"/>
    <n v="10808791"/>
    <n v="158391"/>
    <n v="165278369"/>
    <n v="25379156"/>
    <n v="173721"/>
    <n v="5.5138657364042635E-4"/>
    <n v="5.5138657364042635E-4"/>
    <n v="1.4390310204476909E-2"/>
    <n v="9.0458471215892778E-3"/>
    <n v="5.5010384960541776"/>
    <n v="2.4958884702968738"/>
    <m/>
    <m/>
  </r>
  <r>
    <x v="0"/>
    <x v="0"/>
    <x v="2"/>
    <x v="10"/>
    <s v="Avista"/>
    <x v="19"/>
    <x v="0"/>
    <m/>
    <s v="MF (New Offerings)"/>
    <m/>
    <x v="0"/>
    <n v="16591"/>
    <n v="16591"/>
    <n v="94807"/>
    <n v="66365"/>
    <n v="108498566"/>
    <n v="10808791"/>
    <n v="158391"/>
    <n v="165278369"/>
    <n v="25379156"/>
    <n v="173721"/>
    <n v="6.3100911490038383E-5"/>
    <n v="6.3100911490038383E-5"/>
    <n v="5.7362013295278826E-4"/>
    <n v="3.6058152707106676E-4"/>
    <n v="0.21927994523031946"/>
    <n v="9.9489994018448366E-2"/>
    <m/>
    <m/>
  </r>
  <r>
    <x v="0"/>
    <x v="0"/>
    <x v="2"/>
    <x v="10"/>
    <s v="Avista"/>
    <x v="19"/>
    <x v="0"/>
    <m/>
    <s v="On-Bill Repayment"/>
    <m/>
    <x v="6"/>
    <n v="8788"/>
    <n v="8788"/>
    <n v="294286"/>
    <n v="206000"/>
    <n v="108498566"/>
    <n v="10808791"/>
    <n v="158391"/>
    <n v="165278369"/>
    <n v="25379156"/>
    <n v="173721"/>
    <n v="3.3423591716861993E-5"/>
    <n v="3.3423591716861993E-5"/>
    <n v="1.7805475803067733E-3"/>
    <n v="1.1192643504766098E-3"/>
    <n v="0.68065668106837884"/>
    <n v="0.30882226396482426"/>
    <m/>
    <m/>
  </r>
  <r>
    <x v="0"/>
    <x v="0"/>
    <x v="2"/>
    <x v="10"/>
    <s v="Avista"/>
    <x v="19"/>
    <x v="0"/>
    <m/>
    <s v="Home Energy Audit"/>
    <m/>
    <x v="6"/>
    <n v="16736"/>
    <n v="16736"/>
    <n v="153016"/>
    <n v="107111"/>
    <n v="108498566"/>
    <n v="10808791"/>
    <n v="158391"/>
    <n v="165278369"/>
    <n v="25379156"/>
    <n v="173721"/>
    <n v="6.3652393146723069E-5"/>
    <n v="6.3652393146723069E-5"/>
    <n v="9.2580778069028505E-4"/>
    <n v="5.8196908399491974E-4"/>
    <n v="0.35391205395553665"/>
    <n v="0.16057422895700629"/>
    <m/>
    <m/>
  </r>
  <r>
    <x v="0"/>
    <x v="0"/>
    <x v="2"/>
    <x v="10"/>
    <s v="Avista"/>
    <x v="19"/>
    <x v="2"/>
    <m/>
    <s v="Shell"/>
    <m/>
    <x v="6"/>
    <n v="37810"/>
    <n v="37810"/>
    <n v="167127"/>
    <n v="116989"/>
    <n v="56779803"/>
    <n v="14570365"/>
    <n v="15330"/>
    <n v="165278369"/>
    <n v="25379156"/>
    <n v="173721"/>
    <n v="1.4380359613274372E-4"/>
    <n v="1.4380359613274372E-4"/>
    <n v="1.0111849542755349E-3"/>
    <n v="6.3563775749476492E-4"/>
    <n v="0.32484455268687207"/>
    <n v="0.17538224213740777"/>
    <m/>
    <m/>
  </r>
  <r>
    <x v="0"/>
    <x v="0"/>
    <x v="2"/>
    <x v="10"/>
    <s v="Avista"/>
    <x v="19"/>
    <x v="2"/>
    <m/>
    <s v="Site-Specific"/>
    <m/>
    <x v="6"/>
    <n v="129896"/>
    <n v="129896"/>
    <n v="662092"/>
    <n v="463464"/>
    <n v="56779803"/>
    <n v="14570365"/>
    <n v="15330"/>
    <n v="165278369"/>
    <n v="25379156"/>
    <n v="173721"/>
    <n v="4.9403628466698963E-4"/>
    <n v="4.9403628466698963E-4"/>
    <n v="4.005920460166206E-3"/>
    <n v="2.5181489175012052E-3"/>
    <n v="1.2869074391184938"/>
    <n v="0.69479605007713052"/>
    <m/>
    <m/>
  </r>
  <r>
    <x v="0"/>
    <x v="0"/>
    <x v="2"/>
    <x v="10"/>
    <s v="Avista"/>
    <x v="19"/>
    <x v="2"/>
    <m/>
    <s v="Midstream"/>
    <m/>
    <x v="6"/>
    <n v="209078"/>
    <n v="209078"/>
    <n v="1666178"/>
    <n v="1166325"/>
    <n v="56779803"/>
    <n v="14570365"/>
    <n v="15330"/>
    <n v="165278369"/>
    <n v="25379156"/>
    <n v="173721"/>
    <n v="7.951909090780691E-4"/>
    <n v="7.951909090780691E-4"/>
    <n v="1.008104091346642E-2"/>
    <n v="6.3370110604935911E-3"/>
    <n v="3.2385482124773803"/>
    <n v="1.7484789019130471"/>
    <m/>
    <m/>
  </r>
  <r>
    <x v="0"/>
    <x v="0"/>
    <x v="2"/>
    <x v="10"/>
    <s v="Avista"/>
    <x v="19"/>
    <x v="2"/>
    <m/>
    <s v="Pay for Performance"/>
    <m/>
    <x v="6"/>
    <n v="123634"/>
    <n v="123634"/>
    <n v="275970"/>
    <n v="193179"/>
    <n v="56779803"/>
    <n v="14570365"/>
    <n v="15330"/>
    <n v="165278369"/>
    <n v="25379156"/>
    <n v="173721"/>
    <n v="4.7021988374175189E-4"/>
    <n v="4.7021988374175189E-4"/>
    <n v="1.6697284809242038E-3"/>
    <n v="1.0496027089329089E-3"/>
    <n v="0.5364025633500038"/>
    <n v="0.28960154470947497"/>
    <m/>
    <m/>
  </r>
  <r>
    <x v="0"/>
    <x v="0"/>
    <x v="2"/>
    <x v="10"/>
    <s v="Avista"/>
    <x v="19"/>
    <x v="2"/>
    <m/>
    <s v="Clean Buildings Accelerator"/>
    <m/>
    <x v="6"/>
    <n v="14065"/>
    <n v="14065"/>
    <n v="25461"/>
    <n v="0"/>
    <n v="56779803"/>
    <n v="14570365"/>
    <n v="15330"/>
    <n v="165278369"/>
    <n v="25379156"/>
    <n v="173721"/>
    <n v="5.3493720698414187E-5"/>
    <n v="5.3493720698414187E-5"/>
    <n v="1.5404919684317554E-4"/>
    <n v="9.6836375592059996E-5"/>
    <n v="4.9488515655522147E-2"/>
    <n v="2.6718646700177349E-2"/>
    <m/>
    <m/>
  </r>
  <r>
    <x v="0"/>
    <x v="0"/>
    <x v="2"/>
    <x v="10"/>
    <s v="Avista"/>
    <x v="19"/>
    <x v="1"/>
    <n v="1"/>
    <s v="Low-Income Programs"/>
    <m/>
    <x v="3"/>
    <n v="6091"/>
    <n v="6091"/>
    <n v="929540"/>
    <n v="440678"/>
    <n v="0"/>
    <n v="0"/>
    <n v="0"/>
    <n v="165278369"/>
    <n v="25379156"/>
    <n v="173721"/>
    <n v="2.3166032902526899E-5"/>
    <n v="2.3166032902526899E-5"/>
    <n v="5.6240874448609786E-3"/>
    <n v="3.5353397183081358E-3"/>
    <n v="152.60876703332787"/>
    <n v="0.97545465039404788"/>
    <m/>
    <m/>
  </r>
  <r>
    <x v="0"/>
    <x v="0"/>
    <x v="3"/>
    <x v="10"/>
    <s v="Avista"/>
    <x v="19"/>
    <x v="1"/>
    <n v="1"/>
    <s v="Low-Income Programs"/>
    <m/>
    <x v="3"/>
    <n v="6091"/>
    <n v="6091"/>
    <n v="929540"/>
    <n v="440678"/>
    <n v="0"/>
    <n v="0"/>
    <n v="0"/>
    <n v="165278369"/>
    <n v="25379156"/>
    <n v="173721"/>
    <n v="2.3166032902526899E-5"/>
    <n v="2.3166032902526899E-5"/>
    <n v="5.6240874448609786E-3"/>
    <n v="3.5353397183081358E-3"/>
    <n v="152.60876703332787"/>
    <n v="152.60876703332787"/>
    <m/>
    <m/>
  </r>
  <r>
    <x v="0"/>
    <x v="0"/>
    <x v="4"/>
    <x v="10"/>
    <s v="Avista"/>
    <x v="19"/>
    <x v="0"/>
    <m/>
    <s v="NEEA Savings"/>
    <m/>
    <x v="2"/>
    <n v="36432"/>
    <n v="36432"/>
    <n v="406000"/>
    <n v="0"/>
    <n v="108498566"/>
    <n v="10808791"/>
    <n v="158391"/>
    <n v="165278369"/>
    <n v="25379156"/>
    <n v="173721"/>
    <n v="1.3856261873335414E-4"/>
    <n v="1.3856261873335414E-4"/>
    <n v="2.4564618011205085E-3"/>
    <n v="1.5441486387171106E-3"/>
    <n v="11.144049187527449"/>
    <n v="11.144049187527449"/>
    <m/>
    <m/>
  </r>
  <r>
    <x v="0"/>
    <x v="0"/>
    <x v="5"/>
    <x v="10"/>
    <s v="Avista"/>
    <x v="19"/>
    <x v="3"/>
    <m/>
    <m/>
    <m/>
    <x v="4"/>
    <n v="0"/>
    <n v="0"/>
    <n v="539855"/>
    <n v="0"/>
    <n v="0"/>
    <n v="0"/>
    <n v="0"/>
    <n v="165278369"/>
    <n v="25379156"/>
    <n v="173721"/>
    <n v="0"/>
    <n v="0"/>
    <n v="3.2663378956746601E-3"/>
    <n v="2.0532422742724774E-3"/>
    <s v=""/>
    <s v=""/>
    <m/>
    <m/>
  </r>
  <r>
    <x v="0"/>
    <x v="0"/>
    <x v="2"/>
    <x v="13"/>
    <s v="Xcel"/>
    <x v="20"/>
    <x v="2"/>
    <m/>
    <s v="Business Energy Assessments"/>
    <m/>
    <x v="14"/>
    <n v="89580"/>
    <n v="138883.72093023255"/>
    <n v="64750"/>
    <n v="46562"/>
    <n v="386405636"/>
    <n v="90043838"/>
    <n v="110096"/>
    <n v="1224988736"/>
    <n v="185460106"/>
    <n v="1451821"/>
    <n v="4.6623062680219472E-5"/>
    <n v="7.2283818108867393E-5"/>
    <n v="5.2857628888434119E-5"/>
    <n v="3.3699969954724385E-5"/>
    <n v="4.0415452122513434E-2"/>
    <n v="7.9188328802171047E-3"/>
    <m/>
    <m/>
  </r>
  <r>
    <x v="0"/>
    <x v="0"/>
    <x v="2"/>
    <x v="13"/>
    <s v="Xcel"/>
    <x v="20"/>
    <x v="2"/>
    <m/>
    <s v="Business HVAC+R Systems"/>
    <m/>
    <x v="6"/>
    <n v="246740"/>
    <n v="382542.63565891475"/>
    <n v="375440"/>
    <n v="270915"/>
    <n v="386405636"/>
    <n v="90043838"/>
    <n v="110096"/>
    <n v="1224988736"/>
    <n v="185460106"/>
    <n v="1451821"/>
    <n v="1.2841900519889877E-4"/>
    <n v="1.9909923286650974E-4"/>
    <n v="3.0648445080886034E-4"/>
    <n v="1.9540257482319264E-4"/>
    <n v="0.23434096285523465"/>
    <n v="4.5915777861756137E-2"/>
    <m/>
    <m/>
  </r>
  <r>
    <x v="0"/>
    <x v="0"/>
    <x v="2"/>
    <x v="13"/>
    <s v="Xcel"/>
    <x v="20"/>
    <x v="2"/>
    <m/>
    <s v="Custom Efficiency"/>
    <m/>
    <x v="15"/>
    <n v="57980"/>
    <n v="89891.472868217053"/>
    <n v="103234"/>
    <n v="73384"/>
    <n v="386405636"/>
    <n v="90043838"/>
    <n v="110096"/>
    <n v="1224988736"/>
    <n v="185460106"/>
    <n v="1451821"/>
    <n v="3.0176436416601083E-5"/>
    <n v="4.6785172738916406E-5"/>
    <n v="8.4273427963993953E-5"/>
    <n v="5.3729462522100657E-5"/>
    <n v="6.4436274662788451E-2"/>
    <n v="1.262537132905533E-2"/>
    <m/>
    <m/>
  </r>
  <r>
    <x v="0"/>
    <x v="0"/>
    <x v="2"/>
    <x v="13"/>
    <s v="Xcel"/>
    <x v="20"/>
    <x v="2"/>
    <m/>
    <s v="Energy Management Systems"/>
    <m/>
    <x v="14"/>
    <n v="81310"/>
    <n v="126062.01550387597"/>
    <n v="85871"/>
    <n v="84115"/>
    <n v="386405636"/>
    <n v="90043838"/>
    <n v="110096"/>
    <n v="1224988736"/>
    <n v="185460106"/>
    <n v="1451821"/>
    <n v="4.2318834857430736E-5"/>
    <n v="6.5610596678187182E-5"/>
    <n v="7.0099420081524736E-5"/>
    <n v="4.4692665945670087E-5"/>
    <n v="5.3598691725287279E-2"/>
    <n v="1.0501901131384139E-2"/>
    <m/>
    <m/>
  </r>
  <r>
    <x v="0"/>
    <x v="0"/>
    <x v="2"/>
    <x v="13"/>
    <s v="Xcel"/>
    <x v="20"/>
    <x v="2"/>
    <m/>
    <s v="New Construction"/>
    <m/>
    <x v="0"/>
    <n v="997480"/>
    <n v="1546480.6201550388"/>
    <n v="853849"/>
    <n v="494059"/>
    <n v="386405636"/>
    <n v="90043838"/>
    <n v="110096"/>
    <n v="1224988736"/>
    <n v="185460106"/>
    <n v="1451821"/>
    <n v="5.1915129004538195E-4"/>
    <n v="8.0488572100059221E-4"/>
    <n v="6.970260010619396E-4"/>
    <n v="4.4439668951152839E-4"/>
    <n v="0.53295279350356717"/>
    <n v="0.10442451792958292"/>
    <m/>
    <m/>
  </r>
  <r>
    <x v="0"/>
    <x v="0"/>
    <x v="2"/>
    <x v="13"/>
    <s v="Xcel"/>
    <x v="20"/>
    <x v="2"/>
    <m/>
    <s v="Small Business Energy Solutions"/>
    <m/>
    <x v="10"/>
    <n v="129020"/>
    <n v="200031.00775193798"/>
    <n v="62879"/>
    <n v="40949"/>
    <n v="386405636"/>
    <n v="90043838"/>
    <n v="110096"/>
    <n v="1224988736"/>
    <n v="185460106"/>
    <n v="1451821"/>
    <n v="6.7150117738355841E-5"/>
    <n v="1.0410870967186951E-4"/>
    <n v="5.1330267905418517E-5"/>
    <n v="3.2726183950318375E-5"/>
    <n v="3.9247617204811153E-2"/>
    <n v="7.6900122420875874E-3"/>
    <m/>
    <m/>
  </r>
  <r>
    <x v="0"/>
    <x v="0"/>
    <x v="2"/>
    <x v="13"/>
    <s v="Xcel"/>
    <x v="20"/>
    <x v="2"/>
    <m/>
    <s v="General Advertising-Bus"/>
    <m/>
    <x v="4"/>
    <n v="0"/>
    <n v="0"/>
    <n v="69131"/>
    <n v="0"/>
    <n v="386405636"/>
    <n v="90043838"/>
    <n v="110096"/>
    <n v="1224988736"/>
    <n v="185460106"/>
    <n v="1451821"/>
    <n v="0"/>
    <n v="0"/>
    <n v="5.643398830403613E-5"/>
    <n v="3.598011772880389E-5"/>
    <n v="4.3149970975775699E-2"/>
    <n v="8.4546229473712528E-3"/>
    <m/>
    <m/>
  </r>
  <r>
    <x v="0"/>
    <x v="0"/>
    <x v="2"/>
    <x v="13"/>
    <s v="Xcel"/>
    <x v="20"/>
    <x v="0"/>
    <m/>
    <s v="Energy Efficient Showerhead"/>
    <m/>
    <x v="6"/>
    <n v="455740"/>
    <n v="706573.64341085264"/>
    <n v="548327"/>
    <n v="180785"/>
    <n v="838583100"/>
    <n v="95416268"/>
    <n v="1341725"/>
    <n v="1224988736"/>
    <n v="185460106"/>
    <n v="1451821"/>
    <n v="2.3719574219561535E-4"/>
    <n v="3.6774533673738813E-4"/>
    <n v="4.4761799344414545E-4"/>
    <n v="2.8538383668516077E-4"/>
    <n v="0.10172948302891439"/>
    <n v="6.7059611995533661E-2"/>
    <m/>
    <m/>
  </r>
  <r>
    <x v="0"/>
    <x v="0"/>
    <x v="2"/>
    <x v="13"/>
    <s v="Xcel"/>
    <x v="20"/>
    <x v="0"/>
    <m/>
    <s v="Home Energy Insights"/>
    <m/>
    <x v="6"/>
    <n v="1440540"/>
    <n v="2233395.3488372094"/>
    <n v="799744"/>
    <n v="0"/>
    <n v="838583100"/>
    <n v="95416268"/>
    <n v="1341725"/>
    <n v="1224988736"/>
    <n v="185460106"/>
    <n v="1451821"/>
    <n v="7.4974756322129213E-4"/>
    <n v="1.1623993228237089E-3"/>
    <n v="6.5285824799616774E-4"/>
    <n v="4.1623704666364633E-4"/>
    <n v="0.14837413382065101"/>
    <n v="9.780755340473124E-2"/>
    <m/>
    <m/>
  </r>
  <r>
    <x v="0"/>
    <x v="0"/>
    <x v="2"/>
    <x v="13"/>
    <s v="Xcel"/>
    <x v="20"/>
    <x v="0"/>
    <m/>
    <s v="Home Energy Squad"/>
    <m/>
    <x v="6"/>
    <n v="328510"/>
    <n v="509317.82945736434"/>
    <n v="3228702"/>
    <n v="55489"/>
    <n v="838583100"/>
    <n v="95416268"/>
    <n v="1341725"/>
    <n v="1224988736"/>
    <n v="185460106"/>
    <n v="1451821"/>
    <n v="1.7097725297029356E-4"/>
    <n v="2.6508101235704428E-4"/>
    <n v="2.6356993375651742E-3"/>
    <n v="1.6804194655252284E-3"/>
    <n v="0.59901151195257929"/>
    <n v="0.39486566112776411"/>
    <m/>
    <m/>
  </r>
  <r>
    <x v="0"/>
    <x v="0"/>
    <x v="2"/>
    <x v="13"/>
    <s v="Xcel"/>
    <x v="20"/>
    <x v="0"/>
    <m/>
    <s v="Insulation &amp; Air Sealing"/>
    <m/>
    <x v="6"/>
    <n v="603040"/>
    <n v="934945.73643410846"/>
    <n v="925429"/>
    <n v="893402"/>
    <n v="838583100"/>
    <n v="95416268"/>
    <n v="1341725"/>
    <n v="1224988736"/>
    <n v="185460106"/>
    <n v="1451821"/>
    <n v="3.1385992094976051E-4"/>
    <n v="4.8660452860427983E-4"/>
    <n v="7.5545919142231202E-4"/>
    <n v="4.8165142077576269E-4"/>
    <n v="0.17169209933117505"/>
    <n v="0.11317865009276347"/>
    <m/>
    <m/>
  </r>
  <r>
    <x v="0"/>
    <x v="0"/>
    <x v="2"/>
    <x v="13"/>
    <s v="Xcel"/>
    <x v="20"/>
    <x v="0"/>
    <m/>
    <s v="Multifamily Buildings Efficiency"/>
    <m/>
    <x v="6"/>
    <n v="159960"/>
    <n v="248000"/>
    <n v="340480"/>
    <n v="340480"/>
    <n v="838583100"/>
    <n v="95416268"/>
    <n v="1341725"/>
    <n v="1224988736"/>
    <n v="185460106"/>
    <n v="1451821"/>
    <n v="8.325323851672144E-5"/>
    <n v="1.2907478839801773E-4"/>
    <n v="2.7794541287929036E-4"/>
    <n v="1.7720719336192369E-4"/>
    <n v="6.3168245192530684E-2"/>
    <n v="4.1640219599325401E-2"/>
    <m/>
    <m/>
  </r>
  <r>
    <x v="0"/>
    <x v="0"/>
    <x v="2"/>
    <x v="13"/>
    <s v="Xcel"/>
    <x v="20"/>
    <x v="0"/>
    <m/>
    <s v="Residential Heating &amp; Cooling"/>
    <m/>
    <x v="6"/>
    <n v="800280"/>
    <n v="1240744.1860465116"/>
    <n v="1183623"/>
    <n v="834616"/>
    <n v="838583100"/>
    <n v="95416268"/>
    <n v="1341725"/>
    <n v="1224988736"/>
    <n v="185460106"/>
    <n v="1451821"/>
    <n v="4.1651601475470009E-4"/>
    <n v="6.4576126318558152E-4"/>
    <n v="9.6623174174231754E-4"/>
    <n v="6.1603180753236678E-4"/>
    <n v="0.21959406684539104"/>
    <n v="0.14475540896032757"/>
    <m/>
    <m/>
  </r>
  <r>
    <x v="0"/>
    <x v="0"/>
    <x v="2"/>
    <x v="13"/>
    <s v="Xcel"/>
    <x v="20"/>
    <x v="0"/>
    <m/>
    <s v="Residential New Home Construction"/>
    <m/>
    <x v="0"/>
    <n v="898560"/>
    <n v="1393116.2790697673"/>
    <n v="1899992"/>
    <n v="1339396"/>
    <n v="838583100"/>
    <n v="95416268"/>
    <n v="1341725"/>
    <n v="1224988736"/>
    <n v="185460106"/>
    <n v="1451821"/>
    <n v="4.6766710428597911E-4"/>
    <n v="7.2506527796275828E-4"/>
    <n v="1.5510281394130305E-3"/>
    <n v="9.8887526354002613E-4"/>
    <n v="0.35249988404560256"/>
    <n v="0.2323663184826171"/>
    <m/>
    <m/>
  </r>
  <r>
    <x v="0"/>
    <x v="0"/>
    <x v="2"/>
    <x v="13"/>
    <s v="Xcel"/>
    <x v="20"/>
    <x v="0"/>
    <m/>
    <s v="School Education Kits"/>
    <m/>
    <x v="13"/>
    <n v="699160"/>
    <n v="1083968.992248062"/>
    <n v="741537"/>
    <n v="211980"/>
    <n v="838583100"/>
    <n v="95416268"/>
    <n v="1341725"/>
    <n v="1224988736"/>
    <n v="185460106"/>
    <n v="1451821"/>
    <n v="3.6388681071112129E-4"/>
    <n v="5.6416559800173845E-4"/>
    <n v="6.053418927110853E-4"/>
    <n v="3.8594246517863261E-4"/>
    <n v="0.13757516164043004"/>
    <n v="9.0688920115792299E-2"/>
    <m/>
    <m/>
  </r>
  <r>
    <x v="0"/>
    <x v="0"/>
    <x v="2"/>
    <x v="13"/>
    <s v="Xcel"/>
    <x v="20"/>
    <x v="0"/>
    <m/>
    <s v="Whole Home Efficiency"/>
    <m/>
    <x v="6"/>
    <n v="4260"/>
    <n v="6604.6511627906975"/>
    <n v="26657"/>
    <n v="5803"/>
    <n v="838583100"/>
    <n v="95416268"/>
    <n v="1341725"/>
    <n v="1224988736"/>
    <n v="185460106"/>
    <n v="1451821"/>
    <n v="2.2171717684498209E-6"/>
    <n v="3.4374756099997221E-6"/>
    <n v="2.176101642129712E-5"/>
    <n v="1.3873978364217575E-5"/>
    <n v="4.945594196714316E-3"/>
    <n v="3.2601131751034342E-3"/>
    <m/>
    <m/>
  </r>
  <r>
    <x v="0"/>
    <x v="0"/>
    <x v="2"/>
    <x v="13"/>
    <s v="Xcel"/>
    <x v="20"/>
    <x v="0"/>
    <m/>
    <s v="General Advertising-Res"/>
    <m/>
    <x v="4"/>
    <n v="0"/>
    <n v="0"/>
    <n v="170546"/>
    <n v="0"/>
    <n v="838583100"/>
    <n v="95416268"/>
    <n v="1341725"/>
    <n v="1224988736"/>
    <n v="185460106"/>
    <n v="1451821"/>
    <n v="0"/>
    <n v="0"/>
    <n v="1.3922250465493261E-4"/>
    <n v="8.8762858315033605E-5"/>
    <n v="3.1640893869259099E-2"/>
    <n v="2.08575331643167E-2"/>
    <m/>
    <m/>
  </r>
  <r>
    <x v="0"/>
    <x v="0"/>
    <x v="2"/>
    <x v="13"/>
    <s v="Xcel"/>
    <x v="20"/>
    <x v="1"/>
    <n v="1"/>
    <s v="All-Electric Affordable New Home"/>
    <m/>
    <x v="4"/>
    <n v="0"/>
    <n v="0"/>
    <n v="25218"/>
    <n v="0"/>
    <n v="0"/>
    <n v="0"/>
    <n v="0"/>
    <n v="1224988736"/>
    <n v="185460106"/>
    <n v="1451821"/>
    <n v="0"/>
    <n v="0"/>
    <n v="2.0586311742216706E-5"/>
    <n v="1.3125032313795207E-5"/>
    <n v="2.1289097125490694E-2"/>
    <n v="3.0841255223677984E-3"/>
    <m/>
    <m/>
  </r>
  <r>
    <x v="0"/>
    <x v="0"/>
    <x v="2"/>
    <x v="13"/>
    <s v="Xcel"/>
    <x v="20"/>
    <x v="1"/>
    <n v="1"/>
    <s v="Energy Savings Kit"/>
    <m/>
    <x v="13"/>
    <n v="75590"/>
    <n v="117193.7984496124"/>
    <n v="161910"/>
    <n v="29996"/>
    <n v="0"/>
    <n v="0"/>
    <n v="0"/>
    <n v="1224988736"/>
    <n v="185460106"/>
    <n v="1451821"/>
    <n v="3.9341787318573233E-5"/>
    <n v="6.0995019098563139E-5"/>
    <n v="1.3217264391237636E-4"/>
    <n v="8.42681410867865E-5"/>
    <n v="0.13668481701912119"/>
    <n v="1.9801362650748285E-2"/>
    <m/>
    <m/>
  </r>
  <r>
    <x v="0"/>
    <x v="0"/>
    <x v="2"/>
    <x v="13"/>
    <s v="Xcel"/>
    <x v="20"/>
    <x v="1"/>
    <n v="1"/>
    <s v="Income Qualified Home Energy Squad"/>
    <m/>
    <x v="13"/>
    <n v="56950"/>
    <n v="88294.573643410855"/>
    <n v="527530"/>
    <n v="117520"/>
    <n v="0"/>
    <n v="0"/>
    <n v="0"/>
    <n v="1224988736"/>
    <n v="185460106"/>
    <n v="1451821"/>
    <n v="2.9640359674464153E-5"/>
    <n v="4.5954046006921167E-5"/>
    <n v="4.3064069447900619E-4"/>
    <n v="2.7455977065970279E-4"/>
    <n v="0.44534211303870669"/>
    <n v="6.4516168483412031E-2"/>
    <m/>
    <m/>
  </r>
  <r>
    <x v="0"/>
    <x v="0"/>
    <x v="2"/>
    <x v="13"/>
    <s v="Xcel"/>
    <x v="20"/>
    <x v="1"/>
    <n v="1"/>
    <s v="Multifamily Weatherization"/>
    <m/>
    <x v="1"/>
    <n v="101040"/>
    <n v="156651.16279069768"/>
    <n v="271762"/>
    <n v="219648"/>
    <n v="0"/>
    <n v="0"/>
    <n v="0"/>
    <n v="1224988736"/>
    <n v="185460106"/>
    <n v="1451821"/>
    <n v="5.258756701506335E-5"/>
    <n v="8.153111165126102E-5"/>
    <n v="2.2184857053248854E-4"/>
    <n v="1.4144202679283103E-4"/>
    <n v="0.22942214342999451"/>
    <n v="3.3236105964379314E-2"/>
    <m/>
    <m/>
  </r>
  <r>
    <x v="0"/>
    <x v="0"/>
    <x v="2"/>
    <x v="13"/>
    <s v="Xcel"/>
    <x v="20"/>
    <x v="1"/>
    <n v="1"/>
    <s v="Non-Profit"/>
    <m/>
    <x v="1"/>
    <n v="101770"/>
    <n v="157782.94573643411"/>
    <n v="298494"/>
    <n v="219847"/>
    <n v="0"/>
    <n v="0"/>
    <n v="0"/>
    <n v="1224988736"/>
    <n v="185460106"/>
    <n v="1451821"/>
    <n v="5.2967504900267194E-5"/>
    <n v="8.2120162636073167E-5"/>
    <n v="2.436708120065522E-4"/>
    <n v="1.5535503987128187E-4"/>
    <n v="0.25198936304925923"/>
    <n v="3.6505391532780297E-2"/>
    <m/>
    <m/>
  </r>
  <r>
    <x v="0"/>
    <x v="0"/>
    <x v="2"/>
    <x v="13"/>
    <s v="Xcel"/>
    <x v="20"/>
    <x v="1"/>
    <n v="1"/>
    <s v="Single-Family Weatherization"/>
    <m/>
    <x v="1"/>
    <n v="600600"/>
    <n v="931162.79069767438"/>
    <n v="5014219"/>
    <n v="4683061"/>
    <n v="0"/>
    <n v="0"/>
    <n v="0"/>
    <n v="1224988736"/>
    <n v="185460106"/>
    <n v="1451821"/>
    <n v="3.1258999158003808E-4"/>
    <n v="4.8463564586052416E-4"/>
    <n v="4.0932776381055634E-3"/>
    <n v="2.6097147435738713E-3"/>
    <n v="4.233015913215989"/>
    <n v="0.61323184997388924"/>
    <m/>
    <m/>
  </r>
  <r>
    <x v="0"/>
    <x v="0"/>
    <x v="2"/>
    <x v="13"/>
    <s v="Xcel"/>
    <x v="20"/>
    <x v="1"/>
    <n v="1"/>
    <s v="Tiered Geographic Prequalification"/>
    <m/>
    <x v="1"/>
    <n v="248600"/>
    <n v="385426.3565891473"/>
    <n v="1631890"/>
    <n v="1061361"/>
    <n v="0"/>
    <n v="0"/>
    <n v="0"/>
    <n v="1224988736"/>
    <n v="185460106"/>
    <n v="1451821"/>
    <n v="1.2938706611188391E-4"/>
    <n v="2.0060010249904484E-4"/>
    <n v="1.3321673514555485E-3"/>
    <n v="8.4933813080177885E-4"/>
    <n v="1.377645519395551"/>
    <n v="0.19957782531115817"/>
    <m/>
    <m/>
  </r>
  <r>
    <x v="0"/>
    <x v="0"/>
    <x v="2"/>
    <x v="13"/>
    <s v="Xcel"/>
    <x v="20"/>
    <x v="2"/>
    <m/>
    <s v="Business Education"/>
    <m/>
    <x v="4"/>
    <n v="0"/>
    <n v="0"/>
    <n v="25805"/>
    <n v="0"/>
    <n v="386405636"/>
    <n v="90043838"/>
    <n v="110096"/>
    <n v="1224988736"/>
    <n v="185460106"/>
    <n v="1451821"/>
    <n v="0"/>
    <n v="0"/>
    <n v="2.1065499821869381E-5"/>
    <n v="1.3430544010527612E-5"/>
    <n v="1.6106884046663463E-2"/>
    <n v="3.1559147872432798E-3"/>
    <m/>
    <m/>
  </r>
  <r>
    <x v="0"/>
    <x v="0"/>
    <x v="2"/>
    <x v="13"/>
    <s v="Xcel"/>
    <x v="20"/>
    <x v="2"/>
    <m/>
    <s v="Business Energy Analysis"/>
    <m/>
    <x v="4"/>
    <n v="0"/>
    <n v="0"/>
    <n v="29880"/>
    <n v="0"/>
    <n v="386405636"/>
    <n v="90043838"/>
    <n v="110096"/>
    <n v="1224988736"/>
    <n v="185460106"/>
    <n v="1451821"/>
    <n v="0"/>
    <n v="0"/>
    <n v="2.4392061022183962E-5"/>
    <n v="1.5551430150535363E-5"/>
    <n v="1.8650404778698091E-2"/>
    <n v="3.6542814897434299E-3"/>
    <m/>
    <m/>
  </r>
  <r>
    <x v="0"/>
    <x v="0"/>
    <x v="2"/>
    <x v="13"/>
    <s v="Xcel"/>
    <x v="20"/>
    <x v="1"/>
    <m/>
    <s v="Community Energy Reporting"/>
    <m/>
    <x v="4"/>
    <n v="0"/>
    <n v="0"/>
    <n v="38258"/>
    <n v="0"/>
    <n v="0"/>
    <n v="0"/>
    <n v="0"/>
    <n v="1224988736"/>
    <n v="185460106"/>
    <n v="1451821"/>
    <n v="0"/>
    <n v="0"/>
    <n v="3.1231307583223363E-5"/>
    <n v="1.9911867961820011E-5"/>
    <n v="3.2297496939766156E-2"/>
    <n v="4.6788989703682778E-3"/>
    <m/>
    <m/>
  </r>
  <r>
    <x v="0"/>
    <x v="0"/>
    <x v="2"/>
    <x v="13"/>
    <s v="Xcel"/>
    <x v="20"/>
    <x v="1"/>
    <m/>
    <s v="Consumer Eduction"/>
    <m/>
    <x v="4"/>
    <n v="0"/>
    <n v="0"/>
    <n v="77661"/>
    <n v="0"/>
    <n v="0"/>
    <n v="0"/>
    <n v="0"/>
    <n v="1224988736"/>
    <n v="185460106"/>
    <n v="1451821"/>
    <n v="0"/>
    <n v="0"/>
    <n v="6.3397317638682355E-5"/>
    <n v="4.0419665894267963E-5"/>
    <n v="6.5561605673040396E-2"/>
    <n v="9.4978298117458001E-3"/>
    <m/>
    <m/>
  </r>
  <r>
    <x v="0"/>
    <x v="0"/>
    <x v="2"/>
    <x v="13"/>
    <s v="Xcel"/>
    <x v="20"/>
    <x v="2"/>
    <m/>
    <s v="Energy Benchmarking"/>
    <m/>
    <x v="4"/>
    <n v="0"/>
    <n v="0"/>
    <n v="46959"/>
    <n v="0"/>
    <n v="386405636"/>
    <n v="90043838"/>
    <n v="110096"/>
    <n v="1224988736"/>
    <n v="185460106"/>
    <n v="1451821"/>
    <n v="0"/>
    <n v="0"/>
    <n v="3.8334230038177264E-5"/>
    <n v="2.4440415275735945E-5"/>
    <n v="2.9310721486040286E-2"/>
    <n v="5.7430188914612355E-3"/>
    <m/>
    <m/>
  </r>
  <r>
    <x v="0"/>
    <x v="0"/>
    <x v="2"/>
    <x v="13"/>
    <s v="Xcel"/>
    <x v="20"/>
    <x v="0"/>
    <m/>
    <s v="Home Energy Audit"/>
    <m/>
    <x v="4"/>
    <n v="0"/>
    <n v="0"/>
    <n v="629622"/>
    <n v="0"/>
    <n v="838583100"/>
    <n v="95416268"/>
    <n v="1341725"/>
    <n v="1224988736"/>
    <n v="185460106"/>
    <n v="1451821"/>
    <n v="0"/>
    <n v="0"/>
    <n v="5.1398186897287515E-4"/>
    <n v="3.2769486459974484E-4"/>
    <n v="0.11681190341462509"/>
    <n v="7.7001874837190024E-2"/>
    <m/>
    <m/>
  </r>
  <r>
    <x v="0"/>
    <x v="0"/>
    <x v="2"/>
    <x v="13"/>
    <s v="Xcel"/>
    <x v="20"/>
    <x v="2"/>
    <m/>
    <s v="Partners in Energy"/>
    <m/>
    <x v="4"/>
    <n v="0"/>
    <n v="0"/>
    <n v="167491"/>
    <n v="0"/>
    <n v="386405636"/>
    <n v="90043838"/>
    <n v="110096"/>
    <n v="1224988736"/>
    <n v="185460106"/>
    <n v="1451821"/>
    <n v="0"/>
    <n v="0"/>
    <n v="1.3672860417224278E-4"/>
    <n v="8.7172844288598342E-5"/>
    <n v="0.1045440075899907"/>
    <n v="2.0483911010663214E-2"/>
    <m/>
    <m/>
  </r>
  <r>
    <x v="0"/>
    <x v="0"/>
    <x v="2"/>
    <x v="13"/>
    <s v="Xcel"/>
    <x v="20"/>
    <x v="4"/>
    <m/>
    <s v="EE Market Research"/>
    <m/>
    <x v="4"/>
    <n v="0"/>
    <n v="0"/>
    <n v="320617"/>
    <n v="0"/>
    <n v="0"/>
    <n v="0"/>
    <n v="0"/>
    <n v="1224988736"/>
    <n v="185460106"/>
    <n v="1451821"/>
    <n v="0"/>
    <n v="0"/>
    <n v="2.617305699046036E-4"/>
    <n v="1.6686923964438408E-4"/>
    <s v=""/>
    <n v="3.9211002958402588E-2"/>
    <m/>
    <m/>
  </r>
  <r>
    <x v="0"/>
    <x v="0"/>
    <x v="2"/>
    <x v="13"/>
    <s v="Xcel"/>
    <x v="20"/>
    <x v="4"/>
    <m/>
    <s v="EE EM&amp;V"/>
    <m/>
    <x v="4"/>
    <n v="0"/>
    <n v="0"/>
    <n v="376476"/>
    <n v="0"/>
    <n v="0"/>
    <n v="0"/>
    <n v="0"/>
    <n v="1224988736"/>
    <n v="185460106"/>
    <n v="1451821"/>
    <n v="0"/>
    <n v="0"/>
    <n v="3.0733017287107528E-4"/>
    <n v="1.9594177434246825E-4"/>
    <s v=""/>
    <n v="4.6042479187839609E-2"/>
    <m/>
    <m/>
  </r>
  <r>
    <x v="0"/>
    <x v="0"/>
    <x v="2"/>
    <x v="13"/>
    <s v="Xcel"/>
    <x v="20"/>
    <x v="4"/>
    <m/>
    <s v="EE Planning &amp; Administration"/>
    <m/>
    <x v="4"/>
    <n v="0"/>
    <n v="0"/>
    <n v="145572"/>
    <n v="0"/>
    <n v="0"/>
    <n v="0"/>
    <n v="0"/>
    <n v="1224988736"/>
    <n v="185460106"/>
    <n v="1451821"/>
    <n v="0"/>
    <n v="0"/>
    <n v="1.1883537841771632E-4"/>
    <n v="7.5764818938210636E-5"/>
    <s v=""/>
    <n v="1.7803248494810259E-2"/>
    <m/>
    <m/>
  </r>
  <r>
    <x v="0"/>
    <x v="0"/>
    <x v="2"/>
    <x v="13"/>
    <s v="Xcel"/>
    <x v="20"/>
    <x v="4"/>
    <m/>
    <s v="EE Product Development"/>
    <m/>
    <x v="4"/>
    <n v="0"/>
    <n v="0"/>
    <n v="449199"/>
    <n v="0"/>
    <n v="0"/>
    <n v="0"/>
    <n v="0"/>
    <n v="1224988736"/>
    <n v="185460106"/>
    <n v="1451821"/>
    <n v="0"/>
    <n v="0"/>
    <n v="3.6669643303560955E-4"/>
    <n v="2.337913946516176E-4"/>
    <s v=""/>
    <n v="5.4936398624874795E-2"/>
    <m/>
    <m/>
  </r>
  <r>
    <x v="0"/>
    <x v="0"/>
    <x v="3"/>
    <x v="13"/>
    <s v="Xcel"/>
    <x v="20"/>
    <x v="2"/>
    <m/>
    <s v="Business Energy Assessments"/>
    <m/>
    <x v="14"/>
    <n v="89580"/>
    <n v="134101.79640718561"/>
    <n v="67383"/>
    <n v="48644"/>
    <n v="386405636"/>
    <n v="90043838"/>
    <n v="110096"/>
    <n v="1224988736"/>
    <n v="185460106"/>
    <n v="1451821"/>
    <n v="4.6623062680219472E-5"/>
    <n v="6.9795004012304586E-5"/>
    <n v="5.500703640755763E-5"/>
    <n v="3.5070348655740436E-5"/>
    <n v="4.6177093398573218E-2"/>
    <n v="7.7726357266940894E-3"/>
    <m/>
    <m/>
  </r>
  <r>
    <x v="0"/>
    <x v="0"/>
    <x v="3"/>
    <x v="13"/>
    <s v="Xcel"/>
    <x v="20"/>
    <x v="2"/>
    <m/>
    <s v="Business HVAC+R Systems"/>
    <m/>
    <x v="2"/>
    <n v="222580"/>
    <n v="333203.59281437122"/>
    <n v="264727"/>
    <n v="184942"/>
    <n v="386405636"/>
    <n v="90043838"/>
    <n v="110096"/>
    <n v="1224988736"/>
    <n v="185460106"/>
    <n v="1451821"/>
    <n v="1.1584462258722092E-4"/>
    <n v="1.7342009369344447E-4"/>
    <n v="2.1610566058298842E-4"/>
    <n v="1.3778057059775017E-4"/>
    <n v="0.18141554107303168"/>
    <n v="3.0536285680669399E-2"/>
    <m/>
    <m/>
  </r>
  <r>
    <x v="0"/>
    <x v="0"/>
    <x v="3"/>
    <x v="13"/>
    <s v="Xcel"/>
    <x v="20"/>
    <x v="2"/>
    <m/>
    <s v="Custom Efficiency"/>
    <m/>
    <x v="2"/>
    <n v="82830"/>
    <n v="123997.00598802394"/>
    <n v="181440"/>
    <n v="154900"/>
    <n v="386405636"/>
    <n v="90043838"/>
    <n v="110096"/>
    <n v="1224988736"/>
    <n v="185460106"/>
    <n v="1451821"/>
    <n v="4.3109938399225035E-5"/>
    <n v="6.453583592698359E-5"/>
    <n v="1.4811564765277973E-4"/>
    <n v="9.4432780673130395E-5"/>
    <n v="0.12433954894019449"/>
    <n v="2.0929121978115778E-2"/>
    <m/>
    <m/>
  </r>
  <r>
    <x v="0"/>
    <x v="0"/>
    <x v="3"/>
    <x v="13"/>
    <s v="Xcel"/>
    <x v="20"/>
    <x v="2"/>
    <m/>
    <s v="Energy Management Systems"/>
    <m/>
    <x v="2"/>
    <n v="88910"/>
    <n v="133098.80239520958"/>
    <n v="94378"/>
    <n v="92617"/>
    <n v="386405636"/>
    <n v="90043838"/>
    <n v="110096"/>
    <n v="1224988736"/>
    <n v="185460106"/>
    <n v="1451821"/>
    <n v="4.6274352566402252E-5"/>
    <n v="6.9272982883835692E-5"/>
    <n v="7.7043973733322558E-5"/>
    <n v="4.9120243465435953E-5"/>
    <n v="6.4676576002412237E-2"/>
    <n v="1.0886511651513508E-2"/>
    <m/>
    <m/>
  </r>
  <r>
    <x v="0"/>
    <x v="0"/>
    <x v="3"/>
    <x v="13"/>
    <s v="Xcel"/>
    <x v="20"/>
    <x v="2"/>
    <m/>
    <s v="New Construction"/>
    <m/>
    <x v="0"/>
    <n v="846310"/>
    <n v="1266931.1377245509"/>
    <n v="844738"/>
    <n v="418548"/>
    <n v="386405636"/>
    <n v="90043838"/>
    <n v="110096"/>
    <n v="1224988736"/>
    <n v="185460106"/>
    <n v="1451821"/>
    <n v="4.4047292003679991E-4"/>
    <n v="6.5939059885748502E-4"/>
    <n v="6.8958838165186201E-4"/>
    <n v="4.3965475242647056E-4"/>
    <n v="0.57889297780336202"/>
    <n v="9.744061200148571E-2"/>
    <m/>
    <m/>
  </r>
  <r>
    <x v="0"/>
    <x v="0"/>
    <x v="3"/>
    <x v="13"/>
    <s v="Xcel"/>
    <x v="20"/>
    <x v="2"/>
    <m/>
    <s v="Small Business Energy Solutions"/>
    <m/>
    <x v="10"/>
    <n v="129020"/>
    <n v="193143.7125748503"/>
    <n v="58857"/>
    <n v="40994"/>
    <n v="386405636"/>
    <n v="90043838"/>
    <n v="110096"/>
    <n v="1224988736"/>
    <n v="185460106"/>
    <n v="1451821"/>
    <n v="6.7150117738355841E-5"/>
    <n v="1.0052412835083211E-4"/>
    <n v="4.8046972409058949E-5"/>
    <n v="3.0632882341702137E-5"/>
    <n v="4.0334285890503897E-2"/>
    <n v="6.7891607818891114E-3"/>
    <m/>
    <m/>
  </r>
  <r>
    <x v="0"/>
    <x v="0"/>
    <x v="3"/>
    <x v="13"/>
    <s v="Xcel"/>
    <x v="20"/>
    <x v="2"/>
    <m/>
    <s v="General Advertising-Bus"/>
    <m/>
    <x v="4"/>
    <n v="0"/>
    <n v="0"/>
    <n v="69131"/>
    <n v="0"/>
    <n v="386405636"/>
    <n v="90043838"/>
    <n v="110096"/>
    <n v="1224988736"/>
    <n v="185460106"/>
    <n v="1451821"/>
    <n v="0"/>
    <n v="0"/>
    <n v="5.643398830403613E-5"/>
    <n v="3.598011772880389E-5"/>
    <n v="4.7374985437525267E-2"/>
    <n v="7.9742676998959539E-3"/>
    <m/>
    <m/>
  </r>
  <r>
    <x v="0"/>
    <x v="0"/>
    <x v="3"/>
    <x v="13"/>
    <s v="Xcel"/>
    <x v="20"/>
    <x v="0"/>
    <m/>
    <s v="Energy Efficient Showerhead"/>
    <m/>
    <x v="2"/>
    <n v="438210"/>
    <n v="656002.99401197606"/>
    <n v="542050"/>
    <n v="173831"/>
    <n v="838583100"/>
    <n v="95416268"/>
    <n v="1341725"/>
    <n v="1224988736"/>
    <n v="185460106"/>
    <n v="1451821"/>
    <n v="2.2807202832215867E-4"/>
    <n v="3.4142519209903998E-4"/>
    <n v="4.4249386469460565E-4"/>
    <n v="2.8211689133526418E-4"/>
    <n v="9.262297042831609E-2"/>
    <n v="6.2525521209422716E-2"/>
    <m/>
    <m/>
  </r>
  <r>
    <x v="0"/>
    <x v="0"/>
    <x v="3"/>
    <x v="13"/>
    <s v="Xcel"/>
    <x v="20"/>
    <x v="0"/>
    <m/>
    <s v="Home Energy Insights"/>
    <m/>
    <x v="2"/>
    <n v="2195350"/>
    <n v="3286452.0958083831"/>
    <n v="1270660"/>
    <n v="0"/>
    <n v="838583100"/>
    <n v="95416268"/>
    <n v="1341725"/>
    <n v="1224988736"/>
    <n v="185460106"/>
    <n v="1451821"/>
    <n v="1.142598131893501E-3"/>
    <n v="1.7104762453495521E-3"/>
    <n v="1.0372830073108526E-3"/>
    <n v="6.6133133316865014E-4"/>
    <n v="0.21712444166487246"/>
    <n v="0.14657075690428018"/>
    <m/>
    <m/>
  </r>
  <r>
    <x v="0"/>
    <x v="0"/>
    <x v="3"/>
    <x v="13"/>
    <s v="Xcel"/>
    <x v="20"/>
    <x v="0"/>
    <m/>
    <s v="Home Energy Squad"/>
    <m/>
    <x v="2"/>
    <n v="449420"/>
    <n v="672784.43113772455"/>
    <n v="3766303"/>
    <n v="744367"/>
    <n v="838583100"/>
    <n v="95416268"/>
    <n v="1341725"/>
    <n v="1224988736"/>
    <n v="185460106"/>
    <n v="1451821"/>
    <n v="2.3390641694289165E-4"/>
    <n v="3.5015930680073603E-4"/>
    <n v="3.0745613321296696E-3"/>
    <n v="1.9602208176121749E-3"/>
    <n v="0.64356825273144214"/>
    <n v="0.43444342423690141"/>
    <m/>
    <m/>
  </r>
  <r>
    <x v="0"/>
    <x v="0"/>
    <x v="3"/>
    <x v="13"/>
    <s v="Xcel"/>
    <x v="20"/>
    <x v="0"/>
    <m/>
    <s v="Insulation &amp; Air Sealing"/>
    <m/>
    <x v="2"/>
    <n v="802230"/>
    <n v="1200943.1137724551"/>
    <n v="1253827"/>
    <n v="1220840"/>
    <n v="838583100"/>
    <n v="95416268"/>
    <n v="1341725"/>
    <n v="1224988736"/>
    <n v="185460106"/>
    <n v="1451821"/>
    <n v="4.1753091732476524E-4"/>
    <n v="6.2504628342030728E-4"/>
    <n v="1.0235416564679334E-3"/>
    <n v="6.5257038190613464E-4"/>
    <n v="0.21424809730324559"/>
    <n v="0.14462906868636999"/>
    <m/>
    <m/>
  </r>
  <r>
    <x v="0"/>
    <x v="0"/>
    <x v="3"/>
    <x v="13"/>
    <s v="Xcel"/>
    <x v="20"/>
    <x v="0"/>
    <m/>
    <s v="Multifamily Buildings Efficiency"/>
    <m/>
    <x v="2"/>
    <n v="209990"/>
    <n v="314356.2874251497"/>
    <n v="404530"/>
    <n v="404530"/>
    <n v="838583100"/>
    <n v="95416268"/>
    <n v="1341725"/>
    <n v="1224988736"/>
    <n v="185460106"/>
    <n v="1451821"/>
    <n v="1.0929199522459575E-4"/>
    <n v="1.63610771294305E-4"/>
    <n v="3.3023160794190358E-4"/>
    <n v="2.1054283931713755E-4"/>
    <n v="6.912419560440311E-2"/>
    <n v="4.6662575583152427E-2"/>
    <m/>
    <m/>
  </r>
  <r>
    <x v="0"/>
    <x v="0"/>
    <x v="3"/>
    <x v="13"/>
    <s v="Xcel"/>
    <x v="20"/>
    <x v="0"/>
    <m/>
    <s v="Residential Heating &amp; Cooling"/>
    <m/>
    <x v="2"/>
    <n v="778290"/>
    <n v="1165104.7904191616"/>
    <n v="1008039"/>
    <n v="800851"/>
    <n v="838583100"/>
    <n v="95416268"/>
    <n v="1341725"/>
    <n v="1224988736"/>
    <n v="185460106"/>
    <n v="1451821"/>
    <n v="4.0507103654150497E-4"/>
    <n v="6.0639376727770187E-4"/>
    <n v="8.2289654620954812E-4"/>
    <n v="5.2464685734657018E-4"/>
    <n v="0.17224899268995356"/>
    <n v="0.11627739853228534"/>
    <m/>
    <m/>
  </r>
  <r>
    <x v="0"/>
    <x v="0"/>
    <x v="3"/>
    <x v="13"/>
    <s v="Xcel"/>
    <x v="20"/>
    <x v="0"/>
    <m/>
    <s v="Residential New Home Construction"/>
    <m/>
    <x v="0"/>
    <n v="274730"/>
    <n v="411272.45508982032"/>
    <n v="202507"/>
    <n v="0"/>
    <n v="838583100"/>
    <n v="95416268"/>
    <n v="1341725"/>
    <n v="1224988736"/>
    <n v="185460106"/>
    <n v="1451821"/>
    <n v="1.429867605507557E-4"/>
    <n v="2.1405203675262826E-4"/>
    <n v="1.6531335680787843E-4"/>
    <n v="1.0539737166982813E-4"/>
    <n v="3.4603449631080169E-2"/>
    <n v="2.3359202515554962E-2"/>
    <m/>
    <m/>
  </r>
  <r>
    <x v="0"/>
    <x v="0"/>
    <x v="3"/>
    <x v="13"/>
    <s v="Xcel"/>
    <x v="20"/>
    <x v="0"/>
    <m/>
    <s v="School Education Kits"/>
    <m/>
    <x v="13"/>
    <n v="699740"/>
    <n v="1047514.9700598802"/>
    <n v="761283"/>
    <n v="211980"/>
    <n v="838583100"/>
    <n v="95416268"/>
    <n v="1341725"/>
    <n v="1224988736"/>
    <n v="185460106"/>
    <n v="1451821"/>
    <n v="3.6418867916785861E-4"/>
    <n v="5.4519263348481821E-4"/>
    <n v="6.2146122460345629E-4"/>
    <n v="3.9621952474196831E-4"/>
    <n v="0.13008448076114706"/>
    <n v="8.7814069482285692E-2"/>
    <m/>
    <m/>
  </r>
  <r>
    <x v="0"/>
    <x v="0"/>
    <x v="3"/>
    <x v="13"/>
    <s v="Xcel"/>
    <x v="20"/>
    <x v="0"/>
    <m/>
    <s v="Whole Home Efficiency"/>
    <m/>
    <x v="2"/>
    <n v="4260"/>
    <n v="6377.245508982036"/>
    <n v="27360"/>
    <n v="5818"/>
    <n v="838583100"/>
    <n v="95416268"/>
    <n v="1341725"/>
    <n v="1224988736"/>
    <n v="185460106"/>
    <n v="1451821"/>
    <n v="2.2171717684498209E-6"/>
    <n v="3.3191194138470373E-6"/>
    <n v="2.233489924922869E-5"/>
    <n v="1.4239863752297441E-5"/>
    <n v="4.6751489178465605E-3"/>
    <n v="3.1559787109857128E-3"/>
    <m/>
    <m/>
  </r>
  <r>
    <x v="0"/>
    <x v="0"/>
    <x v="3"/>
    <x v="13"/>
    <s v="Xcel"/>
    <x v="20"/>
    <x v="0"/>
    <m/>
    <s v="General Advertising-Res"/>
    <m/>
    <x v="4"/>
    <n v="0"/>
    <n v="0"/>
    <n v="153705"/>
    <n v="0"/>
    <n v="838583100"/>
    <n v="95416268"/>
    <n v="1341725"/>
    <n v="1224988736"/>
    <n v="185460106"/>
    <n v="1451821"/>
    <n v="0"/>
    <n v="0"/>
    <n v="1.2547462313971841E-4"/>
    <n v="7.9997743349666597E-5"/>
    <n v="2.6264391974327689E-2"/>
    <n v="1.7729886979972916E-2"/>
    <m/>
    <m/>
  </r>
  <r>
    <x v="0"/>
    <x v="0"/>
    <x v="3"/>
    <x v="13"/>
    <s v="Xcel"/>
    <x v="20"/>
    <x v="1"/>
    <n v="1"/>
    <s v="All-Electric Affordable New Home"/>
    <m/>
    <x v="4"/>
    <n v="0"/>
    <n v="0"/>
    <n v="25975"/>
    <n v="0"/>
    <n v="0"/>
    <n v="0"/>
    <n v="0"/>
    <n v="1224988736"/>
    <n v="185460106"/>
    <n v="1451821"/>
    <n v="0"/>
    <n v="0"/>
    <n v="2.1204276608140173E-5"/>
    <n v="1.3519022696123027E-5"/>
    <n v="1.9130069744662359E-2"/>
    <n v="2.9962188237519696E-3"/>
    <m/>
    <m/>
  </r>
  <r>
    <x v="0"/>
    <x v="0"/>
    <x v="3"/>
    <x v="13"/>
    <s v="Xcel"/>
    <x v="20"/>
    <x v="1"/>
    <n v="1"/>
    <s v="Energy Savings Kit"/>
    <m/>
    <x v="3"/>
    <n v="75590"/>
    <n v="113158.68263473053"/>
    <n v="162555"/>
    <n v="29998"/>
    <n v="0"/>
    <n v="0"/>
    <n v="0"/>
    <n v="1224988736"/>
    <n v="185460106"/>
    <n v="1451821"/>
    <n v="3.9341787318573233E-5"/>
    <n v="5.8894891195468898E-5"/>
    <n v="1.3269917936616847E-4"/>
    <n v="8.4603839629192632E-5"/>
    <n v="0.11971851731832878"/>
    <n v="1.8750735356881671E-2"/>
    <m/>
    <m/>
  </r>
  <r>
    <x v="0"/>
    <x v="0"/>
    <x v="3"/>
    <x v="13"/>
    <s v="Xcel"/>
    <x v="20"/>
    <x v="1"/>
    <n v="1"/>
    <s v="Income Qualified Home Energy Squad"/>
    <m/>
    <x v="3"/>
    <n v="123930"/>
    <n v="185523.95209580837"/>
    <n v="1016027"/>
    <n v="217633"/>
    <n v="0"/>
    <n v="0"/>
    <n v="0"/>
    <n v="1224988736"/>
    <n v="185460106"/>
    <n v="1451821"/>
    <n v="6.4500961799057819E-5"/>
    <n v="9.6558326046493724E-5"/>
    <n v="8.2941742249620159E-4"/>
    <n v="5.2880431464384181E-4"/>
    <n v="0.74828363320346736"/>
    <n v="0.11719881512378219"/>
    <m/>
    <m/>
  </r>
  <r>
    <x v="0"/>
    <x v="0"/>
    <x v="3"/>
    <x v="13"/>
    <s v="Xcel"/>
    <x v="20"/>
    <x v="1"/>
    <n v="1"/>
    <s v="Multifamily Weatherization"/>
    <m/>
    <x v="3"/>
    <n v="129030"/>
    <n v="193158.68263473053"/>
    <n v="330056"/>
    <n v="290641"/>
    <n v="0"/>
    <n v="0"/>
    <n v="0"/>
    <n v="1224988736"/>
    <n v="185460106"/>
    <n v="1451821"/>
    <n v="6.7155322366920271E-5"/>
    <n v="1.005319197109585E-4"/>
    <n v="2.6943594687878013E-4"/>
    <n v="1.7178188854635542E-4"/>
    <n v="0.24307966504886544"/>
    <n v="3.8071992303841388E-2"/>
    <m/>
    <m/>
  </r>
  <r>
    <x v="0"/>
    <x v="0"/>
    <x v="3"/>
    <x v="13"/>
    <s v="Xcel"/>
    <x v="20"/>
    <x v="1"/>
    <n v="1"/>
    <s v="Non-Profit"/>
    <m/>
    <x v="3"/>
    <n v="130040"/>
    <n v="194670.65868263473"/>
    <n v="336332"/>
    <n v="271968"/>
    <n v="0"/>
    <n v="0"/>
    <n v="0"/>
    <n v="1224988736"/>
    <n v="185460106"/>
    <n v="1451821"/>
    <n v="6.7680989851928331E-5"/>
    <n v="1.0131884708372504E-4"/>
    <n v="2.74559259294283E-4"/>
    <n v="1.7504831343339558E-4"/>
    <n v="0.24770181395040544"/>
    <n v="3.879592952570346E-2"/>
    <m/>
    <m/>
  </r>
  <r>
    <x v="0"/>
    <x v="0"/>
    <x v="3"/>
    <x v="13"/>
    <s v="Xcel"/>
    <x v="20"/>
    <x v="1"/>
    <n v="1"/>
    <s v="Single-Family Weatherization"/>
    <m/>
    <x v="3"/>
    <n v="600600"/>
    <n v="899101.79640718561"/>
    <n v="5003576"/>
    <n v="4683061"/>
    <n v="0"/>
    <n v="0"/>
    <n v="0"/>
    <n v="1224988736"/>
    <n v="185460106"/>
    <n v="1451821"/>
    <n v="3.1258999158003808E-4"/>
    <n v="4.6794908919167385E-4"/>
    <n v="4.0845893949509752E-3"/>
    <n v="2.604175457392742E-3"/>
    <n v="3.6850339885550998"/>
    <n v="0.5771629873830062"/>
    <m/>
    <m/>
  </r>
  <r>
    <x v="0"/>
    <x v="0"/>
    <x v="3"/>
    <x v="13"/>
    <s v="Xcel"/>
    <x v="20"/>
    <x v="1"/>
    <n v="1"/>
    <s v="Tiered Geographic Prequalification"/>
    <m/>
    <x v="3"/>
    <n v="298620"/>
    <n v="447035.92814371258"/>
    <n v="1976256"/>
    <n v="1270885"/>
    <n v="0"/>
    <n v="0"/>
    <n v="0"/>
    <n v="1224988736"/>
    <n v="185460106"/>
    <n v="1451821"/>
    <n v="1.5542061819119379E-4"/>
    <n v="2.3266559609460145E-4"/>
    <n v="1.6132850384021817E-3"/>
    <n v="1.0285678428238426E-3"/>
    <n v="1.4554731516191515"/>
    <n v="0.22796132541877853"/>
    <m/>
    <m/>
  </r>
  <r>
    <x v="0"/>
    <x v="0"/>
    <x v="3"/>
    <x v="13"/>
    <s v="Xcel"/>
    <x v="20"/>
    <x v="3"/>
    <m/>
    <s v="Business Education"/>
    <m/>
    <x v="4"/>
    <n v="0"/>
    <n v="0"/>
    <n v="26835"/>
    <n v="0"/>
    <n v="0"/>
    <n v="0"/>
    <n v="0"/>
    <n v="1224988736"/>
    <n v="185460106"/>
    <n v="1451821"/>
    <n v="0"/>
    <n v="0"/>
    <n v="2.1906323879863006E-5"/>
    <n v="1.396662075266454E-5"/>
    <s v=""/>
    <n v="3.0954199089657016E-3"/>
    <m/>
    <m/>
  </r>
  <r>
    <x v="0"/>
    <x v="0"/>
    <x v="3"/>
    <x v="13"/>
    <s v="Xcel"/>
    <x v="20"/>
    <x v="3"/>
    <m/>
    <s v="Business Energy Analysis"/>
    <m/>
    <x v="4"/>
    <n v="0"/>
    <n v="0"/>
    <n v="35026"/>
    <n v="0"/>
    <n v="0"/>
    <n v="0"/>
    <n v="0"/>
    <n v="1224988736"/>
    <n v="185460106"/>
    <n v="1451821"/>
    <n v="0"/>
    <n v="0"/>
    <n v="2.8592915976004535E-5"/>
    <n v="1.8229732009794232E-5"/>
    <s v=""/>
    <n v="4.0402525705769583E-3"/>
    <m/>
    <m/>
  </r>
  <r>
    <x v="0"/>
    <x v="0"/>
    <x v="3"/>
    <x v="13"/>
    <s v="Xcel"/>
    <x v="20"/>
    <x v="3"/>
    <m/>
    <s v="Community Energy Reporting"/>
    <m/>
    <x v="4"/>
    <n v="0"/>
    <n v="0"/>
    <n v="39369"/>
    <n v="0"/>
    <n v="0"/>
    <n v="0"/>
    <n v="0"/>
    <n v="1224988736"/>
    <n v="185460106"/>
    <n v="1451821"/>
    <n v="0"/>
    <n v="0"/>
    <n v="3.2138254698204831E-5"/>
    <n v="2.0490102195328872E-5"/>
    <s v=""/>
    <n v="4.5412180509063057E-3"/>
    <m/>
    <m/>
  </r>
  <r>
    <x v="0"/>
    <x v="0"/>
    <x v="3"/>
    <x v="13"/>
    <s v="Xcel"/>
    <x v="20"/>
    <x v="3"/>
    <m/>
    <s v="Consumer Eduction"/>
    <m/>
    <x v="4"/>
    <n v="0"/>
    <n v="0"/>
    <n v="87931"/>
    <n v="0"/>
    <n v="0"/>
    <n v="0"/>
    <n v="0"/>
    <n v="1224988736"/>
    <n v="185460106"/>
    <n v="1451821"/>
    <n v="0"/>
    <n v="0"/>
    <n v="7.1781068197511978E-5"/>
    <n v="4.5764819429943941E-5"/>
    <s v=""/>
    <n v="1.0142849562707775E-2"/>
    <m/>
    <m/>
  </r>
  <r>
    <x v="0"/>
    <x v="0"/>
    <x v="3"/>
    <x v="13"/>
    <s v="Xcel"/>
    <x v="20"/>
    <x v="3"/>
    <m/>
    <s v="Energy Benchmarking"/>
    <m/>
    <x v="4"/>
    <n v="0"/>
    <n v="0"/>
    <n v="60028"/>
    <n v="0"/>
    <n v="0"/>
    <n v="0"/>
    <n v="0"/>
    <n v="1224988736"/>
    <n v="185460106"/>
    <n v="1451821"/>
    <n v="0"/>
    <n v="0"/>
    <n v="4.9002899566253643E-5"/>
    <n v="3.1242344346597619E-5"/>
    <s v=""/>
    <n v="6.9242357479185074E-3"/>
    <m/>
    <m/>
  </r>
  <r>
    <x v="0"/>
    <x v="0"/>
    <x v="3"/>
    <x v="13"/>
    <s v="Xcel"/>
    <x v="20"/>
    <x v="3"/>
    <m/>
    <s v="Home Energy Audit"/>
    <m/>
    <x v="4"/>
    <n v="0"/>
    <n v="0"/>
    <n v="809029"/>
    <n v="286708"/>
    <n v="0"/>
    <n v="0"/>
    <n v="0"/>
    <n v="1224988736"/>
    <n v="185460106"/>
    <n v="1451821"/>
    <n v="0"/>
    <n v="0"/>
    <n v="6.6043790952866359E-4"/>
    <n v="4.2106954428572537E-4"/>
    <s v=""/>
    <n v="9.3321575313233193E-2"/>
    <m/>
    <m/>
  </r>
  <r>
    <x v="0"/>
    <x v="0"/>
    <x v="3"/>
    <x v="13"/>
    <s v="Xcel"/>
    <x v="20"/>
    <x v="3"/>
    <m/>
    <s v="Partners in Energy"/>
    <m/>
    <x v="4"/>
    <n v="0"/>
    <n v="0"/>
    <n v="177006"/>
    <n v="0"/>
    <n v="0"/>
    <n v="0"/>
    <n v="0"/>
    <n v="1224988736"/>
    <n v="185460106"/>
    <n v="1451821"/>
    <n v="0"/>
    <n v="0"/>
    <n v="1.4449602253322272E-4"/>
    <n v="9.2125048367659382E-5"/>
    <s v=""/>
    <n v="2.0417659638769629E-2"/>
    <m/>
    <m/>
  </r>
  <r>
    <x v="0"/>
    <x v="0"/>
    <x v="3"/>
    <x v="13"/>
    <s v="Xcel"/>
    <x v="20"/>
    <x v="3"/>
    <m/>
    <s v="EE Market Research"/>
    <m/>
    <x v="4"/>
    <n v="0"/>
    <n v="0"/>
    <n v="205368"/>
    <n v="0"/>
    <n v="0"/>
    <n v="0"/>
    <n v="0"/>
    <n v="1224988736"/>
    <n v="185460106"/>
    <n v="1451821"/>
    <n v="0"/>
    <n v="0"/>
    <n v="1.6764888848741217E-4"/>
    <n v="1.0688641590211333E-4"/>
    <s v=""/>
    <n v="2.3689219149039251E-2"/>
    <m/>
    <m/>
  </r>
  <r>
    <x v="0"/>
    <x v="0"/>
    <x v="3"/>
    <x v="13"/>
    <s v="Xcel"/>
    <x v="20"/>
    <x v="3"/>
    <m/>
    <s v="EE EM&amp;V"/>
    <m/>
    <x v="4"/>
    <n v="0"/>
    <n v="0"/>
    <n v="297867"/>
    <n v="0"/>
    <n v="0"/>
    <n v="0"/>
    <n v="0"/>
    <n v="1224988736"/>
    <n v="185460106"/>
    <n v="1451821"/>
    <n v="0"/>
    <n v="0"/>
    <n v="2.4315897056542403E-4"/>
    <n v="1.5502870966029175E-4"/>
    <s v=""/>
    <n v="3.435898796437066E-2"/>
    <m/>
    <m/>
  </r>
  <r>
    <x v="0"/>
    <x v="0"/>
    <x v="3"/>
    <x v="13"/>
    <s v="Xcel"/>
    <x v="20"/>
    <x v="3"/>
    <m/>
    <s v="EE Planning &amp; Administration"/>
    <m/>
    <x v="4"/>
    <n v="0"/>
    <n v="0"/>
    <n v="149939"/>
    <n v="0"/>
    <n v="0"/>
    <n v="0"/>
    <n v="0"/>
    <n v="1224988736"/>
    <n v="185460106"/>
    <n v="1451821"/>
    <n v="0"/>
    <n v="0"/>
    <n v="1.224003091568019E-4"/>
    <n v="7.8037680232299916E-5"/>
    <s v=""/>
    <n v="1.7295478506816037E-2"/>
    <m/>
    <m/>
  </r>
  <r>
    <x v="0"/>
    <x v="0"/>
    <x v="3"/>
    <x v="13"/>
    <s v="Xcel"/>
    <x v="20"/>
    <x v="3"/>
    <m/>
    <s v="EE Product Development"/>
    <m/>
    <x v="4"/>
    <n v="0"/>
    <n v="0"/>
    <n v="396361"/>
    <n v="0"/>
    <n v="0"/>
    <n v="0"/>
    <n v="0"/>
    <n v="1224988736"/>
    <n v="185460106"/>
    <n v="1451821"/>
    <n v="0"/>
    <n v="0"/>
    <n v="3.2356297519457353E-4"/>
    <n v="2.0629117824284965E-4"/>
    <s v=""/>
    <n v="4.5720280623721056E-2"/>
    <m/>
    <m/>
  </r>
  <r>
    <x v="0"/>
    <x v="0"/>
    <x v="4"/>
    <x v="13"/>
    <s v="Xcel"/>
    <x v="20"/>
    <x v="2"/>
    <m/>
    <s v="Business Energy Assessments"/>
    <m/>
    <x v="14"/>
    <n v="89580"/>
    <n v="132123.89380530972"/>
    <n v="69954"/>
    <n v="50665"/>
    <n v="386405636"/>
    <n v="90043838"/>
    <n v="110096"/>
    <n v="1224988736"/>
    <n v="185460106"/>
    <n v="1451821"/>
    <n v="4.6623062680219472E-5"/>
    <n v="6.8765579174364999E-5"/>
    <n v="5.7105831216394139E-5"/>
    <n v="3.6408458659656981E-5"/>
    <n v="6.2127213627240267E-2"/>
    <n v="7.7287843466539979E-3"/>
    <m/>
    <m/>
  </r>
  <r>
    <x v="0"/>
    <x v="0"/>
    <x v="4"/>
    <x v="13"/>
    <s v="Xcel"/>
    <x v="20"/>
    <x v="2"/>
    <m/>
    <s v="Business HVAC+R Systems"/>
    <m/>
    <x v="2"/>
    <n v="205340"/>
    <n v="302861.35693215334"/>
    <n v="240090"/>
    <n v="147601"/>
    <n v="386405636"/>
    <n v="90043838"/>
    <n v="110096"/>
    <n v="1224988736"/>
    <n v="185460106"/>
    <n v="1451821"/>
    <n v="1.0687184294213291E-4"/>
    <n v="1.5762808693529925E-4"/>
    <n v="1.9599363891620306E-4"/>
    <n v="1.249579272035487E-4"/>
    <n v="0.21322758841187234"/>
    <n v="2.6526057606257803E-2"/>
    <m/>
    <m/>
  </r>
  <r>
    <x v="0"/>
    <x v="0"/>
    <x v="4"/>
    <x v="13"/>
    <s v="Xcel"/>
    <x v="20"/>
    <x v="2"/>
    <m/>
    <s v="Custom Efficiency"/>
    <m/>
    <x v="2"/>
    <n v="107680"/>
    <n v="158820.05899705013"/>
    <n v="221602"/>
    <n v="166324"/>
    <n v="386405636"/>
    <n v="90043838"/>
    <n v="110096"/>
    <n v="1224988736"/>
    <n v="185460106"/>
    <n v="1451821"/>
    <n v="5.6043440381848994E-5"/>
    <n v="8.2659941566148951E-5"/>
    <n v="1.8090125524223595E-4"/>
    <n v="1.1533560991361906E-4"/>
    <n v="0.1968081138208494"/>
    <n v="2.4483432952900751E-2"/>
    <m/>
    <m/>
  </r>
  <r>
    <x v="0"/>
    <x v="0"/>
    <x v="4"/>
    <x v="13"/>
    <s v="Xcel"/>
    <x v="20"/>
    <x v="2"/>
    <m/>
    <s v="Energy Management Systems"/>
    <m/>
    <x v="2"/>
    <n v="90800"/>
    <n v="133923.30383480826"/>
    <n v="95200"/>
    <n v="93434"/>
    <n v="386405636"/>
    <n v="90043838"/>
    <n v="110096"/>
    <n v="1224988736"/>
    <n v="185460106"/>
    <n v="1451821"/>
    <n v="4.7258027365080688E-5"/>
    <n v="6.9702105258231104E-5"/>
    <n v="7.7715000311643679E-5"/>
    <n v="4.9548063933432611E-5"/>
    <n v="8.4548571022575889E-2"/>
    <n v="1.0518058578515319E-2"/>
    <m/>
    <m/>
  </r>
  <r>
    <x v="0"/>
    <x v="0"/>
    <x v="4"/>
    <x v="13"/>
    <s v="Xcel"/>
    <x v="20"/>
    <x v="2"/>
    <m/>
    <s v="New Construction"/>
    <m/>
    <x v="2"/>
    <n v="503560"/>
    <n v="742713.86430678458"/>
    <n v="285046"/>
    <n v="238347"/>
    <n v="386405636"/>
    <n v="90043838"/>
    <n v="110096"/>
    <n v="1224988736"/>
    <n v="185460106"/>
    <n v="1451821"/>
    <n v="2.6208427599074924E-4"/>
    <n v="3.865549793373882E-4"/>
    <n v="2.3269275187849564E-4"/>
    <n v="1.4835585537782808E-4"/>
    <n v="0.25315369722375175"/>
    <n v="3.1492967705582749E-2"/>
    <m/>
    <m/>
  </r>
  <r>
    <x v="0"/>
    <x v="0"/>
    <x v="4"/>
    <x v="13"/>
    <s v="Xcel"/>
    <x v="20"/>
    <x v="2"/>
    <m/>
    <s v="Small Business Energy Solutions"/>
    <m/>
    <x v="10"/>
    <n v="129020"/>
    <n v="190294.98525073746"/>
    <n v="53338"/>
    <n v="40943"/>
    <n v="386405636"/>
    <n v="90043838"/>
    <n v="110096"/>
    <n v="1224988736"/>
    <n v="185460106"/>
    <n v="1451821"/>
    <n v="6.7150117738355841E-5"/>
    <n v="9.9041471590495349E-5"/>
    <n v="4.3541624859479523E-5"/>
    <n v="2.7760447836989797E-5"/>
    <n v="4.7370290768930179E-2"/>
    <n v="5.8929853829921223E-3"/>
    <m/>
    <m/>
  </r>
  <r>
    <x v="0"/>
    <x v="0"/>
    <x v="4"/>
    <x v="13"/>
    <s v="Xcel"/>
    <x v="20"/>
    <x v="2"/>
    <m/>
    <s v="General Advertising-Bus"/>
    <m/>
    <x v="4"/>
    <n v="0"/>
    <n v="0"/>
    <n v="69131"/>
    <n v="0"/>
    <n v="386405636"/>
    <n v="90043838"/>
    <n v="110096"/>
    <n v="1224988736"/>
    <n v="185460106"/>
    <n v="1451821"/>
    <n v="0"/>
    <n v="0"/>
    <n v="5.643398830403613E-5"/>
    <n v="3.598011772880389E-5"/>
    <n v="6.1396294783211069E-2"/>
    <n v="7.6378561721779674E-3"/>
    <m/>
    <m/>
  </r>
  <r>
    <x v="0"/>
    <x v="0"/>
    <x v="4"/>
    <x v="13"/>
    <s v="Xcel"/>
    <x v="20"/>
    <x v="0"/>
    <m/>
    <s v="Energy Efficient Showerhead"/>
    <m/>
    <x v="16"/>
    <n v="420690"/>
    <n v="620486.72566371679"/>
    <n v="535794"/>
    <n v="166878"/>
    <n v="838583100"/>
    <n v="95416268"/>
    <n v="1341725"/>
    <n v="1224988736"/>
    <n v="185460106"/>
    <n v="1451821"/>
    <n v="2.1895351907726647E-4"/>
    <n v="3.229402936242868E-4"/>
    <n v="4.3738687895984052E-4"/>
    <n v="2.7886087570535287E-4"/>
    <n v="8.1929321024938412E-2"/>
    <n v="5.9196561743876434E-2"/>
    <m/>
    <m/>
  </r>
  <r>
    <x v="0"/>
    <x v="0"/>
    <x v="4"/>
    <x v="13"/>
    <s v="Xcel"/>
    <x v="20"/>
    <x v="0"/>
    <m/>
    <s v="Home Energy Insights"/>
    <m/>
    <x v="16"/>
    <n v="2446410"/>
    <n v="3608274.3362831855"/>
    <n v="1361179"/>
    <n v="0"/>
    <n v="838583100"/>
    <n v="95416268"/>
    <n v="1341725"/>
    <n v="1224988736"/>
    <n v="185460106"/>
    <n v="1451821"/>
    <n v="1.273265536632236E-3"/>
    <n v="1.8779727678941535E-3"/>
    <n v="1.111176747995828E-3"/>
    <n v="7.0844311047107012E-4"/>
    <n v="0.20814057504078928"/>
    <n v="0.15038824010341284"/>
    <m/>
    <m/>
  </r>
  <r>
    <x v="0"/>
    <x v="0"/>
    <x v="4"/>
    <x v="13"/>
    <s v="Xcel"/>
    <x v="20"/>
    <x v="0"/>
    <m/>
    <s v="Home Energy Squad"/>
    <m/>
    <x v="16"/>
    <n v="475190"/>
    <n v="700870.20648967545"/>
    <n v="3622918"/>
    <n v="511401"/>
    <n v="838583100"/>
    <n v="95416268"/>
    <n v="1341725"/>
    <n v="1224988736"/>
    <n v="185460106"/>
    <n v="1451821"/>
    <n v="2.4731874475344376E-4"/>
    <n v="3.6477690966584615E-4"/>
    <n v="2.9575112762506251E-3"/>
    <n v="1.8855942509410067E-3"/>
    <n v="0.55398756213960554"/>
    <n v="0.40027377887770549"/>
    <m/>
    <m/>
  </r>
  <r>
    <x v="0"/>
    <x v="0"/>
    <x v="4"/>
    <x v="13"/>
    <s v="Xcel"/>
    <x v="20"/>
    <x v="0"/>
    <m/>
    <s v="Insulation &amp; Air Sealing"/>
    <m/>
    <x v="16"/>
    <n v="1161760"/>
    <n v="1713510.3244837758"/>
    <n v="1736837"/>
    <n v="1702860"/>
    <n v="838583100"/>
    <n v="95416268"/>
    <n v="1341725"/>
    <n v="1224988736"/>
    <n v="185460106"/>
    <n v="1451821"/>
    <n v="6.0465292810193982E-4"/>
    <n v="8.9181847802646006E-4"/>
    <n v="1.4178391596247298E-3"/>
    <n v="9.0395914619696737E-4"/>
    <n v="0.26558318335216702"/>
    <n v="0.19189236667366397"/>
    <m/>
    <m/>
  </r>
  <r>
    <x v="0"/>
    <x v="0"/>
    <x v="4"/>
    <x v="13"/>
    <s v="Xcel"/>
    <x v="20"/>
    <x v="0"/>
    <m/>
    <s v="Multifamily Buildings Efficiency"/>
    <m/>
    <x v="16"/>
    <n v="260540"/>
    <n v="384277.2861356932"/>
    <n v="454878"/>
    <n v="454878"/>
    <n v="838583100"/>
    <n v="95416268"/>
    <n v="1341725"/>
    <n v="1224988736"/>
    <n v="185460106"/>
    <n v="1451821"/>
    <n v="1.3560139261782072E-4"/>
    <n v="2.0000205400858513E-4"/>
    <n v="3.7133239403109089E-4"/>
    <n v="2.3674710321336094E-4"/>
    <n v="6.9556295309730856E-2"/>
    <n v="5.0256653887372806E-2"/>
    <m/>
    <m/>
  </r>
  <r>
    <x v="0"/>
    <x v="0"/>
    <x v="4"/>
    <x v="13"/>
    <s v="Xcel"/>
    <x v="20"/>
    <x v="0"/>
    <m/>
    <s v="Residential Heating &amp; Cooling"/>
    <m/>
    <x v="16"/>
    <n v="778290"/>
    <n v="1147920.3539823007"/>
    <n v="919690"/>
    <n v="801141"/>
    <n v="838583100"/>
    <n v="95416268"/>
    <n v="1341725"/>
    <n v="1224988736"/>
    <n v="185460106"/>
    <n v="1451821"/>
    <n v="4.0507103654150497E-4"/>
    <n v="5.974499064033995E-4"/>
    <n v="7.507742503846174E-4"/>
    <n v="4.7866448444263283E-4"/>
    <n v="0.14063161822160311"/>
    <n v="0.10161085392935665"/>
    <m/>
    <m/>
  </r>
  <r>
    <x v="0"/>
    <x v="0"/>
    <x v="4"/>
    <x v="13"/>
    <s v="Xcel"/>
    <x v="20"/>
    <x v="0"/>
    <m/>
    <s v="Residential New Home Construction"/>
    <m/>
    <x v="0"/>
    <n v="292270"/>
    <n v="431076.69616519171"/>
    <n v="223693"/>
    <n v="0"/>
    <n v="838583100"/>
    <n v="95416268"/>
    <n v="1341725"/>
    <n v="1224988736"/>
    <n v="185460106"/>
    <n v="1451821"/>
    <n v="1.5211567905277679E-4"/>
    <n v="2.2435940863241413E-4"/>
    <n v="1.8260820971336669E-4"/>
    <n v="1.1642389774644266E-4"/>
    <n v="3.420533938049241E-2"/>
    <n v="2.4714454596678856E-2"/>
    <m/>
    <m/>
  </r>
  <r>
    <x v="0"/>
    <x v="0"/>
    <x v="4"/>
    <x v="13"/>
    <s v="Xcel"/>
    <x v="20"/>
    <x v="0"/>
    <m/>
    <s v="School Education Kits"/>
    <m/>
    <x v="13"/>
    <n v="700300"/>
    <n v="1032890.8554572271"/>
    <n v="776773"/>
    <n v="211980"/>
    <n v="838583100"/>
    <n v="95416268"/>
    <n v="1341725"/>
    <n v="1224988736"/>
    <n v="185460106"/>
    <n v="1451821"/>
    <n v="3.6448013836746704E-4"/>
    <n v="5.3758132502576257E-4"/>
    <n v="6.3410623883483608E-4"/>
    <n v="4.0428149438827992E-4"/>
    <n v="0.11877789687921941"/>
    <n v="8.5820839455977724E-2"/>
    <m/>
    <m/>
  </r>
  <r>
    <x v="0"/>
    <x v="0"/>
    <x v="4"/>
    <x v="13"/>
    <s v="Xcel"/>
    <x v="20"/>
    <x v="0"/>
    <m/>
    <s v="Whole Home Efficiency"/>
    <m/>
    <x v="2"/>
    <n v="4260"/>
    <n v="6283.1858407079644"/>
    <n v="27581"/>
    <n v="5836"/>
    <n v="838583100"/>
    <n v="95416268"/>
    <n v="1341725"/>
    <n v="1224988736"/>
    <n v="185460106"/>
    <n v="1451821"/>
    <n v="2.2171717684498209E-6"/>
    <n v="3.2701648502209746E-6"/>
    <n v="2.2515309071380719E-5"/>
    <n v="1.435488604357148E-5"/>
    <n v="4.2174653004491023E-3"/>
    <n v="3.0472539249373006E-3"/>
    <m/>
    <m/>
  </r>
  <r>
    <x v="0"/>
    <x v="0"/>
    <x v="4"/>
    <x v="13"/>
    <s v="Xcel"/>
    <x v="20"/>
    <x v="0"/>
    <m/>
    <s v="General Advertising-Res"/>
    <m/>
    <x v="4"/>
    <n v="0"/>
    <n v="0"/>
    <n v="135700"/>
    <n v="0"/>
    <n v="838583100"/>
    <n v="95416268"/>
    <n v="1341725"/>
    <n v="1224988736"/>
    <n v="185460106"/>
    <n v="1451821"/>
    <n v="0"/>
    <n v="0"/>
    <n v="1.1077652880556773E-4"/>
    <n v="7.0626809619399217E-5"/>
    <n v="2.0750155587938916E-2"/>
    <n v="1.4992652826728244E-2"/>
    <m/>
    <m/>
  </r>
  <r>
    <x v="0"/>
    <x v="0"/>
    <x v="4"/>
    <x v="13"/>
    <s v="Xcel"/>
    <x v="20"/>
    <x v="1"/>
    <n v="1"/>
    <s v="All-Electric Affordable New Home"/>
    <m/>
    <x v="4"/>
    <n v="0"/>
    <n v="0"/>
    <n v="26754"/>
    <n v="0"/>
    <n v="0"/>
    <n v="0"/>
    <n v="0"/>
    <n v="1224988736"/>
    <n v="185460106"/>
    <n v="1451821"/>
    <n v="0"/>
    <n v="0"/>
    <n v="2.1840200822875159E-5"/>
    <n v="1.3924463261292607E-5"/>
    <n v="1.9311250821056582E-2"/>
    <n v="2.9558838152268785E-3"/>
    <m/>
    <m/>
  </r>
  <r>
    <x v="0"/>
    <x v="0"/>
    <x v="4"/>
    <x v="13"/>
    <s v="Xcel"/>
    <x v="20"/>
    <x v="1"/>
    <n v="1"/>
    <s v="Energy Savings Kit"/>
    <m/>
    <x v="3"/>
    <n v="75590"/>
    <n v="111489.67551622418"/>
    <n v="163219"/>
    <n v="30001"/>
    <n v="0"/>
    <n v="0"/>
    <n v="0"/>
    <n v="1224988736"/>
    <n v="185460106"/>
    <n v="1451821"/>
    <n v="3.9341787318573233E-5"/>
    <n v="5.8026234983146348E-5"/>
    <n v="1.3324122516666145E-4"/>
    <n v="8.494942696587119E-5"/>
    <n v="0.1178127774449441"/>
    <n v="1.8033056755532476E-2"/>
    <m/>
    <m/>
  </r>
  <r>
    <x v="0"/>
    <x v="0"/>
    <x v="4"/>
    <x v="13"/>
    <s v="Xcel"/>
    <x v="20"/>
    <x v="1"/>
    <n v="1"/>
    <s v="Income Qualified Home Energy Squad"/>
    <m/>
    <x v="3"/>
    <n v="142250"/>
    <n v="209808.25958702064"/>
    <n v="1200379"/>
    <n v="249369"/>
    <n v="0"/>
    <n v="0"/>
    <n v="0"/>
    <n v="1224988736"/>
    <n v="185460106"/>
    <n v="1451821"/>
    <n v="7.4035841329104927E-5"/>
    <n v="1.0919740609012525E-4"/>
    <n v="9.7991023486439623E-4"/>
    <n v="6.2475268315493606E-4"/>
    <n v="0.86644314679408985"/>
    <n v="0.13262244368087855"/>
    <m/>
    <m/>
  </r>
  <r>
    <x v="0"/>
    <x v="0"/>
    <x v="4"/>
    <x v="13"/>
    <s v="Xcel"/>
    <x v="20"/>
    <x v="1"/>
    <n v="1"/>
    <s v="Multifamily Weatherization"/>
    <m/>
    <x v="3"/>
    <n v="152980"/>
    <n v="225634.21828908552"/>
    <n v="380574"/>
    <n v="352325"/>
    <n v="0"/>
    <n v="0"/>
    <n v="0"/>
    <n v="1224988736"/>
    <n v="185460106"/>
    <n v="1451821"/>
    <n v="7.9620407778744975E-5"/>
    <n v="1.1743422976216071E-4"/>
    <n v="3.1067550975423828E-4"/>
    <n v="1.9807463112817418E-4"/>
    <n v="0.27470135194635525"/>
    <n v="4.2047264973318163E-2"/>
    <m/>
    <m/>
  </r>
  <r>
    <x v="0"/>
    <x v="0"/>
    <x v="4"/>
    <x v="13"/>
    <s v="Xcel"/>
    <x v="20"/>
    <x v="1"/>
    <n v="1"/>
    <s v="Non-Profit"/>
    <m/>
    <x v="3"/>
    <n v="154930"/>
    <n v="228510.3244837758"/>
    <n v="370276"/>
    <n v="319730"/>
    <n v="0"/>
    <n v="0"/>
    <n v="0"/>
    <n v="1224988736"/>
    <n v="185460106"/>
    <n v="1451821"/>
    <n v="8.0635310348810036E-5"/>
    <n v="1.189311362076844E-4"/>
    <n v="3.022689018423758E-4"/>
    <n v="1.9271490463251782E-4"/>
    <n v="0.26726817332053326"/>
    <n v="4.0909502712377498E-2"/>
    <m/>
    <m/>
  </r>
  <r>
    <x v="0"/>
    <x v="0"/>
    <x v="4"/>
    <x v="13"/>
    <s v="Xcel"/>
    <x v="20"/>
    <x v="1"/>
    <n v="1"/>
    <s v="Single-Family Weatherization"/>
    <m/>
    <x v="3"/>
    <n v="600600"/>
    <n v="885840.70796460169"/>
    <n v="5052475"/>
    <n v="4739311"/>
    <n v="0"/>
    <n v="0"/>
    <n v="0"/>
    <n v="1224988736"/>
    <n v="185460106"/>
    <n v="1451821"/>
    <n v="3.1258999158003808E-4"/>
    <n v="4.6104718522129508E-4"/>
    <n v="4.124507313020713E-3"/>
    <n v="2.6296255706099786E-3"/>
    <n v="3.6469167971936107"/>
    <n v="0.55821668084542209"/>
    <m/>
    <m/>
  </r>
  <r>
    <x v="0"/>
    <x v="0"/>
    <x v="4"/>
    <x v="13"/>
    <s v="Xcel"/>
    <x v="20"/>
    <x v="1"/>
    <n v="1"/>
    <s v="Tiered Geographic Prequalification"/>
    <m/>
    <x v="3"/>
    <n v="259060"/>
    <n v="382094.39528023597"/>
    <n v="1866754"/>
    <n v="1158629"/>
    <n v="0"/>
    <n v="0"/>
    <n v="0"/>
    <n v="1224988736"/>
    <n v="185460106"/>
    <n v="1451821"/>
    <n v="1.3483110759028417E-4"/>
    <n v="1.988659403986492E-4"/>
    <n v="1.5238948286949799E-3"/>
    <n v="9.7157611911755321E-4"/>
    <n v="1.3474379425585206"/>
    <n v="0.20624609163527086"/>
    <m/>
    <m/>
  </r>
  <r>
    <x v="0"/>
    <x v="0"/>
    <x v="4"/>
    <x v="13"/>
    <s v="Xcel"/>
    <x v="20"/>
    <x v="3"/>
    <m/>
    <s v="Business Education"/>
    <m/>
    <x v="4"/>
    <n v="0"/>
    <n v="0"/>
    <n v="29183"/>
    <n v="0"/>
    <n v="0"/>
    <n v="0"/>
    <n v="0"/>
    <n v="1224988736"/>
    <n v="185460106"/>
    <n v="1451821"/>
    <n v="0"/>
    <n v="0"/>
    <n v="2.3823076198473714E-5"/>
    <n v="1.5188667539594159E-5"/>
    <s v=""/>
    <n v="3.2242489863110561E-3"/>
    <m/>
    <m/>
  </r>
  <r>
    <x v="0"/>
    <x v="0"/>
    <x v="4"/>
    <x v="13"/>
    <s v="Xcel"/>
    <x v="20"/>
    <x v="3"/>
    <m/>
    <s v="Business Energy Analysis"/>
    <m/>
    <x v="4"/>
    <n v="0"/>
    <n v="0"/>
    <n v="40177"/>
    <n v="0"/>
    <n v="0"/>
    <n v="0"/>
    <n v="0"/>
    <n v="1224988736"/>
    <n v="185460106"/>
    <n v="1451821"/>
    <n v="0"/>
    <n v="0"/>
    <n v="3.2797852600009539E-5"/>
    <n v="2.0910636183335316E-5"/>
    <s v=""/>
    <n v="4.4389079780358187E-3"/>
    <m/>
    <m/>
  </r>
  <r>
    <x v="0"/>
    <x v="0"/>
    <x v="4"/>
    <x v="13"/>
    <s v="Xcel"/>
    <x v="20"/>
    <x v="3"/>
    <m/>
    <s v="Community Energy Reporting"/>
    <m/>
    <x v="4"/>
    <n v="0"/>
    <n v="0"/>
    <n v="38717"/>
    <n v="0"/>
    <n v="0"/>
    <n v="0"/>
    <n v="0"/>
    <n v="1224988736"/>
    <n v="185460106"/>
    <n v="1451821"/>
    <n v="0"/>
    <n v="0"/>
    <n v="3.1606004906154498E-5"/>
    <n v="2.0150760412927631E-5"/>
    <s v=""/>
    <n v="4.2776016174829578E-3"/>
    <m/>
    <m/>
  </r>
  <r>
    <x v="0"/>
    <x v="0"/>
    <x v="4"/>
    <x v="13"/>
    <s v="Xcel"/>
    <x v="20"/>
    <x v="3"/>
    <m/>
    <s v="Consumer Eduction"/>
    <m/>
    <x v="4"/>
    <n v="0"/>
    <n v="0"/>
    <n v="98784"/>
    <n v="0"/>
    <n v="0"/>
    <n v="0"/>
    <n v="0"/>
    <n v="1224988736"/>
    <n v="185460106"/>
    <n v="1451821"/>
    <n v="0"/>
    <n v="0"/>
    <n v="8.064074149984674E-5"/>
    <n v="5.1413402810926552E-5"/>
    <s v=""/>
    <n v="1.0914032548530014E-2"/>
    <m/>
    <m/>
  </r>
  <r>
    <x v="0"/>
    <x v="0"/>
    <x v="4"/>
    <x v="13"/>
    <s v="Xcel"/>
    <x v="20"/>
    <x v="3"/>
    <m/>
    <s v="Energy Benchmarking"/>
    <m/>
    <x v="4"/>
    <n v="0"/>
    <n v="0"/>
    <n v="78763"/>
    <n v="0"/>
    <n v="0"/>
    <n v="0"/>
    <n v="0"/>
    <n v="1224988736"/>
    <n v="185460106"/>
    <n v="1451821"/>
    <n v="0"/>
    <n v="0"/>
    <n v="6.4296917747331847E-5"/>
    <n v="4.0993215962068831E-5"/>
    <s v=""/>
    <n v="8.702036216592459E-3"/>
    <m/>
    <m/>
  </r>
  <r>
    <x v="0"/>
    <x v="0"/>
    <x v="4"/>
    <x v="13"/>
    <s v="Xcel"/>
    <x v="20"/>
    <x v="3"/>
    <m/>
    <s v="Home Energy Audit"/>
    <m/>
    <x v="4"/>
    <n v="0"/>
    <n v="0"/>
    <n v="905674"/>
    <n v="285143"/>
    <n v="0"/>
    <n v="0"/>
    <n v="0"/>
    <n v="1224988736"/>
    <n v="185460106"/>
    <n v="1451821"/>
    <n v="0"/>
    <n v="0"/>
    <n v="7.3933251252360904E-4"/>
    <n v="4.7136967704671906E-4"/>
    <s v=""/>
    <n v="0.10006231286804919"/>
    <m/>
    <m/>
  </r>
  <r>
    <x v="0"/>
    <x v="0"/>
    <x v="4"/>
    <x v="13"/>
    <s v="Xcel"/>
    <x v="20"/>
    <x v="3"/>
    <m/>
    <s v="Partners in Energy"/>
    <m/>
    <x v="4"/>
    <n v="0"/>
    <n v="0"/>
    <n v="182093"/>
    <n v="0"/>
    <n v="0"/>
    <n v="0"/>
    <n v="0"/>
    <n v="1224988736"/>
    <n v="185460106"/>
    <n v="1451821"/>
    <n v="0"/>
    <n v="0"/>
    <n v="1.4864871377886693E-4"/>
    <n v="9.477264291838809E-5"/>
    <s v=""/>
    <n v="2.0118328159008297E-2"/>
    <m/>
    <m/>
  </r>
  <r>
    <x v="0"/>
    <x v="0"/>
    <x v="4"/>
    <x v="13"/>
    <s v="Xcel"/>
    <x v="20"/>
    <x v="3"/>
    <m/>
    <s v="EE Market Research"/>
    <m/>
    <x v="4"/>
    <n v="0"/>
    <n v="0"/>
    <n v="178607"/>
    <n v="0"/>
    <n v="0"/>
    <n v="0"/>
    <n v="0"/>
    <n v="1224988736"/>
    <n v="185460106"/>
    <n v="1451821"/>
    <n v="0"/>
    <n v="0"/>
    <n v="1.4580297332627881E-4"/>
    <n v="9.2958309400825625E-5"/>
    <s v=""/>
    <n v="1.9733181602236194E-2"/>
    <m/>
    <m/>
  </r>
  <r>
    <x v="0"/>
    <x v="0"/>
    <x v="4"/>
    <x v="13"/>
    <s v="Xcel"/>
    <x v="20"/>
    <x v="3"/>
    <m/>
    <s v="EE EM&amp;V"/>
    <m/>
    <x v="4"/>
    <n v="0"/>
    <n v="0"/>
    <n v="416262"/>
    <n v="0"/>
    <n v="0"/>
    <n v="0"/>
    <n v="0"/>
    <n v="1224988736"/>
    <n v="185460106"/>
    <n v="1451821"/>
    <n v="0"/>
    <n v="0"/>
    <n v="3.3980883886266199E-4"/>
    <n v="2.1664890954893414E-4"/>
    <s v=""/>
    <n v="4.5990211134558229E-2"/>
    <m/>
    <m/>
  </r>
  <r>
    <x v="0"/>
    <x v="0"/>
    <x v="4"/>
    <x v="13"/>
    <s v="Xcel"/>
    <x v="20"/>
    <x v="3"/>
    <m/>
    <s v="EE Planning &amp; Administration"/>
    <m/>
    <x v="4"/>
    <n v="0"/>
    <n v="0"/>
    <n v="154437"/>
    <n v="0"/>
    <n v="0"/>
    <n v="0"/>
    <n v="0"/>
    <n v="1224988736"/>
    <n v="185460106"/>
    <n v="1451821"/>
    <n v="0"/>
    <n v="0"/>
    <n v="1.260721796547197E-4"/>
    <n v="8.0378722160583335E-5"/>
    <s v=""/>
    <n v="1.7062787948426156E-2"/>
    <m/>
    <m/>
  </r>
  <r>
    <x v="0"/>
    <x v="0"/>
    <x v="4"/>
    <x v="13"/>
    <s v="Xcel"/>
    <x v="20"/>
    <x v="3"/>
    <m/>
    <s v="EE Product Development"/>
    <m/>
    <x v="4"/>
    <n v="0"/>
    <n v="0"/>
    <n v="409330"/>
    <n v="0"/>
    <n v="0"/>
    <n v="0"/>
    <n v="0"/>
    <n v="1224988736"/>
    <n v="185460106"/>
    <n v="1451821"/>
    <n v="0"/>
    <n v="0"/>
    <n v="3.3415001131896125E-4"/>
    <n v="2.1304106102806695E-4"/>
    <s v=""/>
    <n v="4.5224337373357931E-2"/>
    <m/>
    <m/>
  </r>
  <r>
    <x v="0"/>
    <x v="0"/>
    <x v="2"/>
    <x v="1"/>
    <s v="Ameren"/>
    <x v="2"/>
    <x v="0"/>
    <m/>
    <s v="Market Rate Single Family"/>
    <m/>
    <x v="1"/>
    <n v="38560.5"/>
    <n v="42845"/>
    <n v="187396.5"/>
    <n v="121037.5"/>
    <n v="656607163"/>
    <n v="52227229"/>
    <n v="746102"/>
    <n v="934881707"/>
    <n v="155630500"/>
    <n v="814853"/>
    <n v="2.3915980380169598E-5"/>
    <n v="2.6573311533521776E-5"/>
    <n v="2.0044942434626118E-4"/>
    <n v="1.1622699439354916E-4"/>
    <n v="0.19914061885643966"/>
    <n v="5.174364713376535E-2"/>
    <m/>
    <m/>
  </r>
  <r>
    <x v="0"/>
    <x v="0"/>
    <x v="2"/>
    <x v="1"/>
    <s v="Ameren"/>
    <x v="2"/>
    <x v="0"/>
    <m/>
    <s v="Market Rate Single Family"/>
    <m/>
    <x v="6"/>
    <n v="38560.5"/>
    <n v="42845"/>
    <n v="187396.5"/>
    <n v="121037.5"/>
    <n v="656607163"/>
    <n v="52227229"/>
    <n v="746102"/>
    <n v="934881707"/>
    <n v="155630500"/>
    <n v="814853"/>
    <n v="2.3915980380169598E-5"/>
    <n v="2.6573311533521776E-5"/>
    <n v="2.0044942434626118E-4"/>
    <n v="1.1622699439354916E-4"/>
    <n v="0.19914061885643966"/>
    <n v="5.174364713376535E-2"/>
    <m/>
    <m/>
  </r>
  <r>
    <x v="0"/>
    <x v="0"/>
    <x v="2"/>
    <x v="1"/>
    <s v="Ameren"/>
    <x v="2"/>
    <x v="0"/>
    <m/>
    <s v="Market Rate Multifamily"/>
    <m/>
    <x v="6"/>
    <n v="60990"/>
    <n v="67766.666666666672"/>
    <n v="522455"/>
    <n v="113868"/>
    <n v="656607163"/>
    <n v="52227229"/>
    <n v="746102"/>
    <n v="934881707"/>
    <n v="155630500"/>
    <n v="814853"/>
    <n v="3.7827197349270466E-5"/>
    <n v="4.2030219276967192E-5"/>
    <n v="5.5884610436601474E-4"/>
    <n v="3.2403686491413514E-4"/>
    <n v="0.55519719965229442"/>
    <n v="0.14425950945333224"/>
    <m/>
    <m/>
  </r>
  <r>
    <x v="0"/>
    <x v="0"/>
    <x v="2"/>
    <x v="1"/>
    <s v="Ameren"/>
    <x v="2"/>
    <x v="0"/>
    <m/>
    <s v="Direct Distribution Efficient Products"/>
    <m/>
    <x v="13"/>
    <n v="51962"/>
    <n v="57735.555555555555"/>
    <n v="117206"/>
    <n v="76605"/>
    <n v="656607163"/>
    <n v="52227229"/>
    <n v="746102"/>
    <n v="934881707"/>
    <n v="155630500"/>
    <n v="814853"/>
    <n v="3.2227854216474697E-5"/>
    <n v="3.5808726907194112E-5"/>
    <n v="1.2536987206232712E-4"/>
    <n v="7.2693466019324384E-5"/>
    <n v="0.12455128763711099"/>
    <n v="3.2362749069273444E-2"/>
    <m/>
    <m/>
  </r>
  <r>
    <x v="0"/>
    <x v="0"/>
    <x v="2"/>
    <x v="1"/>
    <s v="Ameren"/>
    <x v="2"/>
    <x v="0"/>
    <m/>
    <s v="Retail Products"/>
    <m/>
    <x v="6"/>
    <n v="661469"/>
    <n v="734965.5555555555"/>
    <n v="1017157"/>
    <n v="742570"/>
    <n v="656607163"/>
    <n v="52227229"/>
    <n v="746102"/>
    <n v="934881707"/>
    <n v="155630500"/>
    <n v="814853"/>
    <n v="4.1025608138095732E-4"/>
    <n v="4.5584009042328594E-4"/>
    <n v="1.0880061000059765E-3"/>
    <n v="6.3086077347420722E-4"/>
    <n v="1.080902121726711"/>
    <n v="0.28085590119153431"/>
    <m/>
    <m/>
  </r>
  <r>
    <x v="0"/>
    <x v="0"/>
    <x v="2"/>
    <x v="1"/>
    <s v="Ameren"/>
    <x v="2"/>
    <x v="0"/>
    <m/>
    <s v="Residential Market Transformation"/>
    <m/>
    <x v="6"/>
    <n v="89484"/>
    <n v="99426.666666666657"/>
    <n v="64807"/>
    <n v="17347"/>
    <n v="656607163"/>
    <n v="52227229"/>
    <n v="746102"/>
    <n v="934881707"/>
    <n v="155630500"/>
    <n v="814853"/>
    <n v="5.5499736474866679E-5"/>
    <n v="6.1666373860962969E-5"/>
    <n v="6.9321069729734271E-5"/>
    <n v="4.0194575809381392E-5"/>
    <n v="6.8868447843098909E-2"/>
    <n v="1.7894413928744298E-2"/>
    <m/>
    <m/>
  </r>
  <r>
    <x v="0"/>
    <x v="1"/>
    <x v="2"/>
    <x v="1"/>
    <s v="Ameren"/>
    <x v="2"/>
    <x v="1"/>
    <n v="1"/>
    <s v="Income Qualified"/>
    <m/>
    <x v="6"/>
    <n v="1579438"/>
    <n v="1754931.111111111"/>
    <n v="6863485"/>
    <n v="4549579"/>
    <n v="0"/>
    <n v="0"/>
    <n v="0"/>
    <n v="934881707"/>
    <n v="155630500"/>
    <n v="814853"/>
    <n v="9.7959850675417349E-4"/>
    <n v="1.0884427852824151E-3"/>
    <n v="7.3415544967979571E-3"/>
    <n v="4.256868365285417E-3"/>
    <n v="6.1700902569265894"/>
    <n v="1.8951354264775033"/>
    <m/>
    <m/>
  </r>
  <r>
    <x v="0"/>
    <x v="0"/>
    <x v="2"/>
    <x v="1"/>
    <s v="Ameren"/>
    <x v="2"/>
    <x v="1"/>
    <n v="1"/>
    <s v="Income Qualified - CAA"/>
    <m/>
    <x v="13"/>
    <n v="231432"/>
    <n v="257146.66666666666"/>
    <n v="1966162"/>
    <n v="1472781"/>
    <n v="0"/>
    <n v="0"/>
    <n v="0"/>
    <n v="934881707"/>
    <n v="155630500"/>
    <n v="814853"/>
    <n v="1.4353867743788101E-4"/>
    <n v="1.5948741937542334E-4"/>
    <n v="2.1031131374998654E-3"/>
    <n v="1.2194523363606546E-3"/>
    <n v="1.7675272838418525"/>
    <n v="0.54289377195314936"/>
    <m/>
    <m/>
  </r>
  <r>
    <x v="0"/>
    <x v="0"/>
    <x v="2"/>
    <x v="1"/>
    <s v="Ameren"/>
    <x v="2"/>
    <x v="1"/>
    <n v="1"/>
    <s v="Income Qualified - Single Family"/>
    <m/>
    <x v="1"/>
    <n v="399533"/>
    <n v="443925.55555555556"/>
    <n v="3429617"/>
    <n v="2482660"/>
    <n v="0"/>
    <n v="0"/>
    <n v="0"/>
    <n v="934881707"/>
    <n v="155630500"/>
    <n v="814853"/>
    <n v="2.4779822329145887E-4"/>
    <n v="2.7533135921273207E-4"/>
    <n v="3.6685036987251693E-3"/>
    <n v="2.1271159057454159E-3"/>
    <n v="3.0831343605602402"/>
    <n v="0.9469808232915925"/>
    <m/>
    <m/>
  </r>
  <r>
    <x v="0"/>
    <x v="0"/>
    <x v="2"/>
    <x v="1"/>
    <s v="Ameren"/>
    <x v="2"/>
    <x v="1"/>
    <n v="1"/>
    <s v="Income Qualified - Multifamily"/>
    <m/>
    <x v="1"/>
    <n v="32208"/>
    <n v="35786.666666666664"/>
    <n v="630990"/>
    <n v="194750"/>
    <n v="0"/>
    <n v="0"/>
    <n v="0"/>
    <n v="934881707"/>
    <n v="155630500"/>
    <n v="814853"/>
    <n v="1.9976034960244355E-5"/>
    <n v="2.2195594400271503E-5"/>
    <n v="6.7494100619940782E-4"/>
    <n v="3.9135240622095708E-4"/>
    <n v="0.56724320825617147"/>
    <n v="0.17422803470147308"/>
    <m/>
    <m/>
  </r>
  <r>
    <x v="0"/>
    <x v="0"/>
    <x v="2"/>
    <x v="1"/>
    <s v="Ameren"/>
    <x v="2"/>
    <x v="1"/>
    <n v="1"/>
    <s v="Income Qualified - Retail Products"/>
    <m/>
    <x v="6"/>
    <n v="212167"/>
    <n v="235741.11111111109"/>
    <n v="637876"/>
    <n v="244960"/>
    <n v="0"/>
    <n v="0"/>
    <n v="0"/>
    <n v="934881707"/>
    <n v="155630500"/>
    <n v="814853"/>
    <n v="1.3159014559768268E-4"/>
    <n v="1.4621127288631409E-4"/>
    <n v="6.8230664395704126E-4"/>
    <n v="3.9562323883199292E-4"/>
    <n v="0.57343353889857784"/>
    <n v="0.17612938693677685"/>
    <m/>
    <m/>
  </r>
  <r>
    <x v="0"/>
    <x v="0"/>
    <x v="2"/>
    <x v="1"/>
    <s v="Ameren"/>
    <x v="2"/>
    <x v="1"/>
    <n v="1"/>
    <s v="Income Qualified - Community Kits"/>
    <m/>
    <x v="13"/>
    <n v="33719"/>
    <n v="37465.555555555555"/>
    <n v="59927"/>
    <n v="43583"/>
    <n v="0"/>
    <n v="0"/>
    <n v="0"/>
    <n v="934881707"/>
    <n v="155630500"/>
    <n v="814853"/>
    <n v="2.0913186873586668E-5"/>
    <n v="2.3236874303985186E-5"/>
    <n v="6.4101157987467172E-5"/>
    <n v="3.7167903845708007E-5"/>
    <n v="5.3872777288336719E-2"/>
    <n v="1.6546955475610036E-2"/>
    <m/>
    <m/>
  </r>
  <r>
    <x v="0"/>
    <x v="0"/>
    <x v="2"/>
    <x v="1"/>
    <s v="Ameren"/>
    <x v="2"/>
    <x v="1"/>
    <n v="1"/>
    <s v="Income Qualified - Smart Savers"/>
    <m/>
    <x v="6"/>
    <n v="109813"/>
    <n v="122014.44444444444"/>
    <n v="138913"/>
    <n v="110845"/>
    <n v="0"/>
    <n v="0"/>
    <n v="0"/>
    <n v="934881707"/>
    <n v="155630500"/>
    <n v="814853"/>
    <n v="6.8108182038292147E-5"/>
    <n v="7.5675757820324596E-5"/>
    <n v="1.4858885242900575E-4"/>
    <n v="8.6156574280688779E-5"/>
    <n v="0.12487908808141103"/>
    <n v="3.8356454118901609E-2"/>
    <m/>
    <m/>
  </r>
  <r>
    <x v="0"/>
    <x v="0"/>
    <x v="2"/>
    <x v="1"/>
    <s v="Ameren"/>
    <x v="2"/>
    <x v="1"/>
    <n v="1"/>
    <s v="Income Qualified - Manufactured Homes Weatherization"/>
    <m/>
    <x v="1"/>
    <n v="42392"/>
    <n v="47102.222222222219"/>
    <n v="266287"/>
    <n v="150282"/>
    <n v="0"/>
    <n v="0"/>
    <n v="0"/>
    <n v="934881707"/>
    <n v="155630500"/>
    <n v="814853"/>
    <n v="2.6292352025418488E-5"/>
    <n v="2.9213724472687211E-5"/>
    <n v="2.8483496682645004E-4"/>
    <n v="1.6515643385055232E-4"/>
    <n v="0.23938492241859796"/>
    <n v="7.3526776456918741E-2"/>
    <m/>
    <m/>
  </r>
  <r>
    <x v="0"/>
    <x v="0"/>
    <x v="2"/>
    <x v="1"/>
    <s v="Ameren"/>
    <x v="2"/>
    <x v="1"/>
    <n v="1"/>
    <s v="Public Housing"/>
    <m/>
    <x v="6"/>
    <n v="51116"/>
    <n v="56795.555555555555"/>
    <n v="407996"/>
    <n v="160747"/>
    <n v="0"/>
    <n v="0"/>
    <n v="0"/>
    <n v="934881707"/>
    <n v="155630500"/>
    <n v="814853"/>
    <n v="3.1703148380149359E-5"/>
    <n v="3.522572042238817E-5"/>
    <n v="4.3641457196680393E-4"/>
    <n v="2.530471423137064E-4"/>
    <n v="0.36677754004926372"/>
    <n v="0.11265525800101778"/>
    <m/>
    <m/>
  </r>
  <r>
    <x v="0"/>
    <x v="0"/>
    <x v="2"/>
    <x v="1"/>
    <s v="Ameren"/>
    <x v="2"/>
    <x v="2"/>
    <m/>
    <s v="Standard"/>
    <m/>
    <x v="6"/>
    <n v="172423"/>
    <n v="191581.11111111109"/>
    <n v="1297816"/>
    <n v="498929"/>
    <n v="278274544"/>
    <n v="103403271"/>
    <n v="68751"/>
    <n v="934881707"/>
    <n v="155630500"/>
    <n v="814853"/>
    <n v="1.0694013524435582E-4"/>
    <n v="1.1882237249372867E-4"/>
    <n v="1.3882141347750212E-3"/>
    <n v="8.0493100434564347E-4"/>
    <n v="0.82756896801292157"/>
    <n v="0.35835105324034766"/>
    <m/>
    <m/>
  </r>
  <r>
    <x v="0"/>
    <x v="0"/>
    <x v="2"/>
    <x v="1"/>
    <s v="Ameren"/>
    <x v="2"/>
    <x v="2"/>
    <m/>
    <s v="Small Business"/>
    <m/>
    <x v="10"/>
    <n v="88327"/>
    <n v="98141.111111111109"/>
    <n v="307931"/>
    <n v="244563"/>
    <n v="278274544"/>
    <n v="103403271"/>
    <n v="68751"/>
    <n v="934881707"/>
    <n v="155630500"/>
    <n v="814853"/>
    <n v="5.4782142322823616E-5"/>
    <n v="6.0869047025359575E-5"/>
    <n v="3.2937963989918993E-4"/>
    <n v="1.9098486156678477E-4"/>
    <n v="0.19635613976803104"/>
    <n v="8.5025456748378428E-2"/>
    <m/>
    <m/>
  </r>
  <r>
    <x v="0"/>
    <x v="0"/>
    <x v="2"/>
    <x v="1"/>
    <s v="Ameren"/>
    <x v="2"/>
    <x v="2"/>
    <m/>
    <s v="Midstream"/>
    <m/>
    <x v="6"/>
    <n v="133909"/>
    <n v="148787.77777777778"/>
    <n v="375982"/>
    <n v="179737"/>
    <n v="278274544"/>
    <n v="103403271"/>
    <n v="68751"/>
    <n v="934881707"/>
    <n v="155630500"/>
    <n v="814853"/>
    <n v="8.305299507859418E-5"/>
    <n v="9.2281105642882428E-5"/>
    <n v="4.0217066735267717E-4"/>
    <n v="2.3319142996841135E-4"/>
    <n v="0.23974973010922526"/>
    <n v="0.10381559920621443"/>
    <m/>
    <m/>
  </r>
  <r>
    <x v="0"/>
    <x v="0"/>
    <x v="2"/>
    <x v="1"/>
    <s v="Ameren"/>
    <x v="2"/>
    <x v="2"/>
    <m/>
    <s v="Custom"/>
    <m/>
    <x v="15"/>
    <n v="972315"/>
    <n v="1080350"/>
    <n v="2311497"/>
    <n v="1453339"/>
    <n v="278274544"/>
    <n v="103403271"/>
    <n v="68751"/>
    <n v="934881707"/>
    <n v="155630500"/>
    <n v="814853"/>
    <n v="6.0304888327030522E-4"/>
    <n v="6.7005431474478352E-4"/>
    <n v="2.4725021173186779E-3"/>
    <n v="1.4336358942653982E-3"/>
    <n v="1.4739556199453268"/>
    <n v="0.6382471664025593"/>
    <m/>
    <m/>
  </r>
  <r>
    <x v="0"/>
    <x v="0"/>
    <x v="2"/>
    <x v="1"/>
    <s v="Ameren"/>
    <x v="2"/>
    <x v="2"/>
    <m/>
    <s v="Retro-Commissioning"/>
    <m/>
    <x v="12"/>
    <n v="52000"/>
    <n v="57777.777777777774"/>
    <n v="553695"/>
    <n v="78000"/>
    <n v="278274544"/>
    <n v="103403271"/>
    <n v="68751"/>
    <n v="934881707"/>
    <n v="155630500"/>
    <n v="814853"/>
    <n v="3.2251422563732811E-5"/>
    <n v="3.5834913959703122E-5"/>
    <n v="5.922620967488885E-4"/>
    <n v="3.4341252723896231E-4"/>
    <n v="0.35307069703556948"/>
    <n v="0.15288545250167535"/>
    <m/>
    <m/>
  </r>
  <r>
    <x v="0"/>
    <x v="0"/>
    <x v="2"/>
    <x v="1"/>
    <s v="Ameren"/>
    <x v="2"/>
    <x v="2"/>
    <m/>
    <s v="Streetlighting"/>
    <m/>
    <x v="4"/>
    <n v="0"/>
    <n v="0"/>
    <n v="0"/>
    <n v="0"/>
    <n v="278274544"/>
    <n v="103403271"/>
    <n v="68751"/>
    <n v="934881707"/>
    <n v="155630500"/>
    <n v="814853"/>
    <n v="0"/>
    <n v="0"/>
    <n v="0"/>
    <n v="0"/>
    <n v="0"/>
    <n v="0"/>
    <m/>
    <m/>
  </r>
  <r>
    <x v="0"/>
    <x v="0"/>
    <x v="2"/>
    <x v="1"/>
    <s v="Ameren"/>
    <x v="2"/>
    <x v="2"/>
    <m/>
    <s v="Business Market Transformation"/>
    <m/>
    <x v="4"/>
    <n v="0"/>
    <n v="0"/>
    <n v="10500"/>
    <n v="0"/>
    <n v="278274544"/>
    <n v="103403271"/>
    <n v="68751"/>
    <n v="934881707"/>
    <n v="155630500"/>
    <n v="814853"/>
    <n v="0"/>
    <n v="0"/>
    <n v="1.1231367478238614E-5"/>
    <n v="6.5123064792152791E-6"/>
    <n v="6.695459267057639E-3"/>
    <n v="2.8992446225224919E-3"/>
    <m/>
    <m/>
  </r>
  <r>
    <x v="0"/>
    <x v="0"/>
    <x v="2"/>
    <x v="1"/>
    <s v="Ameren"/>
    <x v="2"/>
    <x v="2"/>
    <m/>
    <s v="Breakthrough Equipment &amp; Devices"/>
    <m/>
    <x v="6"/>
    <n v="149253"/>
    <n v="165836.66666666666"/>
    <m/>
    <m/>
    <n v="278274544"/>
    <n v="103403271"/>
    <n v="68751"/>
    <n v="934881707"/>
    <n v="155630500"/>
    <n v="814853"/>
    <n v="9.2569645613554114E-5"/>
    <n v="1.0285516179283789E-4"/>
    <n v="0"/>
    <n v="0"/>
    <n v="0"/>
    <n v="0"/>
    <m/>
    <m/>
  </r>
  <r>
    <x v="0"/>
    <x v="0"/>
    <x v="2"/>
    <x v="3"/>
    <s v="CtPt"/>
    <x v="21"/>
    <x v="0"/>
    <m/>
    <s v="Home Efficiency Rebates"/>
    <m/>
    <x v="9"/>
    <n v="2904280"/>
    <n v="2904280"/>
    <n v="10612750"/>
    <n v="8745750"/>
    <n v="671522278"/>
    <n v="68242994"/>
    <n v="821309"/>
    <n v="1122230698"/>
    <n v="157605245"/>
    <n v="892595"/>
    <n v="1.7787219412393753E-3"/>
    <n v="1.7787219412393753E-3"/>
    <n v="9.4568345162128146E-3"/>
    <n v="6.4997628609804086E-3"/>
    <n v="1.6265623443403094"/>
    <n v="0.57292169957638528"/>
    <m/>
    <s v="FirstTracks Gas Benchmarking - CPE 2024-2026 Triennial.pdf - All Documents (sharepoint.com)"/>
  </r>
  <r>
    <x v="0"/>
    <x v="0"/>
    <x v="2"/>
    <x v="3"/>
    <s v="CtPt"/>
    <x v="21"/>
    <x v="0"/>
    <m/>
    <s v="DIY Home Efficiency"/>
    <m/>
    <x v="6"/>
    <n v="444830"/>
    <n v="444830"/>
    <n v="929285"/>
    <n v="0"/>
    <n v="671522278"/>
    <n v="68242994"/>
    <n v="821309"/>
    <n v="1122230698"/>
    <n v="157605245"/>
    <n v="892595"/>
    <n v="2.7243546804079196E-4"/>
    <n v="2.7243546804079196E-4"/>
    <n v="8.2806948843596861E-4"/>
    <n v="5.691392080531605E-4"/>
    <n v="0.14242679683967721"/>
    <n v="5.0166784442377446E-2"/>
    <m/>
    <m/>
  </r>
  <r>
    <x v="0"/>
    <x v="0"/>
    <x v="2"/>
    <x v="3"/>
    <s v="CtPt"/>
    <x v="21"/>
    <x v="0"/>
    <m/>
    <s v="Home Insulation Rebates"/>
    <m/>
    <x v="1"/>
    <n v="317520"/>
    <n v="317520"/>
    <n v="1840375"/>
    <n v="1556100"/>
    <n v="671522278"/>
    <n v="68242994"/>
    <n v="821309"/>
    <n v="1122230698"/>
    <n v="157605245"/>
    <n v="892595"/>
    <n v="1.9446464899469971E-4"/>
    <n v="1.9446464899469971E-4"/>
    <n v="1.6399257329886372E-3"/>
    <n v="1.1271349155757763E-3"/>
    <n v="0.2820649383491835"/>
    <n v="9.9351324855281628E-2"/>
    <m/>
    <m/>
  </r>
  <r>
    <x v="0"/>
    <x v="0"/>
    <x v="2"/>
    <x v="3"/>
    <s v="CtPt"/>
    <x v="21"/>
    <x v="0"/>
    <m/>
    <s v="Home Energy Reports"/>
    <m/>
    <x v="5"/>
    <n v="1014810"/>
    <n v="1014810"/>
    <n v="1652238"/>
    <n v="0"/>
    <n v="671522278"/>
    <n v="68242994"/>
    <n v="821309"/>
    <n v="1122230698"/>
    <n v="157605245"/>
    <n v="892595"/>
    <n v="6.2151886635900477E-4"/>
    <n v="6.2151886635900477E-4"/>
    <n v="1.4722801674776499E-3"/>
    <n v="1.0119106913759909E-3"/>
    <n v="0.25323013494976743"/>
    <n v="8.9194883801530025E-2"/>
    <m/>
    <m/>
  </r>
  <r>
    <x v="0"/>
    <x v="0"/>
    <x v="2"/>
    <x v="3"/>
    <s v="CtPt"/>
    <x v="21"/>
    <x v="0"/>
    <m/>
    <s v="Home Energy Squad"/>
    <m/>
    <x v="6"/>
    <n v="349600"/>
    <n v="349600"/>
    <n v="2965151"/>
    <n v="0"/>
    <n v="671522278"/>
    <n v="68242994"/>
    <n v="821309"/>
    <n v="1122230698"/>
    <n v="157605245"/>
    <n v="892595"/>
    <n v="2.1411199700348645E-4"/>
    <n v="2.1411199700348645E-4"/>
    <n v="2.6421938067497062E-3"/>
    <n v="1.8160022941272451E-3"/>
    <n v="0.45445364885472783"/>
    <n v="0.16007155076870919"/>
    <m/>
    <m/>
  </r>
  <r>
    <x v="0"/>
    <x v="0"/>
    <x v="2"/>
    <x v="3"/>
    <s v="CtPt"/>
    <x v="21"/>
    <x v="0"/>
    <m/>
    <s v="High Efficiency Home"/>
    <m/>
    <x v="0"/>
    <n v="1053700"/>
    <n v="1053700"/>
    <n v="7031750"/>
    <n v="5512500"/>
    <n v="671522278"/>
    <n v="68242994"/>
    <n v="821309"/>
    <n v="1122230698"/>
    <n v="157605245"/>
    <n v="892595"/>
    <n v="6.4533698868013065E-4"/>
    <n v="6.4533698868013065E-4"/>
    <n v="6.2658685175265095E-3"/>
    <n v="4.3065847681043072E-3"/>
    <n v="1.0777206440192195"/>
    <n v="0.37960398209665236"/>
    <m/>
    <m/>
  </r>
  <r>
    <x v="0"/>
    <x v="0"/>
    <x v="2"/>
    <x v="3"/>
    <s v="CtPt"/>
    <x v="21"/>
    <x v="0"/>
    <m/>
    <s v="New Home Construction Rebates"/>
    <m/>
    <x v="0"/>
    <n v="148430"/>
    <n v="148430"/>
    <n v="650620"/>
    <n v="385375"/>
    <n v="671522278"/>
    <n v="68242994"/>
    <n v="821309"/>
    <n v="1122230698"/>
    <n v="157605245"/>
    <n v="892595"/>
    <n v="9.0905731450879559E-5"/>
    <n v="9.0905731450879559E-5"/>
    <n v="5.7975601733183026E-4"/>
    <n v="3.984712456819461E-4"/>
    <n v="9.9717226211367666E-2"/>
    <n v="3.5123254215767619E-2"/>
    <m/>
    <m/>
  </r>
  <r>
    <x v="0"/>
    <x v="0"/>
    <x v="2"/>
    <x v="3"/>
    <s v="CtPt"/>
    <x v="21"/>
    <x v="0"/>
    <m/>
    <s v="Energy Efficiency Kits"/>
    <m/>
    <x v="13"/>
    <n v="217330"/>
    <n v="217330"/>
    <n v="426313"/>
    <n v="0"/>
    <n v="671522278"/>
    <n v="68242994"/>
    <n v="821309"/>
    <n v="1122230698"/>
    <n v="157605245"/>
    <n v="892595"/>
    <n v="1.3310343337748202E-4"/>
    <n v="1.3310343337748202E-4"/>
    <n v="3.7988000217759147E-4"/>
    <n v="2.6109475909195457E-4"/>
    <n v="6.5338830435349021E-2"/>
    <n v="2.3014201645332976E-2"/>
    <m/>
    <m/>
  </r>
  <r>
    <x v="0"/>
    <x v="0"/>
    <x v="2"/>
    <x v="3"/>
    <s v="CtPt"/>
    <x v="21"/>
    <x v="0"/>
    <m/>
    <s v="Residential Code Support"/>
    <m/>
    <x v="4"/>
    <n v="0"/>
    <n v="0"/>
    <n v="150982"/>
    <n v="0"/>
    <n v="671522278"/>
    <n v="68242994"/>
    <n v="821309"/>
    <n v="1122230698"/>
    <n v="157605245"/>
    <n v="892595"/>
    <n v="0"/>
    <n v="0"/>
    <n v="1.345373997245618E-4"/>
    <n v="9.2468700033124685E-5"/>
    <n v="2.3140245070616815E-2"/>
    <n v="8.1506550182979722E-3"/>
    <m/>
    <m/>
  </r>
  <r>
    <x v="0"/>
    <x v="0"/>
    <x v="2"/>
    <x v="3"/>
    <s v="CtPt"/>
    <x v="21"/>
    <x v="1"/>
    <n v="1"/>
    <s v="Low-Income Weatherization"/>
    <m/>
    <x v="1"/>
    <n v="162850"/>
    <n v="162850"/>
    <n v="3962192"/>
    <n v="0"/>
    <n v="0"/>
    <n v="0"/>
    <n v="0"/>
    <n v="1122230698"/>
    <n v="157605245"/>
    <n v="892595"/>
    <n v="9.9737238878769356E-5"/>
    <n v="9.9737238878769356E-5"/>
    <n v="3.530639472847498E-3"/>
    <n v="2.4266385630184149E-3"/>
    <n v="10.48143484471721"/>
    <n v="0.21389609429110809"/>
    <m/>
    <m/>
  </r>
  <r>
    <x v="0"/>
    <x v="0"/>
    <x v="2"/>
    <x v="3"/>
    <s v="CtPt"/>
    <x v="21"/>
    <x v="1"/>
    <n v="1"/>
    <s v="Low-Income Rental Efficiency"/>
    <m/>
    <x v="1"/>
    <n v="14230"/>
    <n v="14230"/>
    <n v="544879"/>
    <m/>
    <n v="0"/>
    <n v="0"/>
    <n v="0"/>
    <n v="1122230698"/>
    <n v="157605245"/>
    <n v="892595"/>
    <n v="8.7151422121270372E-6"/>
    <n v="8.7151422121270372E-6"/>
    <n v="4.8553207550913031E-4"/>
    <n v="3.3371032841894365E-4"/>
    <n v="1.4414025712925242"/>
    <n v="2.9414902145389391E-2"/>
    <m/>
    <s v="FirstTracks Gas Benchmarking - CPE 2024-2026 Triennial.pdf - All Documents (sharepoint.com)"/>
  </r>
  <r>
    <x v="0"/>
    <x v="0"/>
    <x v="2"/>
    <x v="3"/>
    <s v="CtPt"/>
    <x v="21"/>
    <x v="1"/>
    <n v="1"/>
    <s v="Low-Income Rental Efficiency"/>
    <m/>
    <x v="9"/>
    <n v="14230"/>
    <n v="14230"/>
    <n v="544879"/>
    <n v="0"/>
    <n v="0"/>
    <n v="0"/>
    <n v="0"/>
    <n v="1122230698"/>
    <n v="157605245"/>
    <n v="892595"/>
    <n v="8.7151422121270372E-6"/>
    <n v="8.7151422121270372E-6"/>
    <n v="4.8553207550913031E-4"/>
    <n v="3.3371032841894365E-4"/>
    <n v="1.4414025712925242"/>
    <n v="2.9414902145389391E-2"/>
    <m/>
    <m/>
  </r>
  <r>
    <x v="0"/>
    <x v="0"/>
    <x v="2"/>
    <x v="3"/>
    <s v="CtPt"/>
    <x v="21"/>
    <x v="1"/>
    <n v="1"/>
    <s v="Homeowner Efficiency Lift Program"/>
    <m/>
    <x v="1"/>
    <n v="50595"/>
    <n v="50595"/>
    <n v="942061.33333333326"/>
    <m/>
    <n v="0"/>
    <n v="0"/>
    <n v="0"/>
    <n v="1122230698"/>
    <n v="157605245"/>
    <n v="892595"/>
    <n v="3.0986832060616124E-5"/>
    <n v="3.0986832060616124E-5"/>
    <n v="8.3945425393570298E-4"/>
    <n v="5.7696405428995167E-4"/>
    <n v="2.4920938927393612"/>
    <n v="5.0856505636948851E-2"/>
    <m/>
    <s v="FirstTracks Gas Benchmarking - CPE 2024-2026 Triennial.pdf - All Documents (sharepoint.com)"/>
  </r>
  <r>
    <x v="0"/>
    <x v="0"/>
    <x v="2"/>
    <x v="3"/>
    <s v="CtPt"/>
    <x v="21"/>
    <x v="1"/>
    <n v="1"/>
    <s v="Homeowner Efficiency Lift Program"/>
    <m/>
    <x v="9"/>
    <n v="16865"/>
    <n v="16865"/>
    <n v="471030.66666666663"/>
    <n v="0"/>
    <n v="0"/>
    <n v="0"/>
    <n v="0"/>
    <n v="1122230698"/>
    <n v="157605245"/>
    <n v="892595"/>
    <n v="1.0328944020205375E-5"/>
    <n v="1.0328944020205375E-5"/>
    <n v="4.1972712696785149E-4"/>
    <n v="2.8848202714497584E-4"/>
    <n v="1.2460469463696806"/>
    <n v="2.5428252818474426E-2"/>
    <m/>
    <m/>
  </r>
  <r>
    <x v="0"/>
    <x v="0"/>
    <x v="2"/>
    <x v="3"/>
    <s v="CtPt"/>
    <x v="21"/>
    <x v="1"/>
    <n v="1"/>
    <s v="Low-Income Free Heating System"/>
    <m/>
    <x v="9"/>
    <n v="18280"/>
    <n v="18280"/>
    <n v="163563"/>
    <n v="0"/>
    <n v="0"/>
    <n v="0"/>
    <n v="0"/>
    <n v="1122230698"/>
    <n v="157605245"/>
    <n v="892595"/>
    <n v="1.1195558653385962E-5"/>
    <n v="1.1195558653385962E-5"/>
    <n v="1.4574810713295958E-4"/>
    <n v="1.0017391466213174E-4"/>
    <n v="0.43268345590180413"/>
    <n v="8.8298312829202912E-3"/>
    <m/>
    <m/>
  </r>
  <r>
    <x v="0"/>
    <x v="0"/>
    <x v="2"/>
    <x v="3"/>
    <s v="CtPt"/>
    <x v="21"/>
    <x v="1"/>
    <n v="1"/>
    <s v="Non-Profit Affordable Housing"/>
    <m/>
    <x v="1"/>
    <n v="13540"/>
    <n v="13540"/>
    <n v="351686.5"/>
    <n v="262700"/>
    <n v="0"/>
    <n v="0"/>
    <n v="0"/>
    <n v="1122230698"/>
    <n v="157605245"/>
    <n v="892595"/>
    <n v="8.292552744356997E-6"/>
    <n v="8.292552744356997E-6"/>
    <n v="3.1338164303183232E-4"/>
    <n v="2.153898708071128E-4"/>
    <n v="0.93033834188667264"/>
    <n v="1.8985543548851187E-2"/>
    <m/>
    <s v="FirstTracks Gas Benchmarking - CPE 2024-2026 Triennial.pdf - All Documents (sharepoint.com)"/>
  </r>
  <r>
    <x v="0"/>
    <x v="0"/>
    <x v="2"/>
    <x v="3"/>
    <s v="CtPt"/>
    <x v="21"/>
    <x v="1"/>
    <n v="1"/>
    <s v="Non-Profit Affordable Housing"/>
    <m/>
    <x v="9"/>
    <n v="13540"/>
    <n v="13540"/>
    <n v="351686.5"/>
    <n v="262700"/>
    <n v="0"/>
    <n v="0"/>
    <n v="0"/>
    <n v="1122230698"/>
    <n v="157605245"/>
    <n v="892595"/>
    <n v="8.292552744356997E-6"/>
    <n v="8.292552744356997E-6"/>
    <n v="3.1338164303183232E-4"/>
    <n v="2.153898708071128E-4"/>
    <n v="0.93033834188667264"/>
    <n v="1.8985543548851187E-2"/>
    <m/>
    <m/>
  </r>
  <r>
    <x v="0"/>
    <x v="0"/>
    <x v="2"/>
    <x v="3"/>
    <s v="CtPt"/>
    <x v="21"/>
    <x v="1"/>
    <n v="1"/>
    <s v="Low-Income Multi-Family Housing"/>
    <m/>
    <x v="6"/>
    <n v="73890"/>
    <n v="73890"/>
    <n v="650234"/>
    <n v="181741"/>
    <n v="0"/>
    <n v="0"/>
    <n v="0"/>
    <n v="1122230698"/>
    <n v="157605245"/>
    <n v="892595"/>
    <n v="4.525381996163505E-5"/>
    <n v="4.525381996163505E-5"/>
    <n v="5.7941205953359156E-4"/>
    <n v="3.9823484055939647E-4"/>
    <n v="1.7201047563620973"/>
    <n v="3.5102416282523509E-2"/>
    <m/>
    <m/>
  </r>
  <r>
    <x v="0"/>
    <x v="0"/>
    <x v="2"/>
    <x v="3"/>
    <s v="CtPt"/>
    <x v="21"/>
    <x v="1"/>
    <n v="1"/>
    <s v="Low-Income Support and Awareness"/>
    <m/>
    <x v="4"/>
    <n v="0"/>
    <n v="0"/>
    <n v="323125"/>
    <n v="0"/>
    <n v="0"/>
    <n v="0"/>
    <n v="0"/>
    <n v="1122230698"/>
    <n v="157605245"/>
    <n v="892595"/>
    <n v="0"/>
    <n v="0"/>
    <n v="2.8793099366811295E-4"/>
    <n v="1.9789742285970124E-4"/>
    <n v="0.8547828157240358"/>
    <n v="1.7443671449494193E-2"/>
    <m/>
    <m/>
  </r>
  <r>
    <x v="0"/>
    <x v="0"/>
    <x v="2"/>
    <x v="3"/>
    <s v="CtPt"/>
    <x v="21"/>
    <x v="2"/>
    <m/>
    <s v="Commercial Foodservice Equipment"/>
    <m/>
    <x v="6"/>
    <n v="490050"/>
    <n v="490050"/>
    <n v="791191"/>
    <n v="502531"/>
    <n v="450708420"/>
    <n v="89362251"/>
    <n v="71286"/>
    <n v="1122230698"/>
    <n v="157605245"/>
    <n v="892595"/>
    <n v="3.0013038939232992E-4"/>
    <n v="3.0013038939232992E-4"/>
    <n v="7.0501635841011359E-4"/>
    <n v="4.8456374433977528E-4"/>
    <n v="6.8081461186585937E-2"/>
    <n v="4.2711878863587655E-2"/>
    <m/>
    <m/>
  </r>
  <r>
    <x v="0"/>
    <x v="0"/>
    <x v="2"/>
    <x v="3"/>
    <s v="CtPt"/>
    <x v="21"/>
    <x v="2"/>
    <m/>
    <s v="C&amp;I Heating and Water Heating"/>
    <m/>
    <x v="17"/>
    <n v="3590405"/>
    <n v="3590405"/>
    <n v="1680106"/>
    <n v="896398.5"/>
    <n v="450708420"/>
    <n v="89362251"/>
    <n v="71286"/>
    <n v="1122230698"/>
    <n v="157605245"/>
    <n v="892595"/>
    <n v="2.198938171056358E-3"/>
    <n v="2.198938171056358E-3"/>
    <n v="1.4971128512116321E-3"/>
    <n v="1.0289784062858685E-3"/>
    <n v="0.14457200780639587"/>
    <n v="9.0699317800615534E-2"/>
    <m/>
    <s v="FirstTracks Gas Benchmarking - CPE 2024-2026 Triennial.pdf - All Documents (sharepoint.com)"/>
  </r>
  <r>
    <x v="0"/>
    <x v="0"/>
    <x v="2"/>
    <x v="3"/>
    <s v="CtPt"/>
    <x v="21"/>
    <x v="2"/>
    <m/>
    <s v="C&amp;I Heating and Water Heating"/>
    <m/>
    <x v="6"/>
    <n v="3590405"/>
    <n v="3590405"/>
    <n v="1680106"/>
    <n v="896398.5"/>
    <n v="450708420"/>
    <n v="89362251"/>
    <n v="71286"/>
    <n v="1122230698"/>
    <n v="157605245"/>
    <n v="892595"/>
    <n v="2.198938171056358E-3"/>
    <n v="2.198938171056358E-3"/>
    <n v="1.4971128512116321E-3"/>
    <n v="1.0289784062858685E-3"/>
    <n v="0.14457200780639587"/>
    <n v="9.0699317800615534E-2"/>
    <m/>
    <m/>
  </r>
  <r>
    <x v="0"/>
    <x v="0"/>
    <x v="2"/>
    <x v="3"/>
    <s v="CtPt"/>
    <x v="21"/>
    <x v="2"/>
    <m/>
    <s v="C&amp;I Custom Rebates"/>
    <m/>
    <x v="15"/>
    <n v="1350050"/>
    <n v="1350050"/>
    <n v="1915416"/>
    <n v="690026"/>
    <n v="450708420"/>
    <n v="89362251"/>
    <n v="71286"/>
    <n v="1122230698"/>
    <n v="157605245"/>
    <n v="892595"/>
    <n v="8.268361028448423E-4"/>
    <n v="8.268361028448423E-4"/>
    <n v="1.7067934457804326E-3"/>
    <n v="1.1730936637655322E-3"/>
    <n v="0.1648202773542238"/>
    <n v="0.10340235943707349"/>
    <m/>
    <m/>
  </r>
  <r>
    <x v="0"/>
    <x v="0"/>
    <x v="2"/>
    <x v="3"/>
    <s v="CtPt"/>
    <x v="21"/>
    <x v="2"/>
    <m/>
    <s v="C&amp;I Audit Services"/>
    <m/>
    <x v="6"/>
    <n v="85380"/>
    <n v="85380"/>
    <n v="701962"/>
    <n v="29625"/>
    <n v="450708420"/>
    <n v="89362251"/>
    <n v="71286"/>
    <n v="1122230698"/>
    <n v="157605245"/>
    <n v="892595"/>
    <n v="5.2290853272762223E-5"/>
    <n v="5.2290853272762223E-5"/>
    <n v="6.2550596882709759E-4"/>
    <n v="4.2991557677506109E-4"/>
    <n v="6.0403364873283745E-2"/>
    <n v="3.7894915274367023E-2"/>
    <m/>
    <m/>
  </r>
  <r>
    <x v="0"/>
    <x v="0"/>
    <x v="2"/>
    <x v="3"/>
    <s v="CtPt"/>
    <x v="21"/>
    <x v="2"/>
    <m/>
    <s v="Energy Design Assistance"/>
    <m/>
    <x v="6"/>
    <n v="1557720"/>
    <n v="1557720"/>
    <n v="1778875"/>
    <n v="778862"/>
    <n v="450708420"/>
    <n v="89362251"/>
    <n v="71286"/>
    <n v="1122230698"/>
    <n v="157605245"/>
    <n v="892595"/>
    <n v="9.5402328367354377E-4"/>
    <n v="9.5402328367354377E-4"/>
    <n v="1.5851241666889422E-3"/>
    <n v="1.0894693325788813E-3"/>
    <n v="0.15307101479704402"/>
    <n v="9.6031291449807307E-2"/>
    <m/>
    <m/>
  </r>
  <r>
    <x v="0"/>
    <x v="0"/>
    <x v="2"/>
    <x v="3"/>
    <s v="CtPt"/>
    <x v="21"/>
    <x v="2"/>
    <m/>
    <s v="Commercial Code Support"/>
    <m/>
    <x v="4"/>
    <n v="0"/>
    <n v="0"/>
    <n v="40861"/>
    <n v="0"/>
    <n v="450708420"/>
    <n v="89362251"/>
    <n v="71286"/>
    <n v="1122230698"/>
    <n v="157605245"/>
    <n v="892595"/>
    <n v="0"/>
    <n v="0"/>
    <n v="3.6410517082468903E-5"/>
    <n v="2.5025258322538499E-5"/>
    <n v="3.5160619692907124E-3"/>
    <n v="2.2058517883103515E-3"/>
    <m/>
    <m/>
  </r>
  <r>
    <x v="0"/>
    <x v="0"/>
    <x v="2"/>
    <x v="3"/>
    <s v="CtPt"/>
    <x v="21"/>
    <x v="2"/>
    <m/>
    <s v="C&amp;I Process Efficiency"/>
    <m/>
    <x v="6"/>
    <n v="143260"/>
    <n v="143260"/>
    <n v="324515"/>
    <n v="82714"/>
    <n v="450708420"/>
    <n v="89362251"/>
    <n v="71286"/>
    <n v="1122230698"/>
    <n v="157605245"/>
    <n v="892595"/>
    <n v="8.7739372685124333E-5"/>
    <n v="8.7739372685124333E-5"/>
    <n v="2.8916959817472398E-4"/>
    <n v="1.987487262802815E-4"/>
    <n v="2.7924300677036187E-2"/>
    <n v="1.7518709602886217E-2"/>
    <m/>
    <m/>
  </r>
  <r>
    <x v="0"/>
    <x v="0"/>
    <x v="2"/>
    <x v="3"/>
    <s v="CtPt"/>
    <x v="21"/>
    <x v="2"/>
    <m/>
    <s v="C&amp;I Training and Education"/>
    <m/>
    <x v="6"/>
    <n v="16120"/>
    <n v="16120"/>
    <n v="143295"/>
    <n v="10000"/>
    <n v="450708420"/>
    <n v="89362251"/>
    <n v="71286"/>
    <n v="1122230698"/>
    <n v="157605245"/>
    <n v="892595"/>
    <n v="9.8726698847145341E-6"/>
    <n v="9.8726698847145341E-6"/>
    <n v="1.2768764947828935E-4"/>
    <n v="8.7760808382764848E-5"/>
    <n v="1.2330439780952808E-2"/>
    <n v="7.7356778347551893E-3"/>
    <m/>
    <m/>
  </r>
  <r>
    <x v="0"/>
    <x v="0"/>
    <x v="2"/>
    <x v="3"/>
    <s v="CtPt"/>
    <x v="21"/>
    <x v="2"/>
    <m/>
    <s v="Benchmarking Services"/>
    <m/>
    <x v="4"/>
    <n v="0"/>
    <n v="0"/>
    <n v="173371"/>
    <n v="19500"/>
    <n v="450708420"/>
    <n v="89362251"/>
    <n v="71286"/>
    <n v="1122230698"/>
    <n v="157605245"/>
    <n v="892595"/>
    <n v="0"/>
    <n v="0"/>
    <n v="1.5448784310478735E-4"/>
    <n v="1.0618080958950644E-4"/>
    <n v="1.4918459648023791E-2"/>
    <n v="9.3593091307396757E-3"/>
    <m/>
    <m/>
  </r>
  <r>
    <x v="0"/>
    <x v="0"/>
    <x v="2"/>
    <x v="3"/>
    <s v="CtPt"/>
    <x v="21"/>
    <x v="2"/>
    <m/>
    <s v="Recommisioning Study &amp; Rebates"/>
    <m/>
    <x v="12"/>
    <n v="157300"/>
    <n v="157300"/>
    <n v="237057"/>
    <n v="125840"/>
    <n v="450708420"/>
    <n v="89362251"/>
    <n v="71286"/>
    <n v="1122230698"/>
    <n v="157605245"/>
    <n v="892595"/>
    <n v="9.633814968148861E-5"/>
    <n v="9.633814968148861E-5"/>
    <n v="2.1123731548466337E-4"/>
    <n v="1.4518520501617701E-4"/>
    <n v="2.0398597740000208E-2"/>
    <n v="1.279735217888664E-2"/>
    <m/>
    <m/>
  </r>
  <r>
    <x v="0"/>
    <x v="0"/>
    <x v="2"/>
    <x v="3"/>
    <s v="CtPt"/>
    <x v="21"/>
    <x v="2"/>
    <m/>
    <s v="Multi-Family Building Efficiency"/>
    <m/>
    <x v="6"/>
    <n v="640550"/>
    <n v="640550"/>
    <n v="1469447"/>
    <n v="502963"/>
    <n v="450708420"/>
    <n v="89362251"/>
    <n v="71286"/>
    <n v="1122230698"/>
    <n v="157605245"/>
    <n v="892595"/>
    <n v="3.9230388924651956E-4"/>
    <n v="3.9230388924651956E-4"/>
    <n v="1.3093983283640313E-3"/>
    <n v="8.999606168786675E-4"/>
    <n v="0.1264449404710685"/>
    <n v="7.9327042724781111E-2"/>
    <m/>
    <m/>
  </r>
  <r>
    <x v="0"/>
    <x v="0"/>
    <x v="2"/>
    <x v="3"/>
    <s v="CtPt"/>
    <x v="21"/>
    <x v="4"/>
    <m/>
    <s v="Analysis, Evaluation, &amp; Program Development"/>
    <m/>
    <x v="4"/>
    <n v="0"/>
    <n v="0"/>
    <n v="0"/>
    <n v="1487000"/>
    <n v="0"/>
    <n v="0"/>
    <n v="0"/>
    <n v="1122230698"/>
    <n v="157605245"/>
    <n v="892595"/>
    <n v="0"/>
    <n v="0"/>
    <n v="0"/>
    <n v="0"/>
    <s v=""/>
    <n v="0"/>
    <m/>
    <m/>
  </r>
  <r>
    <x v="0"/>
    <x v="0"/>
    <x v="2"/>
    <x v="3"/>
    <s v="CtPt"/>
    <x v="21"/>
    <x v="4"/>
    <m/>
    <s v="Energy Efficiency Marketig &amp; Awareness"/>
    <m/>
    <x v="4"/>
    <n v="0"/>
    <n v="0"/>
    <n v="0"/>
    <n v="1002000"/>
    <n v="0"/>
    <n v="0"/>
    <n v="0"/>
    <n v="1122230698"/>
    <n v="157605245"/>
    <n v="892595"/>
    <n v="0"/>
    <n v="0"/>
    <n v="0"/>
    <n v="0"/>
    <s v=""/>
    <n v="0"/>
    <m/>
    <m/>
  </r>
  <r>
    <x v="0"/>
    <x v="0"/>
    <x v="2"/>
    <x v="3"/>
    <s v="CtPt"/>
    <x v="21"/>
    <x v="4"/>
    <m/>
    <s v="Planning &amp; Regulatory Affaris"/>
    <m/>
    <x v="4"/>
    <n v="0"/>
    <n v="0"/>
    <n v="0"/>
    <n v="250000"/>
    <n v="0"/>
    <n v="0"/>
    <n v="0"/>
    <n v="1122230698"/>
    <n v="157605245"/>
    <n v="892595"/>
    <n v="0"/>
    <n v="0"/>
    <n v="0"/>
    <n v="0"/>
    <s v=""/>
    <n v="0"/>
    <m/>
    <m/>
  </r>
  <r>
    <x v="0"/>
    <x v="0"/>
    <x v="2"/>
    <x v="3"/>
    <s v="CtPt"/>
    <x v="21"/>
    <x v="0"/>
    <m/>
    <s v="EZ Pay ON-Bill Loan"/>
    <m/>
    <x v="4"/>
    <n v="0"/>
    <n v="0"/>
    <n v="0"/>
    <n v="518224"/>
    <n v="671522278"/>
    <n v="68242994"/>
    <n v="821309"/>
    <n v="1122230698"/>
    <n v="157605245"/>
    <n v="892595"/>
    <n v="0"/>
    <n v="0"/>
    <n v="0"/>
    <n v="0"/>
    <n v="0"/>
    <n v="0"/>
    <m/>
    <m/>
  </r>
  <r>
    <x v="0"/>
    <x v="0"/>
    <x v="2"/>
    <x v="3"/>
    <s v="CtPt"/>
    <x v="21"/>
    <x v="0"/>
    <m/>
    <s v="EFS Segment Home Efficiency Rebates"/>
    <m/>
    <x v="6"/>
    <n v="67070"/>
    <n v="67070"/>
    <n v="250000"/>
    <n v="305750"/>
    <n v="671522278"/>
    <n v="68242994"/>
    <n v="821309"/>
    <n v="1122230698"/>
    <n v="157605245"/>
    <n v="892595"/>
    <n v="4.107692116425582E-5"/>
    <n v="4.107692116425582E-5"/>
    <n v="2.2277059471420733E-4"/>
    <n v="1.5311212600363733E-4"/>
    <n v="3.8316231521997347E-2"/>
    <n v="1.3496070753960691E-2"/>
    <m/>
    <m/>
  </r>
  <r>
    <x v="0"/>
    <x v="0"/>
    <x v="2"/>
    <x v="3"/>
    <s v="CtPt"/>
    <x v="21"/>
    <x v="0"/>
    <m/>
    <s v="EFS Segment Home Energy Squad"/>
    <m/>
    <x v="4"/>
    <n v="0"/>
    <n v="0"/>
    <n v="0"/>
    <n v="60563"/>
    <n v="671522278"/>
    <n v="68242994"/>
    <n v="821309"/>
    <n v="1122230698"/>
    <n v="157605245"/>
    <n v="892595"/>
    <n v="0"/>
    <n v="0"/>
    <n v="0"/>
    <n v="0"/>
    <n v="0"/>
    <n v="0"/>
    <m/>
    <m/>
  </r>
  <r>
    <x v="0"/>
    <x v="0"/>
    <x v="2"/>
    <x v="3"/>
    <s v="CtPt"/>
    <x v="21"/>
    <x v="0"/>
    <m/>
    <s v="EFS Segmet High Efficiecy Home"/>
    <m/>
    <x v="6"/>
    <n v="6070"/>
    <n v="6070"/>
    <n v="40000"/>
    <n v="51313"/>
    <n v="671522278"/>
    <n v="68242994"/>
    <n v="821309"/>
    <n v="1122230698"/>
    <n v="157605245"/>
    <n v="892595"/>
    <n v="3.717562419368314E-6"/>
    <n v="3.717562419368314E-6"/>
    <n v="3.5643295154273171E-5"/>
    <n v="2.4497940160581977E-5"/>
    <n v="6.1305970435195757E-3"/>
    <n v="2.1593713206337108E-3"/>
    <m/>
    <m/>
  </r>
  <r>
    <x v="0"/>
    <x v="0"/>
    <x v="2"/>
    <x v="3"/>
    <s v="CtPt"/>
    <x v="21"/>
    <x v="0"/>
    <m/>
    <s v="EFS Segment Homeowner Efficiency Lift Program"/>
    <m/>
    <x v="6"/>
    <n v="1010"/>
    <n v="1010"/>
    <n v="0"/>
    <n v="20063"/>
    <n v="671522278"/>
    <n v="68242994"/>
    <n v="821309"/>
    <n v="1122230698"/>
    <n v="157605245"/>
    <n v="892595"/>
    <n v="6.1857298905469477E-7"/>
    <n v="6.1857298905469477E-7"/>
    <n v="0"/>
    <n v="0"/>
    <n v="0"/>
    <n v="0"/>
    <m/>
    <m/>
  </r>
  <r>
    <x v="0"/>
    <x v="0"/>
    <x v="2"/>
    <x v="3"/>
    <s v="CtPt"/>
    <x v="21"/>
    <x v="4"/>
    <m/>
    <s v="ETA"/>
    <m/>
    <x v="4"/>
    <n v="0"/>
    <n v="0"/>
    <n v="0"/>
    <n v="847138"/>
    <n v="0"/>
    <n v="0"/>
    <n v="0"/>
    <n v="1122230698"/>
    <n v="157605245"/>
    <n v="892595"/>
    <n v="0"/>
    <n v="0"/>
    <n v="0"/>
    <n v="0"/>
    <s v=""/>
    <n v="0"/>
    <m/>
    <m/>
  </r>
  <r>
    <x v="0"/>
    <x v="0"/>
    <x v="3"/>
    <x v="3"/>
    <s v="CtPt"/>
    <x v="21"/>
    <x v="0"/>
    <m/>
    <s v="Home Efficiency Rebates"/>
    <m/>
    <x v="2"/>
    <n v="2925260"/>
    <n v="2925260"/>
    <n v="10930884"/>
    <n v="9041625"/>
    <n v="671522278"/>
    <n v="68242994"/>
    <n v="821309"/>
    <n v="1122230698"/>
    <n v="157605245"/>
    <n v="892595"/>
    <n v="1.7915711108536007E-3"/>
    <n v="1.7915711108536007E-3"/>
    <n v="9.7403181177280543E-3"/>
    <n v="6.6946035533565727E-3"/>
    <n v="1.6484269578199695"/>
    <n v="0.55789598862862089"/>
    <m/>
    <m/>
  </r>
  <r>
    <x v="0"/>
    <x v="0"/>
    <x v="3"/>
    <x v="3"/>
    <s v="CtPt"/>
    <x v="21"/>
    <x v="0"/>
    <m/>
    <s v="DIY Home Efficiency"/>
    <m/>
    <x v="2"/>
    <n v="446380"/>
    <n v="446380"/>
    <n v="988661"/>
    <n v="0"/>
    <n v="671522278"/>
    <n v="68242994"/>
    <n v="821309"/>
    <n v="1122230698"/>
    <n v="157605245"/>
    <n v="892595"/>
    <n v="2.733847632220145E-4"/>
    <n v="2.733847632220145E-4"/>
    <n v="8.8097839576297169E-4"/>
    <n v="6.0550395042752842E-4"/>
    <n v="0.1490945695284342"/>
    <n v="5.0459780381308682E-2"/>
    <m/>
    <m/>
  </r>
  <r>
    <x v="0"/>
    <x v="0"/>
    <x v="3"/>
    <x v="3"/>
    <s v="CtPt"/>
    <x v="21"/>
    <x v="0"/>
    <m/>
    <s v="Home Insulation Rebates"/>
    <m/>
    <x v="2"/>
    <n v="320150"/>
    <n v="320150"/>
    <n v="1850681"/>
    <n v="1556100"/>
    <n v="671522278"/>
    <n v="68242994"/>
    <n v="821309"/>
    <n v="1122230698"/>
    <n v="157605245"/>
    <n v="892595"/>
    <n v="1.9607538856025798E-4"/>
    <n v="1.9607538856025798E-4"/>
    <n v="1.6491092279851357E-3"/>
    <n v="1.1334468098581501E-3"/>
    <n v="0.27909110102396284"/>
    <n v="9.445599332416342E-2"/>
    <m/>
    <m/>
  </r>
  <r>
    <x v="0"/>
    <x v="0"/>
    <x v="3"/>
    <x v="3"/>
    <s v="CtPt"/>
    <x v="21"/>
    <x v="0"/>
    <m/>
    <s v="Home Energy Reports"/>
    <m/>
    <x v="2"/>
    <n v="1014810"/>
    <n v="1014810"/>
    <n v="1652647"/>
    <n v="0"/>
    <n v="671522278"/>
    <n v="68242994"/>
    <n v="821309"/>
    <n v="1122230698"/>
    <n v="157605245"/>
    <n v="892595"/>
    <n v="6.2151886635900477E-4"/>
    <n v="6.2151886635900477E-4"/>
    <n v="1.4726446201706023E-3"/>
    <n v="1.0121611828141329E-3"/>
    <n v="0.24922667430743015"/>
    <n v="8.4348633826790628E-2"/>
    <m/>
    <m/>
  </r>
  <r>
    <x v="0"/>
    <x v="0"/>
    <x v="3"/>
    <x v="3"/>
    <s v="CtPt"/>
    <x v="21"/>
    <x v="0"/>
    <m/>
    <s v="Home Energy Squad"/>
    <m/>
    <x v="2"/>
    <n v="349600"/>
    <n v="349600"/>
    <n v="2977231"/>
    <n v="0"/>
    <n v="671522278"/>
    <n v="68242994"/>
    <n v="821309"/>
    <n v="1122230698"/>
    <n v="157605245"/>
    <n v="892595"/>
    <n v="2.1411199700348645E-4"/>
    <n v="2.1411199700348645E-4"/>
    <n v="2.6529580818862968E-3"/>
    <n v="1.8234006720557409E-3"/>
    <n v="0.44897995807633728"/>
    <n v="0.15195342225942363"/>
    <m/>
    <m/>
  </r>
  <r>
    <x v="0"/>
    <x v="0"/>
    <x v="3"/>
    <x v="3"/>
    <s v="CtPt"/>
    <x v="21"/>
    <x v="0"/>
    <m/>
    <s v="High Efficiency Home"/>
    <m/>
    <x v="2"/>
    <n v="1053700"/>
    <n v="1053700"/>
    <n v="7057293"/>
    <n v="5512500"/>
    <n v="671522278"/>
    <n v="68242994"/>
    <n v="821309"/>
    <n v="1122230698"/>
    <n v="157605245"/>
    <n v="892595"/>
    <n v="6.4533698868013065E-4"/>
    <n v="6.4533698868013065E-4"/>
    <n v="6.2886294347296494E-3"/>
    <n v="4.3222285402423509E-3"/>
    <n v="1.0642718402678288"/>
    <n v="0.36019369113027322"/>
    <m/>
    <m/>
  </r>
  <r>
    <x v="0"/>
    <x v="0"/>
    <x v="3"/>
    <x v="3"/>
    <s v="CtPt"/>
    <x v="21"/>
    <x v="0"/>
    <m/>
    <s v="New Home Construction Rebates"/>
    <m/>
    <x v="0"/>
    <n v="152530"/>
    <n v="152530"/>
    <n v="695109"/>
    <n v="425375"/>
    <n v="671522278"/>
    <n v="68242994"/>
    <n v="821309"/>
    <n v="1122230698"/>
    <n v="157605245"/>
    <n v="892595"/>
    <n v="9.3416770317339201E-5"/>
    <n v="9.3416770317339201E-5"/>
    <n v="6.1939938128479179E-4"/>
    <n v="4.2571846717704938E-4"/>
    <n v="0.10482559454690775"/>
    <n v="3.5477324867746469E-2"/>
    <m/>
    <m/>
  </r>
  <r>
    <x v="0"/>
    <x v="0"/>
    <x v="3"/>
    <x v="3"/>
    <s v="CtPt"/>
    <x v="21"/>
    <x v="0"/>
    <m/>
    <s v="Energy Efficiency Kits"/>
    <m/>
    <x v="13"/>
    <n v="217330"/>
    <n v="217330"/>
    <n v="428618"/>
    <n v="0"/>
    <n v="671522278"/>
    <n v="68242994"/>
    <n v="821309"/>
    <n v="1122230698"/>
    <n v="157605245"/>
    <n v="892595"/>
    <n v="1.3310343337748202E-4"/>
    <n v="1.3310343337748202E-4"/>
    <n v="3.8193394706085649E-4"/>
    <n v="2.6250645289370807E-4"/>
    <n v="6.4637541282743433E-2"/>
    <n v="2.1876022365073331E-2"/>
    <m/>
    <m/>
  </r>
  <r>
    <x v="0"/>
    <x v="0"/>
    <x v="3"/>
    <x v="3"/>
    <s v="CtPt"/>
    <x v="21"/>
    <x v="0"/>
    <m/>
    <s v="Residential Code Support"/>
    <m/>
    <x v="4"/>
    <n v="0"/>
    <n v="0"/>
    <n v="125399"/>
    <n v="0"/>
    <n v="671522278"/>
    <n v="68242994"/>
    <n v="821309"/>
    <n v="1122230698"/>
    <n v="157605245"/>
    <n v="892595"/>
    <n v="0"/>
    <n v="0"/>
    <n v="1.1174083922626754E-4"/>
    <n v="7.6800429954920472E-5"/>
    <n v="1.89107387914524E-2"/>
    <n v="6.4001776140008831E-3"/>
    <m/>
    <m/>
  </r>
  <r>
    <x v="0"/>
    <x v="0"/>
    <x v="3"/>
    <x v="3"/>
    <s v="CtPt"/>
    <x v="21"/>
    <x v="1"/>
    <n v="1"/>
    <s v="Low-Income Weatherization"/>
    <m/>
    <x v="3"/>
    <n v="162850"/>
    <n v="162850"/>
    <n v="4164930"/>
    <n v="0"/>
    <n v="0"/>
    <n v="0"/>
    <n v="0"/>
    <n v="1122230698"/>
    <n v="157605245"/>
    <n v="892595"/>
    <n v="9.9737238878769356E-5"/>
    <n v="9.9737238878769356E-5"/>
    <n v="3.7112957321721739E-3"/>
    <n v="2.5508051478253168E-3"/>
    <n v="9.0512441595132014"/>
    <n v="0.21257180479812995"/>
    <m/>
    <m/>
  </r>
  <r>
    <x v="0"/>
    <x v="0"/>
    <x v="3"/>
    <x v="3"/>
    <s v="CtPt"/>
    <x v="21"/>
    <x v="1"/>
    <n v="1"/>
    <s v="Low-Income Rental Efficiency"/>
    <m/>
    <x v="3"/>
    <n v="28460"/>
    <n v="28460"/>
    <n v="1080836"/>
    <n v="0"/>
    <n v="0"/>
    <n v="0"/>
    <n v="0"/>
    <n v="1122230698"/>
    <n v="157605245"/>
    <n v="892595"/>
    <n v="1.7430284424254074E-5"/>
    <n v="1.7430284424254074E-5"/>
    <n v="9.6311391403409996E-4"/>
    <n v="6.6195639128506945E-4"/>
    <n v="2.3488775399326305"/>
    <n v="5.5164254671937245E-2"/>
    <m/>
    <m/>
  </r>
  <r>
    <x v="0"/>
    <x v="0"/>
    <x v="3"/>
    <x v="3"/>
    <s v="CtPt"/>
    <x v="21"/>
    <x v="1"/>
    <n v="1"/>
    <s v="Homeowner Efficiency Lift Program"/>
    <m/>
    <x v="3"/>
    <n v="135110"/>
    <n v="135110"/>
    <n v="2770412"/>
    <n v="0"/>
    <n v="0"/>
    <n v="0"/>
    <n v="0"/>
    <n v="1122230698"/>
    <n v="157605245"/>
    <n v="892595"/>
    <n v="8.2747917377405756E-5"/>
    <n v="8.2747917377405756E-5"/>
    <n v="2.4686653153735061E-3"/>
    <n v="1.6967346849039555E-3"/>
    <n v="6.0206715201564709"/>
    <n v="0.14139768948683334"/>
    <m/>
    <m/>
  </r>
  <r>
    <x v="0"/>
    <x v="0"/>
    <x v="3"/>
    <x v="3"/>
    <s v="CtPt"/>
    <x v="21"/>
    <x v="1"/>
    <n v="1"/>
    <s v="Low-Income Free Heating System"/>
    <m/>
    <x v="3"/>
    <n v="18280"/>
    <n v="18280"/>
    <n v="167842"/>
    <n v="0"/>
    <n v="0"/>
    <n v="0"/>
    <n v="0"/>
    <n v="1122230698"/>
    <n v="157605245"/>
    <n v="892595"/>
    <n v="1.1195558653385962E-5"/>
    <n v="1.1195558653385962E-5"/>
    <n v="1.4956104863208795E-4"/>
    <n v="1.0279458181081E-4"/>
    <n v="0.36475497120504186"/>
    <n v="8.5664049241950587E-3"/>
    <m/>
    <m/>
  </r>
  <r>
    <x v="0"/>
    <x v="0"/>
    <x v="3"/>
    <x v="3"/>
    <s v="CtPt"/>
    <x v="21"/>
    <x v="1"/>
    <n v="1"/>
    <s v="Non-Profit Affordable Housing"/>
    <m/>
    <x v="3"/>
    <n v="27080"/>
    <n v="27080"/>
    <n v="695592"/>
    <n v="525400"/>
    <n v="0"/>
    <n v="0"/>
    <n v="0"/>
    <n v="1122230698"/>
    <n v="157605245"/>
    <n v="892595"/>
    <n v="1.6585105488713994E-5"/>
    <n v="1.6585105488713994E-5"/>
    <n v="6.1982977407377959E-4"/>
    <n v="4.2601427980448839E-4"/>
    <n v="1.5116635879604476"/>
    <n v="3.5501976466144884E-2"/>
    <m/>
    <m/>
  </r>
  <r>
    <x v="0"/>
    <x v="0"/>
    <x v="3"/>
    <x v="3"/>
    <s v="CtPt"/>
    <x v="21"/>
    <x v="1"/>
    <n v="1"/>
    <s v="Low-Income Multi-Family Housing"/>
    <m/>
    <x v="3"/>
    <n v="88370"/>
    <n v="88370"/>
    <n v="754772"/>
    <n v="219753"/>
    <n v="0"/>
    <n v="0"/>
    <n v="0"/>
    <n v="1122230698"/>
    <n v="157605245"/>
    <n v="892595"/>
    <n v="5.4122074299765729E-5"/>
    <n v="5.4122074299765729E-5"/>
    <n v="6.7256402925452681E-4"/>
    <n v="4.6225898227206941E-4"/>
    <n v="1.640273823753124"/>
    <n v="3.8522435251275328E-2"/>
    <m/>
    <m/>
  </r>
  <r>
    <x v="0"/>
    <x v="0"/>
    <x v="3"/>
    <x v="3"/>
    <s v="CtPt"/>
    <x v="21"/>
    <x v="1"/>
    <n v="1"/>
    <s v="Low-Income Support and Awareness"/>
    <m/>
    <x v="4"/>
    <n v="0"/>
    <n v="0"/>
    <n v="329235"/>
    <n v="0"/>
    <n v="0"/>
    <n v="0"/>
    <n v="0"/>
    <n v="1122230698"/>
    <n v="157605245"/>
    <n v="892595"/>
    <n v="0"/>
    <n v="0"/>
    <n v="2.9337550700292821E-4"/>
    <n v="2.0163948321923013E-4"/>
    <n v="0.71549494729979357"/>
    <n v="1.680366252319062E-2"/>
    <m/>
    <m/>
  </r>
  <r>
    <x v="0"/>
    <x v="0"/>
    <x v="3"/>
    <x v="3"/>
    <s v="CtPt"/>
    <x v="21"/>
    <x v="2"/>
    <m/>
    <s v="Commercial Foodservice Equipment"/>
    <m/>
    <x v="2"/>
    <n v="490050"/>
    <n v="490050"/>
    <n v="795305"/>
    <n v="502531"/>
    <n v="450708420"/>
    <n v="89362251"/>
    <n v="71286"/>
    <n v="1122230698"/>
    <n v="157605245"/>
    <n v="892595"/>
    <n v="3.0013038939232992E-4"/>
    <n v="3.0013038939232992E-4"/>
    <n v="7.0868227131673067E-4"/>
    <n v="4.8708335748529112E-4"/>
    <n v="6.3615239405525603E-2"/>
    <n v="4.0591179015007875E-2"/>
    <m/>
    <m/>
  </r>
  <r>
    <x v="0"/>
    <x v="0"/>
    <x v="3"/>
    <x v="3"/>
    <s v="CtPt"/>
    <x v="21"/>
    <x v="2"/>
    <m/>
    <s v="C&amp;I Heating and Water Heating"/>
    <m/>
    <x v="2"/>
    <n v="7236720"/>
    <n v="7236720"/>
    <n v="3385802"/>
    <n v="1797638"/>
    <n v="450708420"/>
    <n v="89362251"/>
    <n v="71286"/>
    <n v="1122230698"/>
    <n v="157605245"/>
    <n v="892595"/>
    <n v="4.4321183379721699E-3"/>
    <n v="4.4321183379721699E-3"/>
    <n v="3.0170285004982103E-3"/>
    <n v="2.073629369789469E-3"/>
    <n v="0.27082516117679056"/>
    <n v="0.17280627569469786"/>
    <m/>
    <m/>
  </r>
  <r>
    <x v="0"/>
    <x v="0"/>
    <x v="3"/>
    <x v="3"/>
    <s v="CtPt"/>
    <x v="21"/>
    <x v="2"/>
    <m/>
    <s v="C&amp;I Custom Rebates"/>
    <m/>
    <x v="2"/>
    <n v="1350050"/>
    <n v="1350050"/>
    <n v="1932008"/>
    <n v="690026"/>
    <n v="450708420"/>
    <n v="89362251"/>
    <n v="71286"/>
    <n v="1122230698"/>
    <n v="157605245"/>
    <n v="892595"/>
    <n v="8.268361028448423E-4"/>
    <n v="8.268361028448423E-4"/>
    <n v="1.7215782846104252E-3"/>
    <n v="1.1832554093441413E-3"/>
    <n v="0.15453838647234799"/>
    <n v="9.8606801901694727E-2"/>
    <m/>
    <m/>
  </r>
  <r>
    <x v="0"/>
    <x v="0"/>
    <x v="3"/>
    <x v="3"/>
    <s v="CtPt"/>
    <x v="21"/>
    <x v="2"/>
    <m/>
    <s v="C&amp;I Audit Services"/>
    <m/>
    <x v="2"/>
    <n v="853800"/>
    <n v="853800"/>
    <n v="779148"/>
    <n v="29625"/>
    <n v="450708420"/>
    <n v="89362251"/>
    <n v="71286"/>
    <n v="1122230698"/>
    <n v="157605245"/>
    <n v="892595"/>
    <n v="5.229085327276222E-4"/>
    <n v="5.229085327276222E-4"/>
    <n v="6.9428505332154087E-4"/>
    <n v="4.7718802700592806E-4"/>
    <n v="6.2322865507366938E-2"/>
    <n v="3.9766549873552104E-2"/>
    <m/>
    <m/>
  </r>
  <r>
    <x v="0"/>
    <x v="0"/>
    <x v="3"/>
    <x v="3"/>
    <s v="CtPt"/>
    <x v="21"/>
    <x v="2"/>
    <m/>
    <s v="Energy Design Assistance"/>
    <m/>
    <x v="2"/>
    <n v="1557720"/>
    <n v="1557720"/>
    <n v="1780078"/>
    <n v="778862"/>
    <n v="450708420"/>
    <n v="89362251"/>
    <n v="71286"/>
    <n v="1122230698"/>
    <n v="157605245"/>
    <n v="892595"/>
    <n v="9.5402328367354377E-4"/>
    <n v="9.5402328367354377E-4"/>
    <n v="1.586196138790707E-3"/>
    <n v="1.0902061081292109E-3"/>
    <n v="0.14238573645395064"/>
    <n v="9.0852521684985241E-2"/>
    <m/>
    <m/>
  </r>
  <r>
    <x v="0"/>
    <x v="0"/>
    <x v="3"/>
    <x v="3"/>
    <s v="CtPt"/>
    <x v="21"/>
    <x v="2"/>
    <m/>
    <s v="Commercial Code Support"/>
    <m/>
    <x v="2"/>
    <n v="37740"/>
    <n v="37740"/>
    <n v="33776"/>
    <n v="0"/>
    <n v="450708420"/>
    <n v="89362251"/>
    <n v="71286"/>
    <n v="1122230698"/>
    <n v="157605245"/>
    <n v="892595"/>
    <n v="2.3113806541509093E-5"/>
    <n v="2.3113806541509093E-5"/>
    <n v="3.0097198428268266E-5"/>
    <n v="2.0686060671595418E-5"/>
    <n v="2.7016909565022638E-3"/>
    <n v="1.7238765786847887E-3"/>
    <m/>
    <m/>
  </r>
  <r>
    <x v="0"/>
    <x v="0"/>
    <x v="3"/>
    <x v="3"/>
    <s v="CtPt"/>
    <x v="21"/>
    <x v="2"/>
    <m/>
    <s v="C&amp;I Process Efficiency"/>
    <m/>
    <x v="2"/>
    <n v="143260"/>
    <n v="143260"/>
    <n v="325729"/>
    <n v="82714"/>
    <n v="450708420"/>
    <n v="89362251"/>
    <n v="71286"/>
    <n v="1122230698"/>
    <n v="157605245"/>
    <n v="892595"/>
    <n v="8.7739372685124333E-5"/>
    <n v="8.7739372685124333E-5"/>
    <n v="2.9025137218265616E-4"/>
    <n v="1.9949223876415516E-4"/>
    <n v="2.6054568142187526E-2"/>
    <n v="1.6624721521151634E-2"/>
    <m/>
    <m/>
  </r>
  <r>
    <x v="0"/>
    <x v="0"/>
    <x v="3"/>
    <x v="3"/>
    <s v="CtPt"/>
    <x v="21"/>
    <x v="2"/>
    <m/>
    <s v="C&amp;I Training and Education"/>
    <m/>
    <x v="2"/>
    <n v="16120"/>
    <n v="16120"/>
    <n v="147683"/>
    <n v="10000"/>
    <n v="450708420"/>
    <n v="89362251"/>
    <n v="71286"/>
    <n v="1122230698"/>
    <n v="157605245"/>
    <n v="892595"/>
    <n v="9.8726698847145341E-6"/>
    <n v="9.8726698847145341E-6"/>
    <n v="1.3159771895671313E-4"/>
    <n v="9.0448232418380682E-5"/>
    <n v="1.1812938936793102E-2"/>
    <n v="7.5375196817238765E-3"/>
    <m/>
    <m/>
  </r>
  <r>
    <x v="0"/>
    <x v="0"/>
    <x v="3"/>
    <x v="3"/>
    <s v="CtPt"/>
    <x v="21"/>
    <x v="2"/>
    <m/>
    <s v="Benchmarking Services"/>
    <m/>
    <x v="4"/>
    <n v="0"/>
    <n v="0"/>
    <n v="179375"/>
    <n v="19500"/>
    <n v="450708420"/>
    <n v="89362251"/>
    <n v="71286"/>
    <n v="1122230698"/>
    <n v="157605245"/>
    <n v="892595"/>
    <n v="0"/>
    <n v="0"/>
    <n v="1.5983790170744376E-4"/>
    <n v="1.0985795040760979E-4"/>
    <n v="1.4347933897518757E-2"/>
    <n v="9.1550320139028897E-3"/>
    <m/>
    <m/>
  </r>
  <r>
    <x v="0"/>
    <x v="0"/>
    <x v="3"/>
    <x v="3"/>
    <s v="CtPt"/>
    <x v="21"/>
    <x v="2"/>
    <m/>
    <s v="Recommisioning Study &amp; Rebates"/>
    <m/>
    <x v="12"/>
    <n v="157300"/>
    <n v="157300"/>
    <n v="237531"/>
    <n v="125840"/>
    <n v="450708420"/>
    <n v="89362251"/>
    <n v="71286"/>
    <n v="1122230698"/>
    <n v="157605245"/>
    <n v="892595"/>
    <n v="9.633814968148861E-5"/>
    <n v="9.633814968148861E-5"/>
    <n v="2.1165968853224153E-4"/>
    <n v="1.4547550560707991E-4"/>
    <n v="1.8999744036858692E-2"/>
    <n v="1.2123227368888458E-2"/>
    <m/>
    <m/>
  </r>
  <r>
    <x v="0"/>
    <x v="0"/>
    <x v="3"/>
    <x v="3"/>
    <s v="CtPt"/>
    <x v="21"/>
    <x v="2"/>
    <m/>
    <s v="Multi-Family Building Efficiency"/>
    <m/>
    <x v="2"/>
    <n v="659040"/>
    <n v="659040"/>
    <n v="1625295"/>
    <n v="511616"/>
    <n v="450708420"/>
    <n v="89362251"/>
    <n v="71286"/>
    <n v="1122230698"/>
    <n v="157605245"/>
    <n v="892595"/>
    <n v="4.036280620857486E-4"/>
    <n v="4.036280620857486E-4"/>
    <n v="1.4482717349441105E-3"/>
    <n v="9.9540949133232687E-4"/>
    <n v="0.13000487929738117"/>
    <n v="8.2952628610655305E-2"/>
    <m/>
    <m/>
  </r>
  <r>
    <x v="0"/>
    <x v="0"/>
    <x v="3"/>
    <x v="3"/>
    <s v="CtPt"/>
    <x v="21"/>
    <x v="3"/>
    <m/>
    <s v="Analysis, Evaluation, &amp; Program Development"/>
    <m/>
    <x v="4"/>
    <n v="0"/>
    <n v="0"/>
    <n v="1495089"/>
    <n v="0"/>
    <n v="0"/>
    <n v="0"/>
    <n v="0"/>
    <n v="1122230698"/>
    <n v="157605245"/>
    <n v="892595"/>
    <n v="0"/>
    <n v="0"/>
    <n v="1.332247462722678E-3"/>
    <n v="9.1566502141860861E-4"/>
    <s v=""/>
    <n v="7.6307108898308329E-2"/>
    <m/>
    <m/>
  </r>
  <r>
    <x v="0"/>
    <x v="0"/>
    <x v="3"/>
    <x v="3"/>
    <s v="CtPt"/>
    <x v="21"/>
    <x v="3"/>
    <m/>
    <s v="Energy Efficiency Marketig &amp; Awareness"/>
    <m/>
    <x v="4"/>
    <n v="0"/>
    <n v="0"/>
    <n v="1002000"/>
    <n v="0"/>
    <n v="0"/>
    <n v="0"/>
    <n v="0"/>
    <n v="1122230698"/>
    <n v="157605245"/>
    <n v="892595"/>
    <n v="0"/>
    <n v="0"/>
    <n v="8.9286454361454297E-4"/>
    <n v="6.1367340102257844E-4"/>
    <s v=""/>
    <n v="5.1140583012854048E-2"/>
    <m/>
    <m/>
  </r>
  <r>
    <x v="0"/>
    <x v="0"/>
    <x v="3"/>
    <x v="3"/>
    <s v="CtPt"/>
    <x v="21"/>
    <x v="3"/>
    <m/>
    <s v="Planning &amp; Regulatory Affaris"/>
    <m/>
    <x v="4"/>
    <n v="0"/>
    <n v="0"/>
    <n v="260000"/>
    <n v="0"/>
    <n v="0"/>
    <n v="0"/>
    <n v="0"/>
    <n v="1122230698"/>
    <n v="157605245"/>
    <n v="892595"/>
    <n v="0"/>
    <n v="0"/>
    <n v="2.3168141850277561E-4"/>
    <n v="1.5923661104378281E-4"/>
    <s v=""/>
    <n v="1.3270011560221609E-2"/>
    <m/>
    <m/>
  </r>
  <r>
    <x v="0"/>
    <x v="0"/>
    <x v="3"/>
    <x v="3"/>
    <s v="CtPt"/>
    <x v="21"/>
    <x v="3"/>
    <m/>
    <s v="EZ Pay ON-Bill Loan"/>
    <m/>
    <x v="4"/>
    <n v="0"/>
    <n v="0"/>
    <n v="520514"/>
    <n v="0"/>
    <n v="0"/>
    <n v="0"/>
    <n v="0"/>
    <n v="1122230698"/>
    <n v="157605245"/>
    <n v="892595"/>
    <n v="0"/>
    <n v="0"/>
    <n v="4.6382085334828362E-4"/>
    <n v="3.1878802061862912E-4"/>
    <s v=""/>
    <n v="2.6566256912527658E-2"/>
    <m/>
    <m/>
  </r>
  <r>
    <x v="0"/>
    <x v="0"/>
    <x v="3"/>
    <x v="3"/>
    <s v="CtPt"/>
    <x v="21"/>
    <x v="0"/>
    <m/>
    <s v="EFS Segment Home Efficiency Rebates"/>
    <m/>
    <x v="2"/>
    <n v="134140"/>
    <n v="134140"/>
    <n v="565797"/>
    <n v="500000"/>
    <n v="671522278"/>
    <n v="68242994"/>
    <n v="821309"/>
    <n v="1122230698"/>
    <n v="157605245"/>
    <n v="892595"/>
    <n v="8.215384232851164E-5"/>
    <n v="8.215384232851164E-5"/>
    <n v="5.0417173671005741E-4"/>
    <n v="3.4652152622591996E-4"/>
    <n v="8.5324757581698357E-2"/>
    <n v="2.8877433579764251E-2"/>
    <m/>
    <m/>
  </r>
  <r>
    <x v="0"/>
    <x v="0"/>
    <x v="3"/>
    <x v="3"/>
    <s v="CtPt"/>
    <x v="21"/>
    <x v="3"/>
    <m/>
    <s v="EFS Segment Home Energy Squad"/>
    <m/>
    <x v="4"/>
    <n v="0"/>
    <n v="0"/>
    <n v="60704"/>
    <n v="0"/>
    <n v="0"/>
    <n v="0"/>
    <n v="0"/>
    <n v="1122230698"/>
    <n v="157605245"/>
    <n v="892595"/>
    <n v="0"/>
    <n v="0"/>
    <n v="5.4092264726124969E-5"/>
    <n v="3.7178073987699202E-5"/>
    <s v=""/>
    <n v="3.0982414682757405E-3"/>
    <m/>
    <m/>
  </r>
  <r>
    <x v="0"/>
    <x v="0"/>
    <x v="3"/>
    <x v="3"/>
    <s v="CtPt"/>
    <x v="21"/>
    <x v="0"/>
    <m/>
    <s v="EFS Segmet High Efficiecy Home"/>
    <m/>
    <x v="2"/>
    <n v="15180"/>
    <n v="15180"/>
    <n v="113275"/>
    <n v="100000"/>
    <n v="671522278"/>
    <n v="68242994"/>
    <n v="821309"/>
    <n v="1122230698"/>
    <n v="157605245"/>
    <n v="892595"/>
    <n v="9.2969682909408588E-6"/>
    <n v="9.2969682909408588E-6"/>
    <n v="1.0093735646500735E-4"/>
    <n v="6.9375104292248075E-5"/>
    <n v="1.7082384521421787E-2"/>
    <n v="5.7813867672465487E-3"/>
    <m/>
    <m/>
  </r>
  <r>
    <x v="0"/>
    <x v="0"/>
    <x v="3"/>
    <x v="3"/>
    <s v="CtPt"/>
    <x v="21"/>
    <x v="0"/>
    <m/>
    <s v="EFS Segment Homeowner Efficiency Lift Program"/>
    <m/>
    <x v="2"/>
    <n v="2020"/>
    <n v="2020"/>
    <n v="35150"/>
    <n v="0"/>
    <n v="671522278"/>
    <n v="68242994"/>
    <n v="821309"/>
    <n v="1122230698"/>
    <n v="157605245"/>
    <n v="892595"/>
    <n v="1.2371459781093895E-6"/>
    <n v="1.2371459781093895E-6"/>
    <n v="3.1321545616817549E-5"/>
    <n v="2.152756491611141E-5"/>
    <n v="5.3007796594833441E-3"/>
    <n v="1.7940034859299599E-3"/>
    <m/>
    <m/>
  </r>
  <r>
    <x v="0"/>
    <x v="0"/>
    <x v="3"/>
    <x v="3"/>
    <s v="CtPt"/>
    <x v="21"/>
    <x v="3"/>
    <m/>
    <s v="ETA"/>
    <m/>
    <x v="4"/>
    <n v="0"/>
    <n v="0"/>
    <n v="1561452"/>
    <n v="0"/>
    <n v="0"/>
    <n v="0"/>
    <n v="0"/>
    <n v="1122230698"/>
    <n v="157605245"/>
    <n v="892595"/>
    <n v="0"/>
    <n v="0"/>
    <n v="1.3913823626307538E-3"/>
    <n v="9.5630894149052606E-4"/>
    <s v=""/>
    <n v="7.9694177272042893E-2"/>
    <m/>
    <m/>
  </r>
  <r>
    <x v="0"/>
    <x v="0"/>
    <x v="4"/>
    <x v="3"/>
    <s v="CtPt"/>
    <x v="21"/>
    <x v="0"/>
    <m/>
    <s v="Home Efficiency Rebates"/>
    <m/>
    <x v="2"/>
    <n v="2953560"/>
    <n v="2953560"/>
    <n v="11454208"/>
    <n v="9542500"/>
    <n v="671522278"/>
    <n v="68242994"/>
    <n v="821309"/>
    <n v="1122230698"/>
    <n v="157605245"/>
    <n v="892595"/>
    <n v="1.8089034035172122E-3"/>
    <n v="1.8089034035172122E-3"/>
    <n v="1.0206642912560925E-2"/>
    <n v="7.0151125542714833E-3"/>
    <n v="1.6675146272472241"/>
    <n v="0.62133296663745574"/>
    <m/>
    <m/>
  </r>
  <r>
    <x v="0"/>
    <x v="0"/>
    <x v="4"/>
    <x v="3"/>
    <s v="CtPt"/>
    <x v="21"/>
    <x v="0"/>
    <m/>
    <s v="DIY Home Efficiency"/>
    <m/>
    <x v="2"/>
    <n v="447920"/>
    <n v="447920"/>
    <n v="1048038"/>
    <n v="0"/>
    <n v="671522278"/>
    <n v="68242994"/>
    <n v="821309"/>
    <n v="1122230698"/>
    <n v="157605245"/>
    <n v="892595"/>
    <n v="2.7432793391819689E-4"/>
    <n v="2.7432793391819689E-4"/>
    <n v="9.3388819417235367E-4"/>
    <n v="6.4186930525040025E-4"/>
    <n v="0.15257438095335149"/>
    <n v="5.6850771322538046E-2"/>
    <m/>
    <m/>
  </r>
  <r>
    <x v="0"/>
    <x v="0"/>
    <x v="4"/>
    <x v="3"/>
    <s v="CtPt"/>
    <x v="21"/>
    <x v="0"/>
    <m/>
    <s v="Home Insulation Rebates"/>
    <m/>
    <x v="2"/>
    <n v="325400"/>
    <n v="325400"/>
    <n v="1868487"/>
    <n v="1556100"/>
    <n v="671522278"/>
    <n v="68242994"/>
    <n v="821309"/>
    <n v="1122230698"/>
    <n v="157605245"/>
    <n v="892595"/>
    <n v="1.9929074320633436E-4"/>
    <n v="1.9929074320633436E-4"/>
    <n v="1.6649758408230604E-3"/>
    <n v="1.1443520679206333E-3"/>
    <n v="0.27201613619390219"/>
    <n v="0.10135598819521348"/>
    <m/>
    <m/>
  </r>
  <r>
    <x v="0"/>
    <x v="0"/>
    <x v="4"/>
    <x v="3"/>
    <s v="CtPt"/>
    <x v="21"/>
    <x v="0"/>
    <m/>
    <s v="Home Energy Reports"/>
    <m/>
    <x v="2"/>
    <n v="1014810"/>
    <n v="1014810"/>
    <n v="1653056"/>
    <n v="0"/>
    <n v="671522278"/>
    <n v="68242994"/>
    <n v="821309"/>
    <n v="1122230698"/>
    <n v="157605245"/>
    <n v="892595"/>
    <n v="6.2151886635900477E-4"/>
    <n v="6.2151886635900477E-4"/>
    <n v="1.4730090728635548E-3"/>
    <n v="1.0124116742522748E-3"/>
    <n v="0.24065348382522714"/>
    <n v="8.9669943875460095E-2"/>
    <m/>
    <m/>
  </r>
  <r>
    <x v="0"/>
    <x v="0"/>
    <x v="4"/>
    <x v="3"/>
    <s v="CtPt"/>
    <x v="21"/>
    <x v="0"/>
    <m/>
    <s v="Home Energy Squad"/>
    <m/>
    <x v="2"/>
    <n v="349600"/>
    <n v="349600"/>
    <n v="2989312"/>
    <n v="0"/>
    <n v="671522278"/>
    <n v="68242994"/>
    <n v="821309"/>
    <n v="1122230698"/>
    <n v="157605245"/>
    <n v="892595"/>
    <n v="2.1411199700348645E-4"/>
    <n v="2.1411199700348645E-4"/>
    <n v="2.6637232481052662E-3"/>
    <n v="1.8307996624327405E-3"/>
    <n v="0.43518691867701842"/>
    <n v="0.16215508686108601"/>
    <m/>
    <m/>
  </r>
  <r>
    <x v="0"/>
    <x v="0"/>
    <x v="4"/>
    <x v="3"/>
    <s v="CtPt"/>
    <x v="21"/>
    <x v="0"/>
    <m/>
    <s v="High Efficiency Home"/>
    <m/>
    <x v="2"/>
    <n v="1053700"/>
    <n v="1053700"/>
    <n v="7082836"/>
    <n v="5512500"/>
    <n v="671522278"/>
    <n v="68242994"/>
    <n v="821309"/>
    <n v="1122230698"/>
    <n v="157605245"/>
    <n v="892595"/>
    <n v="6.4533698868013065E-4"/>
    <n v="6.4533698868013065E-4"/>
    <n v="6.3113903519327894E-3"/>
    <n v="4.3378723123803946E-3"/>
    <n v="1.0311260833043385"/>
    <n v="0.38420810099542202"/>
    <m/>
    <m/>
  </r>
  <r>
    <x v="0"/>
    <x v="0"/>
    <x v="4"/>
    <x v="3"/>
    <s v="CtPt"/>
    <x v="21"/>
    <x v="0"/>
    <m/>
    <s v="New Home Construction Rebates"/>
    <m/>
    <x v="0"/>
    <n v="156630"/>
    <n v="156630"/>
    <n v="739598"/>
    <n v="465375"/>
    <n v="671522278"/>
    <n v="68242994"/>
    <n v="821309"/>
    <n v="1122230698"/>
    <n v="157605245"/>
    <n v="892595"/>
    <n v="9.5927809183798856E-5"/>
    <n v="9.5927809183798856E-5"/>
    <n v="6.5904274523775322E-4"/>
    <n v="4.5296568867215261E-4"/>
    <n v="0.10767138882782576"/>
    <n v="4.0119458233963359E-2"/>
    <m/>
    <m/>
  </r>
  <r>
    <x v="0"/>
    <x v="0"/>
    <x v="4"/>
    <x v="3"/>
    <s v="CtPt"/>
    <x v="21"/>
    <x v="0"/>
    <m/>
    <s v="Energy Efficiency Kits"/>
    <m/>
    <x v="13"/>
    <n v="217330"/>
    <n v="217330"/>
    <n v="430923"/>
    <n v="0"/>
    <n v="671522278"/>
    <n v="68242994"/>
    <n v="821309"/>
    <n v="1122230698"/>
    <n v="157605245"/>
    <n v="892595"/>
    <n v="1.3310343337748202E-4"/>
    <n v="1.3310343337748202E-4"/>
    <n v="3.8398789194412145E-4"/>
    <n v="2.6391814669546164E-4"/>
    <n v="6.273418517607289E-2"/>
    <n v="2.337539758159729E-2"/>
    <m/>
    <m/>
  </r>
  <r>
    <x v="0"/>
    <x v="0"/>
    <x v="4"/>
    <x v="3"/>
    <s v="CtPt"/>
    <x v="21"/>
    <x v="0"/>
    <m/>
    <s v="Residential Code Support"/>
    <m/>
    <x v="2"/>
    <n v="114490"/>
    <n v="114490"/>
    <n v="129118"/>
    <n v="0"/>
    <n v="671522278"/>
    <n v="68242994"/>
    <n v="821309"/>
    <n v="1122230698"/>
    <n v="157605245"/>
    <n v="892595"/>
    <n v="7.0119229224625755E-5"/>
    <n v="7.0119229224625755E-5"/>
    <n v="1.1505477459323608E-4"/>
    <n v="7.9078125941350574E-5"/>
    <n v="1.8797122737853816E-2"/>
    <n v="7.0039997515581182E-3"/>
    <m/>
    <m/>
  </r>
  <r>
    <x v="0"/>
    <x v="0"/>
    <x v="4"/>
    <x v="3"/>
    <s v="CtPt"/>
    <x v="21"/>
    <x v="1"/>
    <n v="1"/>
    <s v="Low-Income Weatherization"/>
    <m/>
    <x v="3"/>
    <n v="162850"/>
    <n v="162850"/>
    <n v="4405094"/>
    <n v="0"/>
    <n v="0"/>
    <n v="0"/>
    <n v="0"/>
    <n v="1122230698"/>
    <n v="157605245"/>
    <n v="892595"/>
    <n v="9.9737238878769356E-5"/>
    <n v="9.9737238878769356E-5"/>
    <n v="3.925301640607946E-3"/>
    <n v="2.6978932303434672E-3"/>
    <n v="9.3593974418901116"/>
    <n v="0.23895411392362148"/>
    <m/>
    <m/>
  </r>
  <r>
    <x v="0"/>
    <x v="0"/>
    <x v="4"/>
    <x v="3"/>
    <s v="CtPt"/>
    <x v="21"/>
    <x v="1"/>
    <n v="1"/>
    <s v="Low-Income Rental Efficiency"/>
    <m/>
    <x v="3"/>
    <n v="28460"/>
    <n v="28460"/>
    <n v="1100894"/>
    <n v="0"/>
    <n v="0"/>
    <n v="0"/>
    <n v="0"/>
    <n v="1122230698"/>
    <n v="157605245"/>
    <n v="892595"/>
    <n v="1.7430284424254074E-5"/>
    <n v="1.7430284424254074E-5"/>
    <n v="9.8098724438921026E-4"/>
    <n v="6.7424088337859325E-4"/>
    <n v="2.3390430459354947"/>
    <n v="5.9717942521506091E-2"/>
    <m/>
    <m/>
  </r>
  <r>
    <x v="0"/>
    <x v="0"/>
    <x v="4"/>
    <x v="3"/>
    <s v="CtPt"/>
    <x v="21"/>
    <x v="1"/>
    <n v="1"/>
    <s v="Homeowner Efficiency Lift Program"/>
    <m/>
    <x v="3"/>
    <n v="135110"/>
    <n v="135110"/>
    <n v="4052731"/>
    <n v="0"/>
    <n v="0"/>
    <n v="0"/>
    <n v="0"/>
    <n v="1122230698"/>
    <n v="157605245"/>
    <n v="892595"/>
    <n v="8.2747917377405756E-5"/>
    <n v="8.2747917377405756E-5"/>
    <n v="3.6113171803468166E-3"/>
    <n v="2.4820890381233884E-3"/>
    <n v="8.6107402371138395"/>
    <n v="0.21984019979500832"/>
    <m/>
    <m/>
  </r>
  <r>
    <x v="0"/>
    <x v="0"/>
    <x v="4"/>
    <x v="3"/>
    <s v="CtPt"/>
    <x v="21"/>
    <x v="1"/>
    <n v="1"/>
    <s v="Low-Income Free Heating System"/>
    <m/>
    <x v="3"/>
    <n v="18280"/>
    <n v="18280"/>
    <n v="172121"/>
    <n v="0"/>
    <n v="0"/>
    <n v="0"/>
    <n v="0"/>
    <n v="1122230698"/>
    <n v="157605245"/>
    <n v="892595"/>
    <n v="1.1195558653385962E-5"/>
    <n v="1.1195558653385962E-5"/>
    <n v="1.5337399013121633E-4"/>
    <n v="1.0541524895948824E-4"/>
    <n v="0.36570135554327965"/>
    <n v="9.3366954354771204E-3"/>
    <m/>
    <m/>
  </r>
  <r>
    <x v="0"/>
    <x v="0"/>
    <x v="4"/>
    <x v="3"/>
    <s v="CtPt"/>
    <x v="21"/>
    <x v="1"/>
    <n v="1"/>
    <s v="Non-Profit Affordable Housing"/>
    <m/>
    <x v="3"/>
    <n v="27080"/>
    <n v="27080"/>
    <n v="697954"/>
    <n v="525400"/>
    <n v="0"/>
    <n v="0"/>
    <n v="0"/>
    <n v="1122230698"/>
    <n v="157605245"/>
    <n v="892595"/>
    <n v="1.6585105488713994E-5"/>
    <n v="1.6585105488713994E-5"/>
    <n v="6.2193451065263941E-4"/>
    <n v="4.2746088317097077E-4"/>
    <n v="1.4829261037691752"/>
    <n v="3.7860481440225184E-2"/>
    <m/>
    <m/>
  </r>
  <r>
    <x v="0"/>
    <x v="0"/>
    <x v="4"/>
    <x v="3"/>
    <s v="CtPt"/>
    <x v="21"/>
    <x v="1"/>
    <n v="1"/>
    <s v="Low-Income Multi-Family Housing"/>
    <m/>
    <x v="3"/>
    <n v="98880"/>
    <n v="98880"/>
    <n v="829847"/>
    <n v="253214"/>
    <n v="0"/>
    <n v="0"/>
    <n v="0"/>
    <n v="1122230698"/>
    <n v="157605245"/>
    <n v="892595"/>
    <n v="6.0558908076958645E-5"/>
    <n v="6.0558908076958645E-5"/>
    <n v="7.3946203884720321E-4"/>
    <n v="5.0823855371096179E-4"/>
    <n v="1.7631559937109591"/>
    <n v="4.501501093442626E-2"/>
    <m/>
    <m/>
  </r>
  <r>
    <x v="0"/>
    <x v="0"/>
    <x v="4"/>
    <x v="3"/>
    <s v="CtPt"/>
    <x v="21"/>
    <x v="1"/>
    <n v="1"/>
    <s v="Low-Income Support and Awareness"/>
    <m/>
    <x v="4"/>
    <n v="0"/>
    <n v="0"/>
    <n v="335345"/>
    <n v="0"/>
    <n v="0"/>
    <n v="0"/>
    <n v="0"/>
    <n v="1122230698"/>
    <n v="157605245"/>
    <n v="892595"/>
    <n v="0"/>
    <n v="0"/>
    <n v="2.9882002033774341E-4"/>
    <n v="2.0538154357875905E-4"/>
    <n v="0.71249946883100324"/>
    <n v="1.8190773530307604E-2"/>
    <m/>
    <m/>
  </r>
  <r>
    <x v="0"/>
    <x v="0"/>
    <x v="4"/>
    <x v="3"/>
    <s v="CtPt"/>
    <x v="21"/>
    <x v="2"/>
    <m/>
    <s v="Commercial Foodservice Equipment"/>
    <m/>
    <x v="2"/>
    <n v="490050"/>
    <n v="490050"/>
    <n v="799495"/>
    <n v="502531"/>
    <n v="450708420"/>
    <n v="89362251"/>
    <n v="71286"/>
    <n v="1122230698"/>
    <n v="157605245"/>
    <n v="892595"/>
    <n v="3.0013038939232992E-4"/>
    <n v="3.0013038939232992E-4"/>
    <n v="7.1241590648414078E-4"/>
    <n v="4.8964951671711212E-4"/>
    <n v="7.2057704206456755E-2"/>
    <n v="4.336856814210225E-2"/>
    <m/>
    <m/>
  </r>
  <r>
    <x v="0"/>
    <x v="0"/>
    <x v="4"/>
    <x v="3"/>
    <s v="CtPt"/>
    <x v="21"/>
    <x v="2"/>
    <m/>
    <s v="C&amp;I Heating and Water Heating"/>
    <m/>
    <x v="2"/>
    <n v="7292630"/>
    <n v="7292630"/>
    <n v="3411393"/>
    <n v="1802479"/>
    <n v="450708420"/>
    <n v="89362251"/>
    <n v="71286"/>
    <n v="1122230698"/>
    <n v="157605245"/>
    <n v="892595"/>
    <n v="4.4663603338316229E-3"/>
    <n v="4.4663603338316229E-3"/>
    <n v="3.0398321896555353E-3"/>
    <n v="2.0893025394557053E-3"/>
    <n v="0.30746552226840335"/>
    <n v="0.18505085057441337"/>
    <m/>
    <m/>
  </r>
  <r>
    <x v="0"/>
    <x v="0"/>
    <x v="4"/>
    <x v="3"/>
    <s v="CtPt"/>
    <x v="21"/>
    <x v="2"/>
    <m/>
    <s v="C&amp;I Custom Rebates"/>
    <m/>
    <x v="2"/>
    <n v="135005"/>
    <n v="135005"/>
    <n v="1948600"/>
    <n v="690026"/>
    <n v="450708420"/>
    <n v="89362251"/>
    <n v="71286"/>
    <n v="1122230698"/>
    <n v="157605245"/>
    <n v="892595"/>
    <n v="8.2683610284484224E-5"/>
    <n v="8.2683610284484224E-5"/>
    <n v="1.7363631234404175E-3"/>
    <n v="1.1934171549227508E-3"/>
    <n v="0.17562541656508374"/>
    <n v="0.10570171405912537"/>
    <m/>
    <m/>
  </r>
  <r>
    <x v="0"/>
    <x v="0"/>
    <x v="4"/>
    <x v="3"/>
    <s v="CtPt"/>
    <x v="21"/>
    <x v="2"/>
    <m/>
    <s v="C&amp;I Audit Services"/>
    <m/>
    <x v="2"/>
    <n v="85380"/>
    <n v="85380"/>
    <n v="852640"/>
    <n v="29625"/>
    <n v="450708420"/>
    <n v="89362251"/>
    <n v="71286"/>
    <n v="1122230698"/>
    <n v="157605245"/>
    <n v="892595"/>
    <n v="5.2290853272762223E-5"/>
    <n v="5.2290853272762223E-5"/>
    <n v="7.5977247950848698E-4"/>
    <n v="5.2219809246296532E-4"/>
    <n v="7.6847611197810223E-2"/>
    <n v="4.6251416132286081E-2"/>
    <m/>
    <m/>
  </r>
  <r>
    <x v="0"/>
    <x v="0"/>
    <x v="4"/>
    <x v="3"/>
    <s v="CtPt"/>
    <x v="21"/>
    <x v="2"/>
    <m/>
    <s v="Energy Design Assistance"/>
    <m/>
    <x v="2"/>
    <n v="1557720"/>
    <n v="1557720"/>
    <n v="1781282"/>
    <n v="778862"/>
    <n v="450708420"/>
    <n v="89362251"/>
    <n v="71286"/>
    <n v="1122230698"/>
    <n v="157605245"/>
    <n v="892595"/>
    <n v="9.5402328367354377E-4"/>
    <n v="9.5402328367354377E-4"/>
    <n v="1.5872690019748507E-3"/>
    <n v="1.0909434961280445E-3"/>
    <n v="0.16054520849321846"/>
    <n v="9.662555712956325E-2"/>
    <m/>
    <m/>
  </r>
  <r>
    <x v="0"/>
    <x v="0"/>
    <x v="4"/>
    <x v="3"/>
    <s v="CtPt"/>
    <x v="21"/>
    <x v="2"/>
    <m/>
    <s v="Commercial Code Support"/>
    <m/>
    <x v="2"/>
    <n v="540080"/>
    <n v="540080"/>
    <n v="86563"/>
    <n v="0"/>
    <n v="450708420"/>
    <n v="89362251"/>
    <n v="71286"/>
    <n v="1122230698"/>
    <n v="157605245"/>
    <n v="892595"/>
    <n v="3.3077118804817783E-4"/>
    <n v="3.3077118804817783E-4"/>
    <n v="7.7134763960983718E-5"/>
    <n v="5.3015379853011438E-5"/>
    <n v="7.8018387222227982E-3"/>
    <n v="4.6956058062712046E-3"/>
    <m/>
    <m/>
  </r>
  <r>
    <x v="0"/>
    <x v="0"/>
    <x v="4"/>
    <x v="3"/>
    <s v="CtPt"/>
    <x v="21"/>
    <x v="2"/>
    <m/>
    <s v="C&amp;I Process Efficiency"/>
    <m/>
    <x v="2"/>
    <n v="143260"/>
    <n v="143260"/>
    <n v="326943"/>
    <n v="82714"/>
    <n v="450708420"/>
    <n v="89362251"/>
    <n v="71286"/>
    <n v="1122230698"/>
    <n v="157605245"/>
    <n v="892595"/>
    <n v="8.7739372685124333E-5"/>
    <n v="8.7739372685124333E-5"/>
    <n v="2.9133314619058835E-4"/>
    <n v="2.0023575124802882E-4"/>
    <n v="2.9467053560524568E-2"/>
    <n v="1.7735007441051331E-2"/>
    <m/>
    <m/>
  </r>
  <r>
    <x v="0"/>
    <x v="0"/>
    <x v="4"/>
    <x v="3"/>
    <s v="CtPt"/>
    <x v="21"/>
    <x v="2"/>
    <m/>
    <s v="C&amp;I Training and Education"/>
    <m/>
    <x v="2"/>
    <n v="16120"/>
    <n v="16120"/>
    <n v="152071"/>
    <n v="10000"/>
    <n v="450708420"/>
    <n v="89362251"/>
    <n v="71286"/>
    <n v="1122230698"/>
    <n v="157605245"/>
    <n v="892595"/>
    <n v="9.8726698847145341E-6"/>
    <n v="9.8726698847145341E-6"/>
    <n v="1.3550778843513688E-4"/>
    <n v="9.313565645399653E-5"/>
    <n v="1.3706010839817741E-2"/>
    <n v="8.2490841417865411E-3"/>
    <m/>
    <m/>
  </r>
  <r>
    <x v="0"/>
    <x v="0"/>
    <x v="4"/>
    <x v="3"/>
    <s v="CtPt"/>
    <x v="21"/>
    <x v="2"/>
    <m/>
    <s v="Benchmarking Services"/>
    <m/>
    <x v="4"/>
    <n v="0"/>
    <n v="0"/>
    <n v="185379"/>
    <n v="19500"/>
    <n v="450708420"/>
    <n v="89362251"/>
    <n v="71286"/>
    <n v="1122230698"/>
    <n v="157605245"/>
    <n v="892595"/>
    <n v="0"/>
    <n v="0"/>
    <n v="1.6518796031010017E-4"/>
    <n v="1.1353509122571313E-4"/>
    <n v="1.6708028378024559E-2"/>
    <n v="1.0055875013120498E-2"/>
    <m/>
    <m/>
  </r>
  <r>
    <x v="0"/>
    <x v="0"/>
    <x v="4"/>
    <x v="3"/>
    <s v="CtPt"/>
    <x v="21"/>
    <x v="2"/>
    <m/>
    <s v="Recommisioning Study &amp; Rebates"/>
    <m/>
    <x v="12"/>
    <n v="157300"/>
    <n v="157300"/>
    <n v="238006"/>
    <n v="125840"/>
    <n v="450708420"/>
    <n v="89362251"/>
    <n v="71286"/>
    <n v="1122230698"/>
    <n v="157605245"/>
    <n v="892595"/>
    <n v="9.633814968148861E-5"/>
    <n v="9.633814968148861E-5"/>
    <n v="2.1208295266219852E-4"/>
    <n v="1.4576641864648683E-4"/>
    <n v="2.145124853484005E-2"/>
    <n v="1.2910624118010978E-2"/>
    <m/>
    <m/>
  </r>
  <r>
    <x v="0"/>
    <x v="0"/>
    <x v="4"/>
    <x v="3"/>
    <s v="CtPt"/>
    <x v="21"/>
    <x v="2"/>
    <m/>
    <s v="Multi-Family Building Efficiency"/>
    <m/>
    <x v="2"/>
    <n v="677660"/>
    <n v="677660"/>
    <n v="1730158"/>
    <n v="526283"/>
    <n v="450708420"/>
    <n v="89362251"/>
    <n v="71286"/>
    <n v="1122230698"/>
    <n v="157605245"/>
    <n v="892595"/>
    <n v="4.150318532304995E-4"/>
    <n v="4.150318532304995E-4"/>
    <n v="1.541713306438174E-3"/>
    <n v="1.0596326788088045E-3"/>
    <n v="0.15593745225978251"/>
    <n v="9.3852338187985343E-2"/>
    <m/>
    <m/>
  </r>
  <r>
    <x v="0"/>
    <x v="0"/>
    <x v="4"/>
    <x v="3"/>
    <s v="CtPt"/>
    <x v="21"/>
    <x v="3"/>
    <m/>
    <s v="Analysis, Evaluation, &amp; Program Development"/>
    <m/>
    <x v="4"/>
    <n v="0"/>
    <n v="0"/>
    <n v="1503178"/>
    <n v="0"/>
    <n v="0"/>
    <n v="0"/>
    <n v="0"/>
    <n v="1122230698"/>
    <n v="157605245"/>
    <n v="892595"/>
    <n v="0"/>
    <n v="0"/>
    <n v="1.3394554280852509E-3"/>
    <n v="9.2061911736758214E-4"/>
    <s v=""/>
    <n v="8.1539818914075718E-2"/>
    <m/>
    <m/>
  </r>
  <r>
    <x v="0"/>
    <x v="0"/>
    <x v="4"/>
    <x v="3"/>
    <s v="CtPt"/>
    <x v="21"/>
    <x v="3"/>
    <m/>
    <s v="Energy Efficiency Marketig &amp; Awareness"/>
    <m/>
    <x v="4"/>
    <n v="0"/>
    <n v="0"/>
    <n v="1002000"/>
    <n v="0"/>
    <n v="0"/>
    <n v="0"/>
    <n v="0"/>
    <n v="1122230698"/>
    <n v="157605245"/>
    <n v="892595"/>
    <n v="0"/>
    <n v="0"/>
    <n v="8.9286454361454297E-4"/>
    <n v="6.1367340102257844E-4"/>
    <s v=""/>
    <n v="5.4353442208377102E-2"/>
    <m/>
    <m/>
  </r>
  <r>
    <x v="0"/>
    <x v="0"/>
    <x v="4"/>
    <x v="3"/>
    <s v="CtPt"/>
    <x v="21"/>
    <x v="3"/>
    <m/>
    <s v="Planning &amp; Regulatory Affaris"/>
    <m/>
    <x v="4"/>
    <n v="0"/>
    <n v="0"/>
    <n v="270000"/>
    <n v="0"/>
    <n v="0"/>
    <n v="0"/>
    <n v="0"/>
    <n v="1122230698"/>
    <n v="157605245"/>
    <n v="892595"/>
    <n v="0"/>
    <n v="0"/>
    <n v="2.4059224229134392E-4"/>
    <n v="1.6536109608392832E-4"/>
    <s v=""/>
    <n v="1.4646137122017781E-2"/>
    <m/>
    <m/>
  </r>
  <r>
    <x v="0"/>
    <x v="0"/>
    <x v="4"/>
    <x v="3"/>
    <s v="CtPt"/>
    <x v="21"/>
    <x v="3"/>
    <m/>
    <s v="EZ Pay ON-Bill Loan"/>
    <m/>
    <x v="4"/>
    <n v="0"/>
    <n v="0"/>
    <n v="522803"/>
    <n v="0"/>
    <n v="0"/>
    <n v="0"/>
    <n v="0"/>
    <n v="1122230698"/>
    <n v="157605245"/>
    <n v="892595"/>
    <n v="0"/>
    <n v="0"/>
    <n v="4.6586054091348692E-4"/>
    <n v="3.2018991524431845E-4"/>
    <s v=""/>
    <n v="2.835942379926764E-2"/>
    <m/>
    <m/>
  </r>
  <r>
    <x v="0"/>
    <x v="0"/>
    <x v="4"/>
    <x v="3"/>
    <s v="CtPt"/>
    <x v="21"/>
    <x v="0"/>
    <m/>
    <s v="EFS Segment Home Efficiency Rebates"/>
    <m/>
    <x v="16"/>
    <n v="201210"/>
    <n v="201210"/>
    <n v="825844"/>
    <n v="750000"/>
    <n v="671522278"/>
    <n v="68242994"/>
    <n v="821309"/>
    <n v="1122230698"/>
    <n v="157605245"/>
    <n v="892595"/>
    <n v="1.2323076349276749E-4"/>
    <n v="1.2323076349276749E-4"/>
    <n v="7.3589503608463937E-4"/>
    <n v="5.0578692234939146E-4"/>
    <n v="0.1202271645341482"/>
    <n v="4.4797868390354274E-2"/>
    <m/>
    <m/>
  </r>
  <r>
    <x v="0"/>
    <x v="0"/>
    <x v="4"/>
    <x v="3"/>
    <s v="CtPt"/>
    <x v="21"/>
    <x v="3"/>
    <m/>
    <s v="EFS Segment Home Energy Squad"/>
    <m/>
    <x v="4"/>
    <n v="0"/>
    <n v="0"/>
    <n v="60846"/>
    <n v="0"/>
    <n v="0"/>
    <n v="0"/>
    <n v="0"/>
    <n v="1122230698"/>
    <n v="157605245"/>
    <n v="892595"/>
    <n v="0"/>
    <n v="0"/>
    <n v="5.4218798423922634E-5"/>
    <n v="3.726504167526927E-5"/>
    <s v=""/>
    <n v="3.3005883678751628E-3"/>
    <m/>
    <m/>
  </r>
  <r>
    <x v="0"/>
    <x v="0"/>
    <x v="4"/>
    <x v="3"/>
    <s v="CtPt"/>
    <x v="21"/>
    <x v="0"/>
    <m/>
    <s v="EFS Segmet High Efficiecy Home"/>
    <m/>
    <x v="16"/>
    <n v="30350"/>
    <n v="30350"/>
    <n v="216487"/>
    <n v="200000"/>
    <n v="671522278"/>
    <n v="68242994"/>
    <n v="821309"/>
    <n v="1122230698"/>
    <n v="157605245"/>
    <n v="892595"/>
    <n v="1.8587812096841573E-5"/>
    <n v="1.8587812096841573E-5"/>
    <n v="1.929077509515784E-4"/>
    <n v="1.3258713928859776E-4"/>
    <n v="3.1516385865253176E-2"/>
    <n v="1.1743326989386162E-2"/>
    <m/>
    <m/>
  </r>
  <r>
    <x v="0"/>
    <x v="0"/>
    <x v="4"/>
    <x v="3"/>
    <s v="CtPt"/>
    <x v="21"/>
    <x v="0"/>
    <m/>
    <s v="EFS Segment Homeowner Efficiency Lift Program"/>
    <m/>
    <x v="16"/>
    <n v="4030"/>
    <n v="4030"/>
    <n v="50237"/>
    <n v="0"/>
    <n v="671522278"/>
    <n v="68242994"/>
    <n v="821309"/>
    <n v="1122230698"/>
    <n v="157605245"/>
    <n v="892595"/>
    <n v="2.4681674711786335E-6"/>
    <n v="2.4681674711786335E-6"/>
    <n v="4.4765305466630536E-5"/>
    <n v="3.0767575496178915E-5"/>
    <n v="7.3135508215861631E-3"/>
    <n v="2.7251036688844717E-3"/>
    <m/>
    <m/>
  </r>
  <r>
    <x v="0"/>
    <x v="0"/>
    <x v="4"/>
    <x v="3"/>
    <s v="CtPt"/>
    <x v="21"/>
    <x v="3"/>
    <m/>
    <s v="ETA"/>
    <m/>
    <x v="4"/>
    <n v="0"/>
    <n v="0"/>
    <n v="1648309"/>
    <n v="0"/>
    <n v="0"/>
    <n v="0"/>
    <n v="0"/>
    <n v="1122230698"/>
    <n v="157605245"/>
    <n v="892595"/>
    <n v="0"/>
    <n v="0"/>
    <n v="1.4687791048111215E-3"/>
    <n v="1.0095043812037177E-3"/>
    <s v=""/>
    <n v="8.9412443086874099E-2"/>
    <m/>
    <m/>
  </r>
  <r>
    <x v="0"/>
    <x v="0"/>
    <x v="2"/>
    <x v="1"/>
    <s v="Nicor"/>
    <x v="22"/>
    <x v="0"/>
    <m/>
    <s v="HEER"/>
    <m/>
    <x v="6"/>
    <n v="1694301.3137061258"/>
    <n v="1943979.4263191284"/>
    <n v="1259084.652008187"/>
    <n v="675044.8273753291"/>
    <n v="1709383229"/>
    <n v="214205766"/>
    <n v="2082068"/>
    <n v="2196912418"/>
    <n v="441162766"/>
    <n v="2252419"/>
    <n v="3.7070807069897112E-4"/>
    <n v="4.2533689655997769E-4"/>
    <n v="5.7311554238216654E-4"/>
    <n v="2.7548396404867458E-4"/>
    <n v="0.23316382444596057"/>
    <n v="8.9550828734579466E-2"/>
    <m/>
    <m/>
  </r>
  <r>
    <x v="0"/>
    <x v="0"/>
    <x v="2"/>
    <x v="1"/>
    <s v="Nicor"/>
    <x v="22"/>
    <x v="0"/>
    <m/>
    <s v="HEER"/>
    <m/>
    <x v="9"/>
    <n v="1491698.6862938744"/>
    <n v="1711520.5736808719"/>
    <n v="2773915.3479918134"/>
    <n v="1487205.1726246711"/>
    <n v="1709383229"/>
    <n v="214205766"/>
    <n v="2082068"/>
    <n v="2196912418"/>
    <n v="441162766"/>
    <n v="2252419"/>
    <n v="3.2637922050038988E-4"/>
    <n v="3.7447559338957162E-4"/>
    <n v="1.2626426639788849E-3"/>
    <n v="6.06924399230366E-4"/>
    <n v="0.51368802740589137"/>
    <n v="0.1972912765285785"/>
    <m/>
    <m/>
  </r>
  <r>
    <x v="0"/>
    <x v="0"/>
    <x v="2"/>
    <x v="1"/>
    <s v="Nicor"/>
    <x v="22"/>
    <x v="0"/>
    <m/>
    <s v="HES"/>
    <m/>
    <x v="6"/>
    <n v="82368.434667689638"/>
    <n v="85665.200833576237"/>
    <n v="550809.34797183902"/>
    <n v="302826.90291813703"/>
    <n v="1709383229"/>
    <n v="214205766"/>
    <n v="2082068"/>
    <n v="2196912418"/>
    <n v="441162766"/>
    <n v="2252419"/>
    <n v="1.8021967671949564E-5"/>
    <n v="1.8743290269656903E-5"/>
    <n v="2.5071975717324158E-4"/>
    <n v="1.2051544141399106E-4"/>
    <n v="0.10200173110589611"/>
    <n v="3.917562930098429E-2"/>
    <m/>
    <m/>
  </r>
  <r>
    <x v="0"/>
    <x v="0"/>
    <x v="2"/>
    <x v="1"/>
    <s v="Nicor"/>
    <x v="22"/>
    <x v="0"/>
    <m/>
    <s v="HES"/>
    <m/>
    <x v="13"/>
    <n v="54076.846557562269"/>
    <n v="56241.252361898194"/>
    <n v="166913.12916717707"/>
    <n v="91766.390944867249"/>
    <n v="1709383229"/>
    <n v="214205766"/>
    <n v="2082068"/>
    <n v="2196912418"/>
    <n v="441162766"/>
    <n v="2252419"/>
    <n v="1.1831852631329117E-5"/>
    <n v="1.230541816152394E-5"/>
    <n v="7.5976232734452633E-5"/>
    <n v="3.6520094499923575E-5"/>
    <n v="3.090983873466242E-2"/>
    <n v="1.1871488560965654E-2"/>
    <m/>
    <m/>
  </r>
  <r>
    <x v="0"/>
    <x v="0"/>
    <x v="2"/>
    <x v="1"/>
    <s v="Nicor"/>
    <x v="22"/>
    <x v="0"/>
    <m/>
    <s v="HES"/>
    <m/>
    <x v="1"/>
    <n v="269554.71877474809"/>
    <n v="280343.54680452554"/>
    <n v="2310277.5228609839"/>
    <n v="1270156.7061369957"/>
    <n v="1709383229"/>
    <n v="214205766"/>
    <n v="2082068"/>
    <n v="2196912418"/>
    <n v="441162766"/>
    <n v="2252419"/>
    <n v="5.8977767966319736E-5"/>
    <n v="6.1338331339355924E-5"/>
    <n v="1.0516020137772209E-3"/>
    <n v="5.054818268455534E-4"/>
    <n v="0.42782917090018219"/>
    <n v="0.16431561329025493"/>
    <m/>
    <m/>
  </r>
  <r>
    <x v="0"/>
    <x v="0"/>
    <x v="2"/>
    <x v="1"/>
    <s v="Nicor"/>
    <x v="22"/>
    <x v="0"/>
    <m/>
    <s v="MF"/>
    <m/>
    <x v="6"/>
    <n v="279662.35090433934"/>
    <n v="298247.50713532395"/>
    <n v="1438849.1384684877"/>
    <n v="721615.88118364522"/>
    <n v="1709383229"/>
    <n v="214205766"/>
    <n v="2082068"/>
    <n v="2196912418"/>
    <n v="441162766"/>
    <n v="2252419"/>
    <n v="6.1189287709463607E-5"/>
    <n v="6.5255664424333041E-5"/>
    <n v="6.5494151094943091E-4"/>
    <n v="3.14815897168717E-4"/>
    <n v="0.26645354416083106"/>
    <n v="0.10233635408737467"/>
    <m/>
    <m/>
  </r>
  <r>
    <x v="0"/>
    <x v="0"/>
    <x v="2"/>
    <x v="1"/>
    <s v="Nicor"/>
    <x v="22"/>
    <x v="0"/>
    <m/>
    <s v="MF"/>
    <m/>
    <x v="9"/>
    <n v="1547.1112396580522"/>
    <n v="1649.9255941922897"/>
    <n v="12442.527468168517"/>
    <n v="6240.213225308039"/>
    <n v="1709383229"/>
    <n v="214205766"/>
    <n v="2082068"/>
    <n v="2196912418"/>
    <n v="441162766"/>
    <n v="2252419"/>
    <n v="3.3850332179451256E-7"/>
    <n v="3.6099879571123645E-7"/>
    <n v="5.6636429227778692E-6"/>
    <n v="2.7223878745948634E-6"/>
    <n v="2.3041717533645403E-3"/>
    <n v="8.8495927938609666E-4"/>
    <m/>
    <m/>
  </r>
  <r>
    <x v="0"/>
    <x v="0"/>
    <x v="2"/>
    <x v="1"/>
    <s v="Nicor"/>
    <x v="22"/>
    <x v="0"/>
    <m/>
    <s v="MF"/>
    <m/>
    <x v="13"/>
    <n v="22207.185935370897"/>
    <n v="23682.979937405038"/>
    <n v="76206.466831026773"/>
    <n v="38219.292936226055"/>
    <n v="1709383229"/>
    <n v="214205766"/>
    <n v="2082068"/>
    <n v="2196912418"/>
    <n v="441162766"/>
    <n v="2252419"/>
    <n v="4.8588660040327201E-6"/>
    <n v="5.1817653270855268E-6"/>
    <n v="3.4687985832590788E-5"/>
    <n v="1.667374750003591E-5"/>
    <n v="1.4112308672412366E-2"/>
    <n v="5.4200901017799992E-3"/>
    <m/>
    <m/>
  </r>
  <r>
    <x v="0"/>
    <x v="0"/>
    <x v="2"/>
    <x v="1"/>
    <s v="Nicor"/>
    <x v="22"/>
    <x v="0"/>
    <m/>
    <s v="MF"/>
    <m/>
    <x v="1"/>
    <n v="91583.351920631729"/>
    <n v="97669.587333078773"/>
    <n v="606501.86723231745"/>
    <n v="304174.61265482084"/>
    <n v="1709383229"/>
    <n v="214205766"/>
    <n v="2082068"/>
    <n v="2196912418"/>
    <n v="441162766"/>
    <n v="2252419"/>
    <n v="2.0038164064441608E-5"/>
    <n v="2.1369814207964625E-5"/>
    <n v="2.7607011652492621E-4"/>
    <n v="1.3270079841064993E-4"/>
    <n v="0.11231516059857731"/>
    <n v="4.3136690414816325E-2"/>
    <m/>
    <m/>
  </r>
  <r>
    <x v="0"/>
    <x v="0"/>
    <x v="2"/>
    <x v="1"/>
    <s v="Nicor"/>
    <x v="22"/>
    <x v="0"/>
    <m/>
    <s v="Outreach"/>
    <m/>
    <x v="5"/>
    <n v="616181.56062226184"/>
    <n v="639821.55377374135"/>
    <n v="743703.63497231109"/>
    <n v="341845.09324168373"/>
    <n v="1709383229"/>
    <n v="214205766"/>
    <n v="2082068"/>
    <n v="2196912418"/>
    <n v="441162766"/>
    <n v="2252419"/>
    <n v="1.3481868643476689E-4"/>
    <n v="1.3999104638138846E-4"/>
    <n v="3.3852220456259951E-4"/>
    <n v="1.6272013570557648E-4"/>
    <n v="0.13772289536524279"/>
    <n v="5.289499537498657E-2"/>
    <m/>
    <m/>
  </r>
  <r>
    <x v="0"/>
    <x v="0"/>
    <x v="2"/>
    <x v="1"/>
    <s v="Nicor"/>
    <x v="22"/>
    <x v="0"/>
    <m/>
    <s v="Outreach"/>
    <m/>
    <x v="13"/>
    <n v="582818.43937773828"/>
    <n v="605178.44622625865"/>
    <n v="1183296.3650276889"/>
    <n v="543904.90675831621"/>
    <n v="1709383229"/>
    <n v="214205766"/>
    <n v="2082068"/>
    <n v="2196912418"/>
    <n v="441162766"/>
    <n v="2252419"/>
    <n v="1.2751893508062352E-4"/>
    <n v="1.3241123784435053E-4"/>
    <n v="5.3861790544428012E-4"/>
    <n v="2.5890171305185245E-4"/>
    <n v="0.21912895648660904"/>
    <n v="8.4160481154174183E-2"/>
    <m/>
    <m/>
  </r>
  <r>
    <x v="0"/>
    <x v="0"/>
    <x v="2"/>
    <x v="1"/>
    <s v="Nicor"/>
    <x v="22"/>
    <x v="0"/>
    <m/>
    <s v="RNC"/>
    <m/>
    <x v="0"/>
    <n v="213506.31956083665"/>
    <n v="266384.05291001586"/>
    <n v="791094.44181165798"/>
    <n v="426507.10852345813"/>
    <n v="1709383229"/>
    <n v="214205766"/>
    <n v="2082068"/>
    <n v="2196912418"/>
    <n v="441162766"/>
    <n v="2252419"/>
    <n v="4.6714545497993957E-5"/>
    <n v="5.828403573815135E-5"/>
    <n v="3.6009375491256293E-4"/>
    <n v="1.7308910280143099E-4"/>
    <n v="0.1464989707058626"/>
    <n v="5.6265607525722482E-2"/>
    <m/>
    <m/>
  </r>
  <r>
    <x v="0"/>
    <x v="0"/>
    <x v="2"/>
    <x v="1"/>
    <s v="Nicor"/>
    <x v="22"/>
    <x v="0"/>
    <m/>
    <s v="RNC"/>
    <m/>
    <x v="0"/>
    <n v="493.68043916332613"/>
    <n v="615.9470899841499"/>
    <n v="64905.558188342024"/>
    <n v="34992.891476541874"/>
    <n v="1709383229"/>
    <n v="214205766"/>
    <n v="2082068"/>
    <n v="2196912418"/>
    <n v="441162766"/>
    <n v="2252419"/>
    <n v="1.0801580667120965E-7"/>
    <n v="1.3476738495893912E-7"/>
    <n v="2.9543989854374806E-5"/>
    <n v="1.4201142417229705E-5"/>
    <n v="1.2019547812655931E-2"/>
    <n v="4.61632704042262E-3"/>
    <m/>
    <m/>
  </r>
  <r>
    <x v="0"/>
    <x v="0"/>
    <x v="2"/>
    <x v="1"/>
    <s v="Nicor"/>
    <x v="22"/>
    <x v="1"/>
    <n v="1"/>
    <s v="IQ AHNC"/>
    <m/>
    <x v="0"/>
    <n v="50000"/>
    <n v="50250"/>
    <n v="301000"/>
    <n v="136000"/>
    <n v="0"/>
    <n v="0"/>
    <n v="0"/>
    <n v="2196912418"/>
    <n v="441162766"/>
    <n v="2252419"/>
    <n v="1.0939850772118031E-5"/>
    <n v="1.099455002597862E-5"/>
    <n v="1.370104686622059E-4"/>
    <n v="6.5857901648150554E-5"/>
    <n v="0.21242060691601977"/>
    <n v="2.1408250355618781E-2"/>
    <m/>
    <m/>
  </r>
  <r>
    <x v="0"/>
    <x v="0"/>
    <x v="2"/>
    <x v="1"/>
    <s v="Nicor"/>
    <x v="22"/>
    <x v="1"/>
    <n v="1"/>
    <s v="IQ ESK"/>
    <m/>
    <x v="13"/>
    <n v="530000"/>
    <n v="530250"/>
    <n v="1100000"/>
    <n v="424250"/>
    <n v="0"/>
    <n v="0"/>
    <n v="0"/>
    <n v="2196912418"/>
    <n v="441162766"/>
    <n v="2252419"/>
    <n v="1.1596241818445114E-4"/>
    <n v="1.1601711743831172E-4"/>
    <n v="5.0070270939676573E-4"/>
    <n v="2.4067671698659666E-4"/>
    <n v="0.77628793225123505"/>
    <n v="7.8236130867709822E-2"/>
    <m/>
    <m/>
  </r>
  <r>
    <x v="0"/>
    <x v="0"/>
    <x v="2"/>
    <x v="1"/>
    <s v="Nicor"/>
    <x v="22"/>
    <x v="1"/>
    <n v="1"/>
    <s v="IQ PHA"/>
    <m/>
    <x v="6"/>
    <n v="7701.6561579011486"/>
    <n v="7600.3185768761332"/>
    <n v="208724.76709131428"/>
    <n v="135309.67044123079"/>
    <n v="0"/>
    <n v="0"/>
    <n v="0"/>
    <n v="2196912418"/>
    <n v="441162766"/>
    <n v="2252419"/>
    <n v="1.6850993813120494E-6"/>
    <n v="1.6629270210316279E-6"/>
    <n v="9.5008233091663588E-5"/>
    <n v="4.5668356088481418E-5"/>
    <n v="0.14730047077721545"/>
    <n v="1.4845289266807562E-2"/>
    <m/>
    <m/>
  </r>
  <r>
    <x v="0"/>
    <x v="0"/>
    <x v="2"/>
    <x v="1"/>
    <s v="Nicor"/>
    <x v="22"/>
    <x v="1"/>
    <n v="1"/>
    <s v="IQ PHA"/>
    <m/>
    <x v="9"/>
    <n v="6382.9146637682752"/>
    <n v="6298.9289445081658"/>
    <n v="139244.99396251235"/>
    <n v="90268.129202970682"/>
    <n v="0"/>
    <n v="0"/>
    <n v="0"/>
    <n v="2196912418"/>
    <n v="441162766"/>
    <n v="2252419"/>
    <n v="1.3965626782557773E-6"/>
    <n v="1.3781868535418856E-6"/>
    <n v="6.338213249724203E-5"/>
    <n v="3.0466389094287229E-5"/>
    <n v="9.8267462217722201E-2"/>
    <n v="9.9036268821132561E-3"/>
    <m/>
    <m/>
  </r>
  <r>
    <x v="0"/>
    <x v="0"/>
    <x v="2"/>
    <x v="1"/>
    <s v="Nicor"/>
    <x v="22"/>
    <x v="1"/>
    <n v="1"/>
    <s v="IQ PHA"/>
    <m/>
    <x v="13"/>
    <n v="688.14478211734036"/>
    <n v="679.09024551053324"/>
    <n v="1811.3860908941735"/>
    <n v="1174.2643597896213"/>
    <n v="0"/>
    <n v="0"/>
    <n v="0"/>
    <n v="2196912418"/>
    <n v="441162766"/>
    <n v="2252419"/>
    <n v="1.5056402451950763E-7"/>
    <n v="1.4858291893372462E-7"/>
    <n v="8.2451447588575357E-7"/>
    <n v="3.963258705014497E-7"/>
    <n v="1.2783246936444415E-3"/>
    <n v="1.2883258114467809E-4"/>
    <m/>
    <m/>
  </r>
  <r>
    <x v="0"/>
    <x v="0"/>
    <x v="2"/>
    <x v="1"/>
    <s v="Nicor"/>
    <x v="22"/>
    <x v="1"/>
    <n v="1"/>
    <s v="IQ PHA"/>
    <m/>
    <x v="1"/>
    <n v="23227.284396213239"/>
    <n v="22921.662233105169"/>
    <n v="343218.85285527905"/>
    <n v="222497.93599600883"/>
    <n v="0"/>
    <n v="0"/>
    <n v="0"/>
    <n v="2196912418"/>
    <n v="441162766"/>
    <n v="2252419"/>
    <n v="5.0820605027223701E-6"/>
    <n v="5.015191285581286E-6"/>
    <n v="1.56227826855171E-4"/>
    <n v="7.509526064828579E-5"/>
    <n v="0.24221513962969587"/>
    <n v="2.4411013716591684E-2"/>
    <m/>
    <m/>
  </r>
  <r>
    <x v="0"/>
    <x v="0"/>
    <x v="2"/>
    <x v="1"/>
    <s v="Nicor"/>
    <x v="22"/>
    <x v="1"/>
    <n v="1"/>
    <s v="IQ Wx"/>
    <m/>
    <x v="6"/>
    <n v="312605.5508902428"/>
    <n v="312409.92789218883"/>
    <n v="4501020.0097931614"/>
    <n v="3040644.1337017342"/>
    <n v="0"/>
    <n v="0"/>
    <n v="0"/>
    <n v="2196912418"/>
    <n v="441162766"/>
    <n v="2252419"/>
    <n v="6.8397161545500097E-5"/>
    <n v="6.8354359817374019E-5"/>
    <n v="2.0487935581386301E-3"/>
    <n v="9.8480974458908842E-4"/>
    <n v="3.1764431967488789"/>
    <n v="0.32012944593123482"/>
    <m/>
    <m/>
  </r>
  <r>
    <x v="0"/>
    <x v="0"/>
    <x v="2"/>
    <x v="1"/>
    <s v="Nicor"/>
    <x v="22"/>
    <x v="1"/>
    <n v="1"/>
    <s v="IQ Wx"/>
    <m/>
    <x v="9"/>
    <n v="83244.865470278761"/>
    <n v="83192.772312913119"/>
    <n v="1605045.6280259131"/>
    <n v="1084281.4656593541"/>
    <n v="0"/>
    <n v="0"/>
    <n v="0"/>
    <n v="2196912418"/>
    <n v="441162766"/>
    <n v="2252419"/>
    <n v="1.8213728115797815E-5"/>
    <n v="1.8202330288441243E-5"/>
    <n v="7.3059154059818931E-4"/>
    <n v="3.511791930608791E-4"/>
    <n v="1.1327068652264736"/>
    <n v="0.1141568725480735"/>
    <m/>
    <m/>
  </r>
  <r>
    <x v="0"/>
    <x v="0"/>
    <x v="2"/>
    <x v="1"/>
    <s v="Nicor"/>
    <x v="22"/>
    <x v="1"/>
    <n v="1"/>
    <s v="IQ Wx"/>
    <m/>
    <x v="13"/>
    <n v="34602.13401187976"/>
    <n v="34580.480611371699"/>
    <n v="85456.616156202144"/>
    <n v="57729.838577922179"/>
    <n v="0"/>
    <n v="0"/>
    <n v="0"/>
    <n v="2196912418"/>
    <n v="441162766"/>
    <n v="2252419"/>
    <n v="7.5708436497358877E-6"/>
    <n v="7.5661059503305453E-6"/>
    <n v="3.8898508404808947E-5"/>
    <n v="1.8697652564780445E-5"/>
    <n v="6.030812713916877E-2"/>
    <n v="6.0779954591893429E-3"/>
    <m/>
    <m/>
  </r>
  <r>
    <x v="0"/>
    <x v="0"/>
    <x v="2"/>
    <x v="1"/>
    <s v="Nicor"/>
    <x v="22"/>
    <x v="1"/>
    <n v="1"/>
    <s v="IQ Wx"/>
    <m/>
    <x v="1"/>
    <n v="368547.44962759869"/>
    <n v="368316.81918352633"/>
    <n v="4714477.7460247241"/>
    <n v="3184844.5620609899"/>
    <n v="0"/>
    <n v="0"/>
    <n v="0"/>
    <n v="2196912418"/>
    <n v="441162766"/>
    <n v="2252419"/>
    <n v="8.0637082027412336E-5"/>
    <n v="8.0586620774579152E-5"/>
    <n v="2.1459561643866697E-3"/>
    <n v="1.0315136601996371E-3"/>
    <n v="3.3270838010054509"/>
    <n v="0.33531136173717813"/>
    <m/>
    <m/>
  </r>
  <r>
    <x v="0"/>
    <x v="0"/>
    <x v="2"/>
    <x v="1"/>
    <s v="Nicor"/>
    <x v="22"/>
    <x v="2"/>
    <m/>
    <s v="BEER"/>
    <m/>
    <x v="15"/>
    <n v="2894751.0655473508"/>
    <n v="3250391.9107431681"/>
    <n v="736668.67080141243"/>
    <n v="319739.86357498169"/>
    <n v="487529189"/>
    <n v="226957000"/>
    <n v="170351"/>
    <n v="2196912418"/>
    <n v="441162766"/>
    <n v="2252419"/>
    <n v="6.3336289359035357E-4"/>
    <n v="7.1117604908859712E-4"/>
    <n v="3.3531999945271031E-4"/>
    <n v="1.6118090654123991E-4"/>
    <n v="0.10170767234590811"/>
    <n v="5.2394642304510138E-2"/>
    <m/>
    <m/>
  </r>
  <r>
    <x v="0"/>
    <x v="0"/>
    <x v="2"/>
    <x v="1"/>
    <s v="Nicor"/>
    <x v="22"/>
    <x v="2"/>
    <m/>
    <s v="BEER"/>
    <m/>
    <x v="6"/>
    <n v="250745.53486779367"/>
    <n v="281551.41486583691"/>
    <n v="1350551.2425391506"/>
    <n v="586186.28313691297"/>
    <n v="487529189"/>
    <n v="226957000"/>
    <n v="170351"/>
    <n v="2196912418"/>
    <n v="441162766"/>
    <n v="2252419"/>
    <n v="5.4862374664571629E-5"/>
    <n v="6.1602609266219003E-5"/>
    <n v="6.147496966532011E-4"/>
    <n v="2.9549658106953788E-4"/>
    <n v="0.18646296321125924"/>
    <n v="9.6056276140764632E-2"/>
    <m/>
    <m/>
  </r>
  <r>
    <x v="0"/>
    <x v="0"/>
    <x v="2"/>
    <x v="1"/>
    <s v="Nicor"/>
    <x v="22"/>
    <x v="2"/>
    <m/>
    <s v="BEER"/>
    <m/>
    <x v="17"/>
    <n v="169382.05661740099"/>
    <n v="190191.85214468167"/>
    <n v="531577.68286061159"/>
    <n v="230723.23085553831"/>
    <n v="487529189"/>
    <n v="226957000"/>
    <n v="170351"/>
    <n v="2196912418"/>
    <n v="441162766"/>
    <n v="2252419"/>
    <n v="3.7060288457376286E-5"/>
    <n v="4.1613409610711089E-5"/>
    <n v="2.4196580551196628E-4"/>
    <n v="1.1630761048566752E-4"/>
    <n v="7.3391920869889771E-2"/>
    <n v="3.7807801056942508E-2"/>
    <m/>
    <m/>
  </r>
  <r>
    <x v="0"/>
    <x v="0"/>
    <x v="2"/>
    <x v="1"/>
    <s v="Nicor"/>
    <x v="22"/>
    <x v="2"/>
    <m/>
    <s v="BEER"/>
    <m/>
    <x v="9"/>
    <n v="67315.441903831612"/>
    <n v="75585.624766302353"/>
    <n v="114420.02840944572"/>
    <n v="49662.277933011239"/>
    <n v="487529189"/>
    <n v="226957000"/>
    <n v="170351"/>
    <n v="2196912418"/>
    <n v="441162766"/>
    <n v="2252419"/>
    <n v="1.4728417781741977E-5"/>
    <n v="1.6537909109213133E-5"/>
    <n v="5.2082198394422168E-5"/>
    <n v="2.5034760722816836E-5"/>
    <n v="1.5797325474174475E-2"/>
    <n v="8.1379821059349745E-3"/>
    <m/>
    <m/>
  </r>
  <r>
    <x v="0"/>
    <x v="0"/>
    <x v="2"/>
    <x v="1"/>
    <s v="Nicor"/>
    <x v="22"/>
    <x v="2"/>
    <m/>
    <s v="BEER"/>
    <m/>
    <x v="13"/>
    <n v="44462.2555892374"/>
    <n v="49924.761275915138"/>
    <n v="73559.890050011527"/>
    <n v="31927.554600081203"/>
    <n v="487529189"/>
    <n v="226957000"/>
    <n v="170351"/>
    <n v="2196912418"/>
    <n v="441162766"/>
    <n v="2252419"/>
    <n v="9.7282088227605622E-6"/>
    <n v="1.0923388763842572E-5"/>
    <n v="3.3483305682699061E-5"/>
    <n v="1.6094684399210724E-5"/>
    <n v="1.0155997521746724E-2"/>
    <n v="5.2318556223336799E-3"/>
    <m/>
    <m/>
  </r>
  <r>
    <x v="0"/>
    <x v="0"/>
    <x v="2"/>
    <x v="1"/>
    <s v="Nicor"/>
    <x v="22"/>
    <x v="2"/>
    <m/>
    <s v="BEER"/>
    <m/>
    <x v="1"/>
    <n v="248343.64547438512"/>
    <n v="278854.43620409531"/>
    <n v="638222.48533936846"/>
    <n v="277010.78989947477"/>
    <n v="487529189"/>
    <n v="226957000"/>
    <n v="170351"/>
    <n v="2196912418"/>
    <n v="441162766"/>
    <n v="2252419"/>
    <n v="5.4336848433871176E-5"/>
    <n v="6.101251838431821E-5"/>
    <n v="2.9050884327941763E-4"/>
    <n v="1.3964117498045959E-4"/>
    <n v="8.8115764923287099E-2"/>
    <n v="4.5392779896114406E-2"/>
    <m/>
    <m/>
  </r>
  <r>
    <x v="0"/>
    <x v="0"/>
    <x v="2"/>
    <x v="1"/>
    <s v="Nicor"/>
    <x v="22"/>
    <x v="2"/>
    <m/>
    <s v="BNC"/>
    <m/>
    <x v="6"/>
    <n v="0"/>
    <n v="0"/>
    <n v="19358.591575583319"/>
    <n v="3728.4573907432768"/>
    <n v="487529189"/>
    <n v="226957000"/>
    <n v="170351"/>
    <n v="2196912418"/>
    <n v="441162766"/>
    <n v="2252419"/>
    <n v="0"/>
    <n v="0"/>
    <n v="8.8117265927272478E-6"/>
    <n v="4.235602059905256E-6"/>
    <n v="2.6727311301371422E-3"/>
    <n v="1.376855730838074E-3"/>
    <m/>
    <m/>
  </r>
  <r>
    <x v="0"/>
    <x v="0"/>
    <x v="2"/>
    <x v="1"/>
    <s v="Nicor"/>
    <x v="22"/>
    <x v="2"/>
    <m/>
    <s v="BNC"/>
    <m/>
    <x v="0"/>
    <n v="116000"/>
    <n v="215500"/>
    <n v="507641.40842441667"/>
    <n v="97771.542609256721"/>
    <n v="487529189"/>
    <n v="226957000"/>
    <n v="170351"/>
    <n v="2196912418"/>
    <n v="441162766"/>
    <n v="2252419"/>
    <n v="2.5380453791313836E-5"/>
    <n v="4.7150756827828714E-5"/>
    <n v="2.3107038963645054E-4"/>
    <n v="1.1107042507821879E-4"/>
    <n v="7.0087174986113027E-2"/>
    <n v="3.6105363330328363E-2"/>
    <m/>
    <m/>
  </r>
  <r>
    <x v="0"/>
    <x v="0"/>
    <x v="2"/>
    <x v="1"/>
    <s v="Nicor"/>
    <x v="22"/>
    <x v="2"/>
    <m/>
    <s v="Custom"/>
    <m/>
    <x v="15"/>
    <n v="1311113.3184883278"/>
    <n v="1629424.3664461006"/>
    <n v="3511074.7613875573"/>
    <n v="1855819.5569691856"/>
    <n v="487529189"/>
    <n v="226957000"/>
    <n v="170351"/>
    <n v="2196912418"/>
    <n v="441162766"/>
    <n v="2252419"/>
    <n v="2.8686768099197532E-4"/>
    <n v="3.5651318826746616E-4"/>
    <n v="1.5981860417466844E-3"/>
    <n v="7.6821267878659605E-4"/>
    <n v="0.484754212534524"/>
    <n v="0.24972082228929998"/>
    <m/>
    <m/>
  </r>
  <r>
    <x v="0"/>
    <x v="0"/>
    <x v="2"/>
    <x v="1"/>
    <s v="Nicor"/>
    <x v="22"/>
    <x v="2"/>
    <m/>
    <s v="Custom"/>
    <m/>
    <x v="15"/>
    <n v="246886.68151167207"/>
    <n v="306825.63355389924"/>
    <n v="882925.23861244333"/>
    <n v="466680.4430308147"/>
    <n v="487529189"/>
    <n v="226957000"/>
    <n v="170351"/>
    <n v="2196912418"/>
    <n v="441162766"/>
    <n v="2252419"/>
    <n v="5.4018069067222485E-5"/>
    <n v="6.7132532882804581E-5"/>
    <n v="4.0189369015276025E-4"/>
    <n v="1.931814070671367E-4"/>
    <n v="0.12190048855618436"/>
    <n v="6.2796958649533677E-2"/>
    <m/>
    <m/>
  </r>
  <r>
    <x v="0"/>
    <x v="0"/>
    <x v="2"/>
    <x v="1"/>
    <s v="Nicor"/>
    <x v="22"/>
    <x v="2"/>
    <m/>
    <s v="SB"/>
    <m/>
    <x v="15"/>
    <n v="963913.66238945711"/>
    <n v="1154733.6747403112"/>
    <n v="1012823.7029601355"/>
    <n v="480649.62066349457"/>
    <n v="487529189"/>
    <n v="226957000"/>
    <n v="170351"/>
    <n v="2196912418"/>
    <n v="441162766"/>
    <n v="2252419"/>
    <n v="2.1090143247492845E-4"/>
    <n v="2.5265228166396973E-4"/>
    <n v="4.610214292849136E-4"/>
    <n v="2.2160280337695767E-4"/>
    <n v="0.1398348340411619"/>
    <n v="7.2035825246097848E-2"/>
    <m/>
    <m/>
  </r>
  <r>
    <x v="0"/>
    <x v="0"/>
    <x v="2"/>
    <x v="1"/>
    <s v="Nicor"/>
    <x v="22"/>
    <x v="2"/>
    <m/>
    <s v="SB"/>
    <m/>
    <x v="6"/>
    <n v="38469.114529519786"/>
    <n v="46084.606659232413"/>
    <n v="330597.12993713294"/>
    <n v="156889.48099487487"/>
    <n v="487529189"/>
    <n v="226957000"/>
    <n v="170351"/>
    <n v="2196912418"/>
    <n v="441162766"/>
    <n v="2252419"/>
    <n v="8.4169274457692806E-6"/>
    <n v="1.008317439487519E-5"/>
    <n v="1.5048261698028827E-4"/>
    <n v="7.2333665344054984E-5"/>
    <n v="4.564367388335399E-2"/>
    <n v="2.3513309383864367E-2"/>
    <m/>
    <m/>
  </r>
  <r>
    <x v="0"/>
    <x v="0"/>
    <x v="2"/>
    <x v="1"/>
    <s v="Nicor"/>
    <x v="22"/>
    <x v="2"/>
    <m/>
    <s v="SB"/>
    <m/>
    <x v="17"/>
    <n v="27126.746508109372"/>
    <n v="32496.860353040527"/>
    <n v="111751.48656258722"/>
    <n v="53033.227271344083"/>
    <n v="487529189"/>
    <n v="226957000"/>
    <n v="170351"/>
    <n v="2196912418"/>
    <n v="441162766"/>
    <n v="2252419"/>
    <n v="5.9352511746358082E-6"/>
    <n v="7.1102160564924454E-6"/>
    <n v="5.0867520091821531E-5"/>
    <n v="2.4450891731141153E-5"/>
    <n v="1.5428895010712028E-2"/>
    <n v="7.9481853885197181E-3"/>
    <m/>
    <m/>
  </r>
  <r>
    <x v="0"/>
    <x v="0"/>
    <x v="2"/>
    <x v="1"/>
    <s v="Nicor"/>
    <x v="22"/>
    <x v="2"/>
    <m/>
    <s v="SB"/>
    <m/>
    <x v="9"/>
    <n v="13309.259879060843"/>
    <n v="15944.011551951848"/>
    <n v="68763.484229617679"/>
    <n v="32632.670931642693"/>
    <n v="487529189"/>
    <n v="226957000"/>
    <n v="170351"/>
    <n v="2196912418"/>
    <n v="441162766"/>
    <n v="2252419"/>
    <n v="2.9120263392852661E-6"/>
    <n v="3.4885021417455844E-6"/>
    <n v="3.1300057146664864E-5"/>
    <n v="1.504524512085818E-5"/>
    <n v="9.4937849274634376E-3"/>
    <n v="4.8907172282800634E-3"/>
    <m/>
    <m/>
  </r>
  <r>
    <x v="0"/>
    <x v="0"/>
    <x v="2"/>
    <x v="1"/>
    <s v="Nicor"/>
    <x v="22"/>
    <x v="2"/>
    <m/>
    <s v="SB"/>
    <m/>
    <x v="13"/>
    <n v="8298.9669679666767"/>
    <n v="9941.862012530215"/>
    <n v="37737.876241920771"/>
    <n v="17909.035745620829"/>
    <n v="487529189"/>
    <n v="226957000"/>
    <n v="170351"/>
    <n v="2196912418"/>
    <n v="441162766"/>
    <n v="2252419"/>
    <n v="1.8157892038458458E-6"/>
    <n v="2.1752497362813919E-6"/>
    <n v="1.7177688073826877E-5"/>
    <n v="8.2569346908654338E-6"/>
    <n v="5.2102549001685448E-3"/>
    <n v="2.6840594766657736E-3"/>
    <m/>
    <m/>
  </r>
  <r>
    <x v="0"/>
    <x v="0"/>
    <x v="2"/>
    <x v="1"/>
    <s v="Nicor"/>
    <x v="22"/>
    <x v="2"/>
    <m/>
    <s v="SB"/>
    <m/>
    <x v="10"/>
    <n v="0"/>
    <n v="0"/>
    <n v="47839.991604994866"/>
    <n v="22703.135550916893"/>
    <n v="487529189"/>
    <n v="226957000"/>
    <n v="170351"/>
    <n v="2196912418"/>
    <n v="441162766"/>
    <n v="2252419"/>
    <n v="0"/>
    <n v="0"/>
    <n v="2.1776012194672236E-5"/>
    <n v="1.0467247381960465E-5"/>
    <n v="6.6049967699841044E-3"/>
    <n v="3.4025598581077436E-3"/>
    <m/>
    <m/>
  </r>
  <r>
    <x v="0"/>
    <x v="0"/>
    <x v="2"/>
    <x v="1"/>
    <s v="Nicor"/>
    <x v="22"/>
    <x v="2"/>
    <m/>
    <s v="SB"/>
    <m/>
    <x v="1"/>
    <n v="53882.249725886242"/>
    <n v="64548.984682933857"/>
    <n v="110486.32846361068"/>
    <n v="52432.828842105948"/>
    <n v="487529189"/>
    <n v="226957000"/>
    <n v="170351"/>
    <n v="2196912418"/>
    <n v="441162766"/>
    <n v="2252419"/>
    <n v="1.1789275425343863E-5"/>
    <n v="1.4123125198460579E-5"/>
    <n v="5.0291640011846245E-5"/>
    <n v="2.4174078915022357E-5"/>
    <n v="1.52542217953349E-2"/>
    <n v="7.8582025934289257E-3"/>
    <m/>
    <m/>
  </r>
  <r>
    <x v="0"/>
    <x v="0"/>
    <x v="2"/>
    <x v="1"/>
    <s v="Nicor"/>
    <x v="22"/>
    <x v="2"/>
    <m/>
    <s v="SEM"/>
    <m/>
    <x v="14"/>
    <n v="789000"/>
    <n v="789500"/>
    <n v="935000"/>
    <n v="657500"/>
    <n v="487529189"/>
    <n v="226957000"/>
    <n v="170351"/>
    <n v="2196912418"/>
    <n v="441162766"/>
    <n v="2252419"/>
    <n v="1.7263084518402255E-4"/>
    <n v="1.7274024369174373E-4"/>
    <n v="4.255973029872509E-4"/>
    <n v="2.0457520943860719E-4"/>
    <n v="0.12909015601270191"/>
    <n v="6.6500711237553356E-2"/>
    <m/>
    <m/>
  </r>
  <r>
    <x v="0"/>
    <x v="0"/>
    <x v="2"/>
    <x v="1"/>
    <s v="Nicor"/>
    <x v="22"/>
    <x v="4"/>
    <m/>
    <s v="Emerging Technology"/>
    <m/>
    <x v="4"/>
    <n v="0"/>
    <n v="0"/>
    <n v="1371000"/>
    <n v="0"/>
    <n v="0"/>
    <n v="0"/>
    <n v="0"/>
    <n v="2196912418"/>
    <n v="441162766"/>
    <n v="2252419"/>
    <n v="0"/>
    <n v="0"/>
    <n v="6.2405764962087805E-4"/>
    <n v="2.9997070817147642E-4"/>
    <s v=""/>
    <n v="9.7510668563300151E-2"/>
    <m/>
    <m/>
  </r>
  <r>
    <x v="0"/>
    <x v="0"/>
    <x v="2"/>
    <x v="1"/>
    <s v="Nicor"/>
    <x v="22"/>
    <x v="4"/>
    <m/>
    <s v="Market Transformation"/>
    <m/>
    <x v="4"/>
    <n v="0"/>
    <n v="0"/>
    <n v="2285000"/>
    <n v="0"/>
    <n v="0"/>
    <n v="0"/>
    <n v="0"/>
    <n v="2196912418"/>
    <n v="441162766"/>
    <n v="2252419"/>
    <n v="0"/>
    <n v="0"/>
    <n v="1.0400960827014634E-3"/>
    <n v="4.999511802857941E-4"/>
    <s v=""/>
    <n v="0.16251778093883359"/>
    <m/>
    <m/>
  </r>
  <r>
    <x v="0"/>
    <x v="0"/>
    <x v="2"/>
    <x v="1"/>
    <s v="Nicor"/>
    <x v="22"/>
    <x v="4"/>
    <m/>
    <s v="Market Development Initiative"/>
    <m/>
    <x v="4"/>
    <n v="0"/>
    <n v="0"/>
    <n v="1500000"/>
    <n v="0"/>
    <n v="0"/>
    <n v="0"/>
    <n v="0"/>
    <n v="2196912418"/>
    <n v="441162766"/>
    <n v="2252419"/>
    <n v="0"/>
    <n v="0"/>
    <n v="6.8277642190468064E-4"/>
    <n v="3.2819552316354096E-4"/>
    <s v=""/>
    <n v="0.10668563300142249"/>
    <m/>
    <m/>
  </r>
  <r>
    <x v="0"/>
    <x v="0"/>
    <x v="2"/>
    <x v="1"/>
    <s v="Nicor"/>
    <x v="22"/>
    <x v="4"/>
    <m/>
    <s v="Program Evaluation"/>
    <m/>
    <x v="4"/>
    <n v="0"/>
    <n v="0"/>
    <n v="1371000"/>
    <n v="0"/>
    <n v="0"/>
    <n v="0"/>
    <n v="0"/>
    <n v="2196912418"/>
    <n v="441162766"/>
    <n v="2252419"/>
    <n v="0"/>
    <n v="0"/>
    <n v="6.2405764962087805E-4"/>
    <n v="2.9997070817147642E-4"/>
    <s v=""/>
    <n v="9.7510668563300151E-2"/>
    <m/>
    <m/>
  </r>
  <r>
    <x v="0"/>
    <x v="0"/>
    <x v="2"/>
    <x v="1"/>
    <s v="Nicor"/>
    <x v="22"/>
    <x v="4"/>
    <m/>
    <s v="Portfolio Management"/>
    <m/>
    <x v="4"/>
    <n v="0"/>
    <n v="0"/>
    <n v="2175000"/>
    <n v="0"/>
    <n v="0"/>
    <n v="0"/>
    <n v="0"/>
    <n v="2196912418"/>
    <n v="441162766"/>
    <n v="2252419"/>
    <n v="0"/>
    <n v="0"/>
    <n v="9.9002581176178676E-4"/>
    <n v="4.7588350858713435E-4"/>
    <s v=""/>
    <n v="0.15469416785206261"/>
    <m/>
    <m/>
  </r>
  <r>
    <x v="0"/>
    <x v="0"/>
    <x v="2"/>
    <x v="1"/>
    <s v="Nicor"/>
    <x v="22"/>
    <x v="4"/>
    <m/>
    <s v="Portfolio Marketing"/>
    <m/>
    <x v="4"/>
    <n v="0"/>
    <n v="0"/>
    <n v="1003000"/>
    <n v="0"/>
    <n v="0"/>
    <n v="0"/>
    <n v="0"/>
    <n v="2196912418"/>
    <n v="441162766"/>
    <n v="2252419"/>
    <n v="0"/>
    <n v="0"/>
    <n v="4.5654983411359644E-4"/>
    <n v="2.194534064886877E-4"/>
    <s v=""/>
    <n v="7.1337126600284503E-2"/>
    <m/>
    <m/>
  </r>
  <r>
    <x v="0"/>
    <x v="0"/>
    <x v="3"/>
    <x v="1"/>
    <s v="Nicor"/>
    <x v="22"/>
    <x v="0"/>
    <m/>
    <s v="HEER"/>
    <m/>
    <x v="2"/>
    <n v="3186000"/>
    <n v="3655500"/>
    <n v="4033000"/>
    <n v="2162250"/>
    <n v="1709383229"/>
    <n v="214205766"/>
    <n v="2082068"/>
    <n v="2196912418"/>
    <n v="441162766"/>
    <n v="2252419"/>
    <n v="6.9708729119936105E-4"/>
    <n v="7.9981248994954925E-4"/>
    <n v="1.8357582063610511E-3"/>
    <n v="8.8240836327904042E-4"/>
    <n v="0.74685185185185188"/>
    <n v="0.2868421052631579"/>
    <m/>
    <m/>
  </r>
  <r>
    <x v="0"/>
    <x v="0"/>
    <x v="3"/>
    <x v="1"/>
    <s v="Nicor"/>
    <x v="22"/>
    <x v="0"/>
    <m/>
    <s v="HES"/>
    <m/>
    <x v="2"/>
    <n v="406000"/>
    <n v="422250"/>
    <n v="3028000"/>
    <n v="1664750"/>
    <n v="1709383229"/>
    <n v="214205766"/>
    <n v="2082068"/>
    <n v="2196912418"/>
    <n v="441162766"/>
    <n v="2252419"/>
    <n v="8.8831588269598416E-5"/>
    <n v="9.238703977053678E-5"/>
    <n v="1.3782980036849152E-3"/>
    <n v="6.6251736275946803E-4"/>
    <n v="0.56074074074074076"/>
    <n v="0.21536273115220483"/>
    <m/>
    <m/>
  </r>
  <r>
    <x v="0"/>
    <x v="0"/>
    <x v="3"/>
    <x v="1"/>
    <s v="Nicor"/>
    <x v="22"/>
    <x v="0"/>
    <m/>
    <s v="Multi-Family"/>
    <m/>
    <x v="2"/>
    <n v="395000"/>
    <n v="421250"/>
    <n v="2134000"/>
    <n v="1070250"/>
    <n v="1709383229"/>
    <n v="214205766"/>
    <n v="2082068"/>
    <n v="2196912418"/>
    <n v="441162766"/>
    <n v="2252419"/>
    <n v="8.6424821099732448E-5"/>
    <n v="9.2168242755094417E-5"/>
    <n v="9.7136325622972563E-4"/>
    <n v="4.669128309539976E-4"/>
    <n v="0.39518518518518519"/>
    <n v="0.15177809388335703"/>
    <m/>
    <m/>
  </r>
  <r>
    <x v="0"/>
    <x v="0"/>
    <x v="3"/>
    <x v="1"/>
    <s v="Nicor"/>
    <x v="22"/>
    <x v="0"/>
    <m/>
    <s v="Outreach"/>
    <m/>
    <x v="2"/>
    <n v="1199000"/>
    <n v="1245000"/>
    <n v="1927000"/>
    <n v="885750"/>
    <n v="1709383229"/>
    <n v="214205766"/>
    <n v="2082068"/>
    <n v="2196912418"/>
    <n v="441162766"/>
    <n v="2252419"/>
    <n v="2.6233762151539039E-4"/>
    <n v="2.7240228422573896E-4"/>
    <n v="8.7714011000687968E-4"/>
    <n v="4.2162184875742893E-4"/>
    <n v="0.35685185185185186"/>
    <n v="0.13705547652916075"/>
    <m/>
    <m/>
  </r>
  <r>
    <x v="0"/>
    <x v="0"/>
    <x v="3"/>
    <x v="1"/>
    <s v="Nicor"/>
    <x v="22"/>
    <x v="0"/>
    <m/>
    <s v="Residential New Construction"/>
    <m/>
    <x v="0"/>
    <n v="214000"/>
    <n v="267000"/>
    <n v="856000"/>
    <n v="461500"/>
    <n v="1709383229"/>
    <n v="214205766"/>
    <n v="2082068"/>
    <n v="2196912418"/>
    <n v="441162766"/>
    <n v="2252419"/>
    <n v="4.6822561304665176E-5"/>
    <n v="5.8418803123110288E-5"/>
    <n v="3.8963774476693771E-4"/>
    <n v="1.872902452186607E-4"/>
    <n v="0.15851851851851853"/>
    <n v="6.0881934566145095E-2"/>
    <m/>
    <m/>
  </r>
  <r>
    <x v="0"/>
    <x v="0"/>
    <x v="3"/>
    <x v="1"/>
    <s v="Nicor"/>
    <x v="22"/>
    <x v="1"/>
    <n v="1"/>
    <s v="IQ Weatherization"/>
    <m/>
    <x v="3"/>
    <n v="799000"/>
    <n v="798500"/>
    <n v="10906000"/>
    <n v="7367500"/>
    <n v="0"/>
    <n v="0"/>
    <n v="0"/>
    <n v="2196912418"/>
    <n v="441162766"/>
    <n v="2252419"/>
    <n v="1.7481881533844615E-4"/>
    <n v="1.7470941683072499E-4"/>
    <n v="4.9642397715282975E-3"/>
    <n v="2.3862002504143852E-3"/>
    <n v="7.6965419901199716"/>
    <n v="0.77567567567567564"/>
    <m/>
    <m/>
  </r>
  <r>
    <x v="0"/>
    <x v="0"/>
    <x v="3"/>
    <x v="1"/>
    <s v="Nicor"/>
    <x v="22"/>
    <x v="1"/>
    <n v="1"/>
    <s v="IQ PHA"/>
    <m/>
    <x v="3"/>
    <n v="38000"/>
    <n v="37500"/>
    <n v="693000"/>
    <n v="449250"/>
    <n v="0"/>
    <n v="0"/>
    <n v="0"/>
    <n v="2196912418"/>
    <n v="441162766"/>
    <n v="2252419"/>
    <n v="8.3142865868097038E-6"/>
    <n v="8.2048880790885239E-6"/>
    <n v="3.1544270691996243E-4"/>
    <n v="1.5162633170155593E-4"/>
    <n v="0.48906139731827808"/>
    <n v="4.9288762446657183E-2"/>
    <m/>
    <m/>
  </r>
  <r>
    <x v="0"/>
    <x v="0"/>
    <x v="3"/>
    <x v="1"/>
    <s v="Nicor"/>
    <x v="22"/>
    <x v="1"/>
    <n v="1"/>
    <s v="IQ AHNC"/>
    <m/>
    <x v="3"/>
    <n v="50000"/>
    <n v="50250"/>
    <n v="301000"/>
    <n v="136000"/>
    <n v="0"/>
    <n v="0"/>
    <n v="0"/>
    <n v="2196912418"/>
    <n v="441162766"/>
    <n v="2252419"/>
    <n v="1.0939850772118031E-5"/>
    <n v="1.099455002597862E-5"/>
    <n v="1.370104686622059E-4"/>
    <n v="6.5857901648150554E-5"/>
    <n v="0.21242060691601977"/>
    <n v="2.1408250355618778E-2"/>
    <m/>
    <m/>
  </r>
  <r>
    <x v="0"/>
    <x v="0"/>
    <x v="3"/>
    <x v="1"/>
    <s v="Nicor"/>
    <x v="22"/>
    <x v="1"/>
    <n v="1"/>
    <s v="IQ ESK"/>
    <m/>
    <x v="3"/>
    <n v="530000"/>
    <n v="530250"/>
    <n v="1100000"/>
    <n v="424250"/>
    <n v="0"/>
    <n v="0"/>
    <n v="0"/>
    <n v="2196912418"/>
    <n v="441162766"/>
    <n v="2252419"/>
    <n v="1.1596241818445114E-4"/>
    <n v="1.1601711743831172E-4"/>
    <n v="5.0070270939676573E-4"/>
    <n v="2.4067671698659666E-4"/>
    <n v="0.77628793225123505"/>
    <n v="7.8236130867709822E-2"/>
    <m/>
    <m/>
  </r>
  <r>
    <x v="0"/>
    <x v="0"/>
    <x v="3"/>
    <x v="1"/>
    <s v="Nicor"/>
    <x v="22"/>
    <x v="2"/>
    <m/>
    <s v="BEER"/>
    <m/>
    <x v="2"/>
    <n v="3675000"/>
    <n v="4126500"/>
    <n v="3445000"/>
    <n v="1495250"/>
    <n v="487529189"/>
    <n v="226957000"/>
    <n v="170351"/>
    <n v="2196912418"/>
    <n v="441162766"/>
    <n v="2252419"/>
    <n v="8.0407903175067541E-4"/>
    <n v="9.0286588422290115E-4"/>
    <n v="1.5681098489744164E-3"/>
    <n v="7.5375571819893234E-4"/>
    <n v="0.47563164434626537"/>
    <n v="0.24502133712660029"/>
    <m/>
    <m/>
  </r>
  <r>
    <x v="0"/>
    <x v="0"/>
    <x v="3"/>
    <x v="1"/>
    <s v="Nicor"/>
    <x v="22"/>
    <x v="2"/>
    <m/>
    <s v="C&amp;I New Construction"/>
    <m/>
    <x v="0"/>
    <n v="116000"/>
    <n v="215500"/>
    <n v="527000"/>
    <n v="101500"/>
    <n v="487529189"/>
    <n v="226957000"/>
    <n v="170351"/>
    <n v="2196912418"/>
    <n v="441162766"/>
    <n v="2252419"/>
    <n v="2.5380453791313836E-5"/>
    <n v="4.7150756827828714E-5"/>
    <n v="2.3988211622917778E-4"/>
    <n v="1.1530602713812406E-4"/>
    <n v="7.2759906116250175E-2"/>
    <n v="3.748221906116643E-2"/>
    <m/>
    <m/>
  </r>
  <r>
    <x v="0"/>
    <x v="0"/>
    <x v="3"/>
    <x v="1"/>
    <s v="Nicor"/>
    <x v="22"/>
    <x v="2"/>
    <m/>
    <s v="Business Custom"/>
    <m/>
    <x v="15"/>
    <n v="1558000"/>
    <n v="1936250"/>
    <n v="4394000"/>
    <n v="2322500"/>
    <n v="487529189"/>
    <n v="226957000"/>
    <n v="170351"/>
    <n v="2196912418"/>
    <n v="441162766"/>
    <n v="2252419"/>
    <n v="3.4088575005919783E-4"/>
    <n v="4.2364572115027079E-4"/>
    <n v="2.0000797318994444E-3"/>
    <n v="9.6139408585373272E-4"/>
    <n v="0.60665470109070829"/>
    <n v="0.31251778093883359"/>
    <m/>
    <m/>
  </r>
  <r>
    <x v="0"/>
    <x v="0"/>
    <x v="3"/>
    <x v="1"/>
    <s v="Nicor"/>
    <x v="22"/>
    <x v="2"/>
    <m/>
    <s v="SB"/>
    <m/>
    <x v="18"/>
    <n v="1105000"/>
    <n v="1323750"/>
    <n v="1720000"/>
    <n v="816250"/>
    <n v="487529189"/>
    <n v="226957000"/>
    <n v="170351"/>
    <n v="2196912418"/>
    <n v="441162766"/>
    <n v="2252419"/>
    <n v="2.4177070206380852E-4"/>
    <n v="2.8963254919182489E-4"/>
    <n v="7.8291696378403374E-4"/>
    <n v="3.7633086656086026E-4"/>
    <n v="0.23747066132817893"/>
    <n v="0.12233285917496443"/>
    <m/>
    <m/>
  </r>
  <r>
    <x v="0"/>
    <x v="0"/>
    <x v="3"/>
    <x v="1"/>
    <s v="Nicor"/>
    <x v="22"/>
    <x v="2"/>
    <m/>
    <s v="Strategic Energy Management"/>
    <m/>
    <x v="14"/>
    <n v="789000"/>
    <n v="789500"/>
    <n v="935000"/>
    <n v="657500"/>
    <n v="487529189"/>
    <n v="226957000"/>
    <n v="170351"/>
    <n v="2196912418"/>
    <n v="441162766"/>
    <n v="2252419"/>
    <n v="1.7263084518402255E-4"/>
    <n v="1.7274024369174373E-4"/>
    <n v="4.255973029872509E-4"/>
    <n v="2.0457520943860719E-4"/>
    <n v="0.12909015601270191"/>
    <n v="6.6500711237553342E-2"/>
    <m/>
    <m/>
  </r>
  <r>
    <x v="0"/>
    <x v="0"/>
    <x v="3"/>
    <x v="1"/>
    <s v="Nicor"/>
    <x v="22"/>
    <x v="3"/>
    <m/>
    <s v="Emerging Technology"/>
    <m/>
    <x v="4"/>
    <n v="0"/>
    <n v="0"/>
    <n v="1371000"/>
    <n v="0"/>
    <n v="0"/>
    <n v="0"/>
    <n v="0"/>
    <n v="2196912418"/>
    <n v="441162766"/>
    <n v="2252419"/>
    <n v="0"/>
    <n v="0"/>
    <n v="6.2405764962087805E-4"/>
    <n v="2.9997070817147642E-4"/>
    <s v=""/>
    <n v="9.7510668563300137E-2"/>
    <m/>
    <m/>
  </r>
  <r>
    <x v="0"/>
    <x v="0"/>
    <x v="3"/>
    <x v="1"/>
    <s v="Nicor"/>
    <x v="22"/>
    <x v="3"/>
    <m/>
    <s v="Market Transformation"/>
    <m/>
    <x v="4"/>
    <n v="0"/>
    <n v="0"/>
    <n v="2285000"/>
    <n v="0"/>
    <n v="0"/>
    <n v="0"/>
    <n v="0"/>
    <n v="2196912418"/>
    <n v="441162766"/>
    <n v="2252419"/>
    <n v="0"/>
    <n v="0"/>
    <n v="1.0400960827014634E-3"/>
    <n v="4.999511802857941E-4"/>
    <s v=""/>
    <n v="0.16251778093883357"/>
    <m/>
    <m/>
  </r>
  <r>
    <x v="0"/>
    <x v="0"/>
    <x v="3"/>
    <x v="1"/>
    <s v="Nicor"/>
    <x v="22"/>
    <x v="3"/>
    <m/>
    <s v="Market Development Initiative"/>
    <m/>
    <x v="4"/>
    <n v="0"/>
    <n v="0"/>
    <n v="1500000"/>
    <n v="0"/>
    <n v="0"/>
    <n v="0"/>
    <n v="0"/>
    <n v="2196912418"/>
    <n v="441162766"/>
    <n v="2252419"/>
    <n v="0"/>
    <n v="0"/>
    <n v="6.8277642190468064E-4"/>
    <n v="3.2819552316354096E-4"/>
    <s v=""/>
    <n v="0.10668563300142248"/>
    <m/>
    <m/>
  </r>
  <r>
    <x v="0"/>
    <x v="0"/>
    <x v="3"/>
    <x v="1"/>
    <s v="Nicor"/>
    <x v="22"/>
    <x v="3"/>
    <m/>
    <s v="Program Evaluation"/>
    <m/>
    <x v="4"/>
    <n v="0"/>
    <n v="0"/>
    <n v="1371000"/>
    <n v="0"/>
    <n v="0"/>
    <n v="0"/>
    <n v="0"/>
    <n v="2196912418"/>
    <n v="441162766"/>
    <n v="2252419"/>
    <n v="0"/>
    <n v="0"/>
    <n v="6.2405764962087805E-4"/>
    <n v="2.9997070817147642E-4"/>
    <s v=""/>
    <n v="9.7510668563300137E-2"/>
    <m/>
    <m/>
  </r>
  <r>
    <x v="0"/>
    <x v="0"/>
    <x v="3"/>
    <x v="1"/>
    <s v="Nicor"/>
    <x v="22"/>
    <x v="3"/>
    <m/>
    <s v="Portfolio Management"/>
    <m/>
    <x v="4"/>
    <n v="0"/>
    <n v="0"/>
    <n v="2175000"/>
    <n v="0"/>
    <n v="0"/>
    <n v="0"/>
    <n v="0"/>
    <n v="2196912418"/>
    <n v="441162766"/>
    <n v="2252419"/>
    <n v="0"/>
    <n v="0"/>
    <n v="9.9002581176178676E-4"/>
    <n v="4.7588350858713435E-4"/>
    <s v=""/>
    <n v="0.15469416785206258"/>
    <m/>
    <m/>
  </r>
  <r>
    <x v="0"/>
    <x v="0"/>
    <x v="3"/>
    <x v="1"/>
    <s v="Nicor"/>
    <x v="22"/>
    <x v="3"/>
    <m/>
    <s v="Portfolio Marketing"/>
    <m/>
    <x v="4"/>
    <n v="0"/>
    <n v="0"/>
    <n v="1003000"/>
    <n v="0"/>
    <n v="0"/>
    <n v="0"/>
    <n v="0"/>
    <n v="2196912418"/>
    <n v="441162766"/>
    <n v="2252419"/>
    <n v="0"/>
    <n v="0"/>
    <n v="4.5654983411359644E-4"/>
    <n v="2.194534064886877E-4"/>
    <s v=""/>
    <n v="7.1337126600284489E-2"/>
    <m/>
    <m/>
  </r>
  <r>
    <x v="0"/>
    <x v="0"/>
    <x v="2"/>
    <x v="1"/>
    <s v="Peoples"/>
    <x v="23"/>
    <x v="0"/>
    <m/>
    <s v="Outreach and Education"/>
    <m/>
    <x v="13"/>
    <n v="13254"/>
    <n v="14726.666666666666"/>
    <n v="17518"/>
    <n v="15918"/>
    <n v="1163097796"/>
    <n v="91375272"/>
    <n v="825920"/>
    <n v="1502663699"/>
    <n v="150599900"/>
    <n v="877342"/>
    <n v="8.4949832592427303E-6"/>
    <n v="9.4388702880474789E-6"/>
    <n v="1.1657964461148535E-5"/>
    <n v="1.1227939998145026E-5"/>
    <n v="6.8553163530092678E-3"/>
    <n v="2.2648217639054534E-3"/>
    <m/>
    <m/>
  </r>
  <r>
    <x v="0"/>
    <x v="0"/>
    <x v="2"/>
    <x v="1"/>
    <s v="Peoples"/>
    <x v="23"/>
    <x v="0"/>
    <m/>
    <s v="Home Energy Jumpstart"/>
    <m/>
    <x v="6"/>
    <n v="224310"/>
    <n v="249233.33333333331"/>
    <n v="676167"/>
    <n v="545445"/>
    <n v="1163097796"/>
    <n v="91375272"/>
    <n v="825920"/>
    <n v="1502663699"/>
    <n v="150599900"/>
    <n v="877342"/>
    <n v="1.4376865058704822E-4"/>
    <n v="1.5974294509672022E-4"/>
    <n v="4.4997892772014053E-4"/>
    <n v="4.3338066587086011E-4"/>
    <n v="0.26460433225626312"/>
    <n v="8.7418525952429438E-2"/>
    <m/>
    <m/>
  </r>
  <r>
    <x v="0"/>
    <x v="0"/>
    <x v="2"/>
    <x v="1"/>
    <s v="Peoples"/>
    <x v="23"/>
    <x v="0"/>
    <m/>
    <s v="Home Energy Rebate"/>
    <m/>
    <x v="6"/>
    <n v="705496"/>
    <n v="783884.44444444438"/>
    <n v="1084443"/>
    <n v="460491"/>
    <n v="1163097796"/>
    <n v="91375272"/>
    <n v="825920"/>
    <n v="1502663699"/>
    <n v="150599900"/>
    <n v="877342"/>
    <n v="4.5217871657331443E-4"/>
    <n v="5.0242079619257157E-4"/>
    <n v="7.216804403551376E-4"/>
    <n v="6.9505999174611182E-4"/>
    <n v="0.42437491904363678"/>
    <n v="0.14020265487583752"/>
    <m/>
    <m/>
  </r>
  <r>
    <x v="0"/>
    <x v="0"/>
    <x v="2"/>
    <x v="1"/>
    <s v="Peoples"/>
    <x v="23"/>
    <x v="0"/>
    <m/>
    <s v="Multi-Family"/>
    <m/>
    <x v="6"/>
    <n v="1612329"/>
    <n v="1791476.6666666665"/>
    <n v="2451859"/>
    <n v="1709923"/>
    <n v="1163097796"/>
    <n v="91375272"/>
    <n v="825920"/>
    <n v="1502663699"/>
    <n v="150599900"/>
    <n v="877342"/>
    <n v="1.0334018306467161E-3"/>
    <n v="1.1482242562741289E-3"/>
    <n v="1.6316751390425383E-3"/>
    <n v="1.5714879401707881E-3"/>
    <n v="0.95948562038891139"/>
    <n v="0.31698958929258259"/>
    <m/>
    <m/>
  </r>
  <r>
    <x v="0"/>
    <x v="0"/>
    <x v="2"/>
    <x v="1"/>
    <s v="Peoples"/>
    <x v="23"/>
    <x v="2"/>
    <m/>
    <s v="C&amp;I"/>
    <m/>
    <x v="6"/>
    <n v="1539381"/>
    <n v="1710423.3333333333"/>
    <n v="2323621"/>
    <n v="1572845"/>
    <n v="339565903"/>
    <n v="59224628"/>
    <n v="51422"/>
    <n v="1502663699"/>
    <n v="150599900"/>
    <n v="877342"/>
    <n v="9.8664673491748417E-4"/>
    <n v="1.0962741499083155E-3"/>
    <n v="1.5463346865611611E-3"/>
    <n v="1.4892954199354803E-3"/>
    <n v="0.68481133081959111"/>
    <n v="0.30041028723985352"/>
    <m/>
    <m/>
  </r>
  <r>
    <x v="0"/>
    <x v="0"/>
    <x v="2"/>
    <x v="1"/>
    <s v="Peoples"/>
    <x v="23"/>
    <x v="2"/>
    <m/>
    <s v="Public Sector"/>
    <m/>
    <x v="6"/>
    <n v="518773"/>
    <n v="576414.44444444438"/>
    <n v="2422725"/>
    <n v="1195827"/>
    <n v="339565903"/>
    <n v="59224628"/>
    <n v="51422"/>
    <n v="1502663699"/>
    <n v="150599900"/>
    <n v="877342"/>
    <n v="3.3250097708971855E-4"/>
    <n v="3.6944553009968722E-4"/>
    <n v="1.6122869019942964E-3"/>
    <n v="1.5528148722460274E-3"/>
    <n v="0.71401899512007083"/>
    <n v="0.31322298823826006"/>
    <m/>
    <m/>
  </r>
  <r>
    <x v="0"/>
    <x v="0"/>
    <x v="2"/>
    <x v="1"/>
    <s v="Peoples"/>
    <x v="23"/>
    <x v="2"/>
    <m/>
    <s v="Small/Mid-Size Business"/>
    <m/>
    <x v="10"/>
    <n v="1226240"/>
    <n v="1362488.8888888888"/>
    <n v="2013450"/>
    <n v="892179"/>
    <n v="339565903"/>
    <n v="59224628"/>
    <n v="51422"/>
    <n v="1502663699"/>
    <n v="150599900"/>
    <n v="877342"/>
    <n v="7.8594298112372163E-4"/>
    <n v="8.7326997902635736E-4"/>
    <n v="1.3399205699451717E-3"/>
    <n v="1.2904952499865909E-3"/>
    <n v="0.59339856802753366"/>
    <n v="0.26030970319302632"/>
    <m/>
    <m/>
  </r>
  <r>
    <x v="0"/>
    <x v="0"/>
    <x v="2"/>
    <x v="1"/>
    <s v="Peoples"/>
    <x v="23"/>
    <x v="2"/>
    <m/>
    <s v="Commercial Food Service Program"/>
    <m/>
    <x v="6"/>
    <n v="108688"/>
    <n v="120764.44444444444"/>
    <n v="262885"/>
    <n v="132942"/>
    <n v="339565903"/>
    <n v="59224628"/>
    <n v="51422"/>
    <n v="1502663699"/>
    <n v="150599900"/>
    <n v="877342"/>
    <n v="6.9662195599862219E-5"/>
    <n v="7.7402439555402468E-5"/>
    <n v="1.749459976806161E-4"/>
    <n v="1.684928077641486E-4"/>
    <n v="7.7476760066511802E-2"/>
    <n v="3.3987194280413587E-2"/>
    <m/>
    <m/>
  </r>
  <r>
    <x v="0"/>
    <x v="0"/>
    <x v="2"/>
    <x v="1"/>
    <s v="Peoples"/>
    <x v="23"/>
    <x v="1"/>
    <n v="1"/>
    <s v="Single Family"/>
    <m/>
    <x v="6"/>
    <n v="841577"/>
    <n v="935085.5555555555"/>
    <n v="5275305"/>
    <n v="4806249"/>
    <n v="0"/>
    <n v="0"/>
    <n v="0"/>
    <n v="1502663699"/>
    <n v="150599900"/>
    <n v="877342"/>
    <n v="5.393981082211952E-4"/>
    <n v="5.9933123135688345E-4"/>
    <n v="3.5106358152596855E-3"/>
    <n v="3.3811398568280877E-3"/>
    <n v="2.9531128768429999"/>
    <n v="0.68201995520260639"/>
    <m/>
    <m/>
  </r>
  <r>
    <x v="0"/>
    <x v="0"/>
    <x v="2"/>
    <x v="1"/>
    <s v="Peoples"/>
    <x v="23"/>
    <x v="1"/>
    <n v="1"/>
    <s v="Multi-Family"/>
    <m/>
    <x v="6"/>
    <n v="944777"/>
    <n v="1049752.2222222222"/>
    <n v="7142526"/>
    <n v="469000"/>
    <n v="0"/>
    <n v="0"/>
    <n v="0"/>
    <n v="1502663699"/>
    <n v="150599900"/>
    <n v="877342"/>
    <n v="6.0554283980063153E-4"/>
    <n v="6.7282537755625725E-4"/>
    <n v="4.7532431939050924E-3"/>
    <n v="4.5779114832281542E-3"/>
    <n v="3.9983821795679915"/>
    <n v="0.92342438258137705"/>
    <m/>
    <m/>
  </r>
  <r>
    <x v="0"/>
    <x v="0"/>
    <x v="2"/>
    <x v="1"/>
    <s v="Peoples"/>
    <x v="23"/>
    <x v="4"/>
    <m/>
    <s v="Portfolio Market Development Initiative"/>
    <m/>
    <x v="4"/>
    <n v="0"/>
    <m/>
    <n v="700000"/>
    <n v="0"/>
    <n v="0"/>
    <n v="0"/>
    <n v="0"/>
    <n v="1502663699"/>
    <n v="150599900"/>
    <n v="877342"/>
    <n v="0"/>
    <n v="0"/>
    <n v="4.6583942931864222E-4"/>
    <n v="4.4865612505431653E-4"/>
    <s v=""/>
    <n v="9.0499785063010471E-2"/>
    <m/>
    <m/>
  </r>
  <r>
    <x v="0"/>
    <x v="0"/>
    <x v="3"/>
    <x v="1"/>
    <s v="Peoples"/>
    <x v="23"/>
    <x v="0"/>
    <m/>
    <s v="Outreach and Education"/>
    <m/>
    <x v="2"/>
    <n v="13254"/>
    <n v="14726.666666666666"/>
    <n v="17518"/>
    <n v="15918"/>
    <n v="1163097796"/>
    <n v="91375272"/>
    <n v="825920"/>
    <n v="1502663699"/>
    <n v="150599900"/>
    <n v="877342"/>
    <n v="8.4949832592427303E-6"/>
    <n v="9.4388702880474789E-6"/>
    <n v="1.1657964461148535E-5"/>
    <n v="1.1227939998145026E-5"/>
    <n v="8.4281447497055583E-3"/>
    <n v="2.4986588857076799E-3"/>
    <m/>
    <m/>
  </r>
  <r>
    <x v="0"/>
    <x v="0"/>
    <x v="3"/>
    <x v="1"/>
    <s v="Peoples"/>
    <x v="23"/>
    <x v="0"/>
    <m/>
    <s v="Home Energy Jumpstart"/>
    <m/>
    <x v="2"/>
    <n v="194567"/>
    <n v="216185.55555555556"/>
    <n v="586222"/>
    <n v="472930"/>
    <n v="1163097796"/>
    <n v="91375272"/>
    <n v="825920"/>
    <n v="1502663699"/>
    <n v="150599900"/>
    <n v="877342"/>
    <n v="1.2470525183349031E-4"/>
    <n v="1.3856139092610035E-4"/>
    <n v="3.9012188847719015E-4"/>
    <n v="3.7573155848798798E-4"/>
    <n v="0.28203926655222583"/>
    <n v="8.3615070744224654E-2"/>
    <m/>
    <m/>
  </r>
  <r>
    <x v="0"/>
    <x v="0"/>
    <x v="3"/>
    <x v="1"/>
    <s v="Peoples"/>
    <x v="23"/>
    <x v="0"/>
    <m/>
    <s v="Home Energy Rebate"/>
    <m/>
    <x v="2"/>
    <n v="686531"/>
    <n v="762812.22222222225"/>
    <n v="1042581"/>
    <n v="433621"/>
    <n v="1163097796"/>
    <n v="91375272"/>
    <n v="825920"/>
    <n v="1502663699"/>
    <n v="150599900"/>
    <n v="877342"/>
    <n v="4.4002334027095003E-4"/>
    <n v="4.889148225232778E-4"/>
    <n v="6.9382191151208473E-4"/>
    <n v="6.682290735932206E-4"/>
    <n v="0.50159970209457538"/>
    <n v="0.14870728848727013"/>
    <m/>
    <m/>
  </r>
  <r>
    <x v="0"/>
    <x v="0"/>
    <x v="3"/>
    <x v="1"/>
    <s v="Peoples"/>
    <x v="23"/>
    <x v="0"/>
    <m/>
    <s v="Multi-Family"/>
    <m/>
    <x v="2"/>
    <n v="1184160"/>
    <n v="1315733.3333333333"/>
    <n v="1797355"/>
    <n v="1252930"/>
    <n v="1163097796"/>
    <n v="91375272"/>
    <n v="825920"/>
    <n v="1502663699"/>
    <n v="150599900"/>
    <n v="877342"/>
    <n v="7.5897233863474222E-4"/>
    <n v="8.4330259848304674E-4"/>
    <n v="1.1961126106900118E-3"/>
    <n v="1.151991899495716E-3"/>
    <n v="0.86473159644976794"/>
    <n v="0.25636357127075732"/>
    <m/>
    <m/>
  </r>
  <r>
    <x v="0"/>
    <x v="0"/>
    <x v="3"/>
    <x v="1"/>
    <s v="Peoples"/>
    <x v="23"/>
    <x v="2"/>
    <m/>
    <s v="C&amp;I"/>
    <m/>
    <x v="2"/>
    <n v="1190556"/>
    <n v="1322840"/>
    <n v="1824295"/>
    <n v="1243646"/>
    <n v="339565903"/>
    <n v="59224628"/>
    <n v="51422"/>
    <n v="1502663699"/>
    <n v="150599900"/>
    <n v="877342"/>
    <n v="7.6307177374309557E-4"/>
    <n v="8.4785752638121741E-4"/>
    <n v="1.2140407738697892E-3"/>
    <n v="1.1692587509370921E-3"/>
    <n v="0.60894029478091705"/>
    <n v="0.26020612580786001"/>
    <m/>
    <m/>
  </r>
  <r>
    <x v="0"/>
    <x v="0"/>
    <x v="3"/>
    <x v="1"/>
    <s v="Peoples"/>
    <x v="23"/>
    <x v="2"/>
    <m/>
    <s v="Public Sector"/>
    <m/>
    <x v="2"/>
    <n v="518773"/>
    <n v="576414.44444444438"/>
    <n v="2422725"/>
    <n v="1195827"/>
    <n v="339565903"/>
    <n v="59224628"/>
    <n v="51422"/>
    <n v="1502663699"/>
    <n v="150599900"/>
    <n v="877342"/>
    <n v="3.3250097708971855E-4"/>
    <n v="3.6944553009968722E-4"/>
    <n v="1.6122869019942964E-3"/>
    <n v="1.5528148722460274E-3"/>
    <n v="0.80869315306630629"/>
    <n v="0.34556246996667078"/>
    <m/>
    <m/>
  </r>
  <r>
    <x v="0"/>
    <x v="0"/>
    <x v="3"/>
    <x v="1"/>
    <s v="Peoples"/>
    <x v="23"/>
    <x v="2"/>
    <m/>
    <s v="Small/Mid-Size Business"/>
    <m/>
    <x v="10"/>
    <n v="1158017"/>
    <n v="1286685.5555555555"/>
    <n v="1886221"/>
    <n v="827333"/>
    <n v="339565903"/>
    <n v="59224628"/>
    <n v="51422"/>
    <n v="1502663699"/>
    <n v="150599900"/>
    <n v="877342"/>
    <n v="7.4221631423860646E-4"/>
    <n v="8.2468479359845161E-4"/>
    <n v="1.2552515917269125E-3"/>
    <n v="1.2089494355086829E-3"/>
    <n v="0.62961087530358639"/>
    <n v="0.26903886642644281"/>
    <m/>
    <m/>
  </r>
  <r>
    <x v="0"/>
    <x v="0"/>
    <x v="3"/>
    <x v="1"/>
    <s v="Peoples"/>
    <x v="23"/>
    <x v="2"/>
    <m/>
    <s v="Commercial Food Service Program"/>
    <m/>
    <x v="2"/>
    <n v="128506"/>
    <n v="142784.44444444444"/>
    <n v="316791"/>
    <n v="163155"/>
    <n v="339565903"/>
    <n v="59224628"/>
    <n v="51422"/>
    <n v="1502663699"/>
    <n v="150599900"/>
    <n v="877342"/>
    <n v="8.2364291437471445E-5"/>
    <n v="9.151587937496825E-5"/>
    <n v="2.108196266475457E-4"/>
    <n v="2.0304317501726002E-4"/>
    <n v="0.10574320760838653"/>
    <n v="4.5185103725437922E-2"/>
    <m/>
    <m/>
  </r>
  <r>
    <x v="0"/>
    <x v="0"/>
    <x v="3"/>
    <x v="1"/>
    <s v="Peoples"/>
    <x v="23"/>
    <x v="1"/>
    <n v="1"/>
    <s v="Single Family"/>
    <m/>
    <x v="3"/>
    <n v="895356"/>
    <n v="994840"/>
    <n v="5685910"/>
    <n v="5174627"/>
    <n v="0"/>
    <n v="0"/>
    <n v="0"/>
    <n v="1502663699"/>
    <n v="150599900"/>
    <n v="877342"/>
    <n v="5.7386707643447533E-4"/>
    <n v="6.3763008492719465E-4"/>
    <n v="3.7838872422245157E-3"/>
    <n v="3.6443119257251275E-3"/>
    <n v="2.936031605956221"/>
    <n v="0.81100294239263349"/>
    <m/>
    <m/>
  </r>
  <r>
    <x v="0"/>
    <x v="0"/>
    <x v="3"/>
    <x v="1"/>
    <s v="Peoples"/>
    <x v="23"/>
    <x v="1"/>
    <n v="1"/>
    <s v="Multi-Family"/>
    <m/>
    <x v="3"/>
    <n v="1041241"/>
    <n v="1156934.4444444445"/>
    <n v="8097617"/>
    <n v="5349494"/>
    <n v="0"/>
    <n v="0"/>
    <n v="0"/>
    <n v="1502663699"/>
    <n v="150599900"/>
    <n v="877342"/>
    <n v="6.6737021758240232E-4"/>
    <n v="7.4152246398044705E-4"/>
    <n v="5.3888418316013365E-3"/>
    <n v="5.1900649505627998E-3"/>
    <n v="4.181364011201091"/>
    <n v="1.1549938731651765"/>
    <m/>
    <m/>
  </r>
  <r>
    <x v="0"/>
    <x v="0"/>
    <x v="3"/>
    <x v="1"/>
    <s v="Peoples"/>
    <x v="23"/>
    <x v="3"/>
    <m/>
    <s v="Portfolio Market Development Initiative"/>
    <m/>
    <x v="4"/>
    <n v="0"/>
    <m/>
    <n v="700000"/>
    <n v="0"/>
    <n v="0"/>
    <n v="0"/>
    <n v="0"/>
    <n v="1502663699"/>
    <n v="150599900"/>
    <n v="877342"/>
    <n v="0"/>
    <n v="0"/>
    <n v="4.6583942931864222E-4"/>
    <n v="4.4865612505431653E-4"/>
    <s v=""/>
    <n v="9.9843659093239862E-2"/>
    <m/>
    <m/>
  </r>
  <r>
    <x v="0"/>
    <x v="0"/>
    <x v="3"/>
    <x v="3"/>
    <s v="Xcel"/>
    <x v="4"/>
    <x v="0"/>
    <m/>
    <s v="Consumer Eduction"/>
    <m/>
    <x v="4"/>
    <n v="0"/>
    <n v="0"/>
    <n v="674100"/>
    <n v="0"/>
    <n v="306619750"/>
    <n v="35286911"/>
    <n v="438247"/>
    <n v="526109473"/>
    <n v="80336233"/>
    <n v="474354"/>
    <n v="0"/>
    <n v="0"/>
    <n v="1.2812922682348281E-3"/>
    <n v="8.0994048560339602E-4"/>
    <n v="0.14436296975252064"/>
    <n v="5.2476500009730843E-2"/>
    <m/>
    <m/>
  </r>
  <r>
    <x v="0"/>
    <x v="0"/>
    <x v="3"/>
    <x v="3"/>
    <s v="Xcel"/>
    <x v="4"/>
    <x v="0"/>
    <m/>
    <s v="Efficient New Home Construction"/>
    <m/>
    <x v="0"/>
    <n v="437640"/>
    <n v="437640"/>
    <n v="2443495"/>
    <n v="1473945"/>
    <n v="306619750"/>
    <n v="35286911"/>
    <n v="438247"/>
    <n v="526109473"/>
    <n v="80336233"/>
    <n v="474354"/>
    <n v="5.2583052087148833E-4"/>
    <n v="5.2583052087148833E-4"/>
    <n v="4.644461134802642E-3"/>
    <n v="2.9358930824350546E-3"/>
    <n v="0.52329060195139498"/>
    <n v="0.19021816554113227"/>
    <m/>
    <n v="39905"/>
  </r>
  <r>
    <x v="0"/>
    <x v="0"/>
    <x v="3"/>
    <x v="3"/>
    <s v="Xcel"/>
    <x v="4"/>
    <x v="0"/>
    <m/>
    <s v="Energy Efficient Showerhead"/>
    <m/>
    <x v="2"/>
    <n v="142850"/>
    <n v="142850"/>
    <n v="254232"/>
    <n v="53853"/>
    <n v="306619750"/>
    <n v="35286911"/>
    <n v="438247"/>
    <n v="526109473"/>
    <n v="80336233"/>
    <n v="474354"/>
    <n v="1.716362533280598E-4"/>
    <n v="1.716362533280598E-4"/>
    <n v="4.8323022687713515E-4"/>
    <n v="3.0546326885613794E-4"/>
    <n v="5.4445462878093494E-2"/>
    <n v="1.9791137146527062E-2"/>
    <m/>
    <n v="13004"/>
  </r>
  <r>
    <x v="0"/>
    <x v="0"/>
    <x v="3"/>
    <x v="3"/>
    <s v="Xcel"/>
    <x v="4"/>
    <x v="0"/>
    <m/>
    <s v="Home Energy Audit"/>
    <m/>
    <x v="4"/>
    <n v="0"/>
    <n v="0"/>
    <n v="1707142"/>
    <n v="0"/>
    <n v="306619750"/>
    <n v="35286911"/>
    <n v="438247"/>
    <n v="526109473"/>
    <n v="80336233"/>
    <n v="474354"/>
    <n v="0"/>
    <n v="0"/>
    <n v="3.2448417821969154E-3"/>
    <n v="2.0511547551905545E-3"/>
    <n v="0.36559574085337126"/>
    <n v="0.13289547126481521"/>
    <m/>
    <m/>
  </r>
  <r>
    <x v="0"/>
    <x v="0"/>
    <x v="3"/>
    <x v="3"/>
    <s v="Xcel"/>
    <x v="4"/>
    <x v="0"/>
    <m/>
    <s v="Home Energy Insights"/>
    <m/>
    <x v="2"/>
    <n v="643660"/>
    <n v="643660"/>
    <n v="315309"/>
    <n v="0"/>
    <n v="306619750"/>
    <n v="35286911"/>
    <n v="438247"/>
    <n v="526109473"/>
    <n v="80336233"/>
    <n v="474354"/>
    <n v="7.7336640404017485E-4"/>
    <n v="7.7336640404017485E-4"/>
    <n v="5.9932203501684522E-4"/>
    <n v="3.7884813021083104E-4"/>
    <n v="6.7525506052065754E-2"/>
    <n v="2.4545783624934318E-2"/>
    <m/>
    <n v="63598"/>
  </r>
  <r>
    <x v="0"/>
    <x v="0"/>
    <x v="3"/>
    <x v="3"/>
    <s v="Xcel"/>
    <x v="4"/>
    <x v="0"/>
    <m/>
    <s v="Home Energy Squad"/>
    <m/>
    <x v="2"/>
    <n v="358820"/>
    <n v="358820"/>
    <n v="1131141"/>
    <n v="167756"/>
    <n v="306619750"/>
    <n v="35286911"/>
    <n v="438247"/>
    <n v="526109473"/>
    <n v="80336233"/>
    <n v="474354"/>
    <n v="4.3112719929418571E-4"/>
    <n v="4.3112719929418571E-4"/>
    <n v="2.1500107069921549E-3"/>
    <n v="1.3590815766591174E-3"/>
    <n v="0.24224132023265973"/>
    <n v="8.8055660432438745E-2"/>
    <m/>
    <n v="33827"/>
  </r>
  <r>
    <x v="0"/>
    <x v="0"/>
    <x v="3"/>
    <x v="3"/>
    <s v="Xcel"/>
    <x v="4"/>
    <x v="0"/>
    <m/>
    <s v="Insulation Rebates"/>
    <m/>
    <x v="1"/>
    <n v="354700"/>
    <n v="354700"/>
    <n v="1337055"/>
    <n v="1287774"/>
    <n v="306619750"/>
    <n v="35286911"/>
    <n v="438247"/>
    <n v="526109473"/>
    <n v="80336233"/>
    <n v="474354"/>
    <n v="4.2617696223635153E-4"/>
    <n v="4.2617696223635153E-4"/>
    <n v="2.5414007323909184E-3"/>
    <n v="1.6064900993598113E-3"/>
    <n v="0.2863391641039259"/>
    <n v="0.10408539789424517"/>
    <m/>
    <n v="32321"/>
  </r>
  <r>
    <x v="0"/>
    <x v="0"/>
    <x v="3"/>
    <x v="3"/>
    <s v="Xcel"/>
    <x v="4"/>
    <x v="0"/>
    <m/>
    <s v="Residential Heating &amp; Cooling"/>
    <m/>
    <x v="2"/>
    <n v="2055400"/>
    <n v="2055400"/>
    <n v="5400940"/>
    <n v="4885702"/>
    <n v="306619750"/>
    <n v="35286911"/>
    <n v="438247"/>
    <n v="526109473"/>
    <n v="80336233"/>
    <n v="474354"/>
    <n v="2.4695915652117196E-3"/>
    <n v="2.4695915652117196E-3"/>
    <n v="1.0265810210948245E-2"/>
    <n v="6.4893042075579383E-3"/>
    <n v="1.1566469928129042"/>
    <n v="0.42044567269330324"/>
    <m/>
    <n v="205540"/>
  </r>
  <r>
    <x v="0"/>
    <x v="0"/>
    <x v="3"/>
    <x v="3"/>
    <s v="Xcel"/>
    <x v="4"/>
    <x v="0"/>
    <m/>
    <s v="School Education Kits"/>
    <m/>
    <x v="13"/>
    <n v="529300"/>
    <n v="529300"/>
    <n v="414624"/>
    <n v="87400"/>
    <n v="306619750"/>
    <n v="35286911"/>
    <n v="438247"/>
    <n v="526109473"/>
    <n v="80336233"/>
    <n v="474354"/>
    <n v="6.35961280269808E-4"/>
    <n v="6.35961280269808E-4"/>
    <n v="7.8809453408188303E-4"/>
    <n v="4.9817647812316044E-4"/>
    <n v="8.8794469619743521E-2"/>
    <n v="3.2277134460813886E-2"/>
    <m/>
    <n v="51598"/>
  </r>
  <r>
    <x v="0"/>
    <x v="0"/>
    <x v="3"/>
    <x v="3"/>
    <s v="Xcel"/>
    <x v="4"/>
    <x v="0"/>
    <m/>
    <s v="Whole Home Efficiency"/>
    <m/>
    <x v="2"/>
    <n v="40350"/>
    <n v="40350"/>
    <n v="186602"/>
    <n v="150970"/>
    <n v="306619750"/>
    <n v="35286911"/>
    <n v="438247"/>
    <n v="526109473"/>
    <n v="80336233"/>
    <n v="474354"/>
    <n v="4.8481083806700836E-5"/>
    <n v="4.8481083806700836E-5"/>
    <n v="3.5468283613285175E-4"/>
    <n v="2.2420488724902079E-4"/>
    <n v="3.9962051448983613E-2"/>
    <n v="1.4526360858649747E-2"/>
    <m/>
    <n v="3685"/>
  </r>
  <r>
    <x v="0"/>
    <x v="0"/>
    <x v="3"/>
    <x v="3"/>
    <s v="Xcel"/>
    <x v="4"/>
    <x v="2"/>
    <m/>
    <s v="Business Education"/>
    <m/>
    <x v="4"/>
    <n v="0"/>
    <n v="0"/>
    <n v="33000"/>
    <n v="0"/>
    <n v="219489723"/>
    <n v="45049322"/>
    <n v="36107"/>
    <n v="526109473"/>
    <n v="80336233"/>
    <n v="474354"/>
    <n v="0"/>
    <n v="0"/>
    <n v="6.272458812008504E-5"/>
    <n v="3.9649957016632648E-5"/>
    <n v="4.2066135613572832E-3"/>
    <n v="2.5689430356343537E-3"/>
    <m/>
    <m/>
  </r>
  <r>
    <x v="0"/>
    <x v="0"/>
    <x v="3"/>
    <x v="3"/>
    <s v="Xcel"/>
    <x v="4"/>
    <x v="2"/>
    <m/>
    <s v="Business Energy Assessments"/>
    <m/>
    <x v="14"/>
    <n v="298590"/>
    <n v="298590"/>
    <n v="435924"/>
    <n v="219442"/>
    <n v="219489723"/>
    <n v="45049322"/>
    <n v="36107"/>
    <n v="526109473"/>
    <n v="80336233"/>
    <n v="474354"/>
    <n v="3.5876002016958618E-4"/>
    <n v="3.5876002016958618E-4"/>
    <n v="8.2858040459575608E-4"/>
    <n v="5.2376872310662338E-4"/>
    <n v="5.5568600306700369E-2"/>
    <n v="3.3935270420177882E-2"/>
    <m/>
    <n v="27552"/>
  </r>
  <r>
    <x v="0"/>
    <x v="0"/>
    <x v="3"/>
    <x v="3"/>
    <s v="Xcel"/>
    <x v="4"/>
    <x v="2"/>
    <m/>
    <s v="Business New Construction"/>
    <m/>
    <x v="0"/>
    <n v="706640"/>
    <n v="706640"/>
    <n v="702499"/>
    <n v="369024"/>
    <n v="219489723"/>
    <n v="45049322"/>
    <n v="36107"/>
    <n v="526109473"/>
    <n v="80336233"/>
    <n v="474354"/>
    <n v="8.4903774624949392E-4"/>
    <n v="8.4903774624949392E-4"/>
    <n v="1.3352715281748976E-3"/>
    <n v="8.4406227740083095E-4"/>
    <n v="8.9549752128482721E-2"/>
    <n v="5.4687270108790847E-2"/>
    <m/>
    <n v="50009"/>
  </r>
  <r>
    <x v="0"/>
    <x v="0"/>
    <x v="3"/>
    <x v="3"/>
    <s v="Xcel"/>
    <x v="4"/>
    <x v="2"/>
    <m/>
    <s v="Custom Efficiency"/>
    <m/>
    <x v="15"/>
    <n v="205180"/>
    <n v="205180"/>
    <n v="204178"/>
    <n v="120008"/>
    <n v="219489723"/>
    <n v="45049322"/>
    <n v="36107"/>
    <n v="526109473"/>
    <n v="80336233"/>
    <n v="474354"/>
    <n v="2.4652661153553597E-4"/>
    <n v="2.4652661153553597E-4"/>
    <n v="3.8809033191462795E-4"/>
    <n v="2.4532269465884913E-4"/>
    <n v="2.6027210416085071E-2"/>
    <n v="1.5894595488780337E-2"/>
    <m/>
    <n v="20518"/>
  </r>
  <r>
    <x v="0"/>
    <x v="0"/>
    <x v="3"/>
    <x v="3"/>
    <s v="Xcel"/>
    <x v="4"/>
    <x v="2"/>
    <m/>
    <s v="Efficiency Controls"/>
    <m/>
    <x v="2"/>
    <n v="89180"/>
    <n v="89180"/>
    <n v="70300"/>
    <n v="59975"/>
    <n v="219489723"/>
    <n v="45049322"/>
    <n v="36107"/>
    <n v="526109473"/>
    <n v="80336233"/>
    <n v="474354"/>
    <n v="1.0715100505282726E-4"/>
    <n v="1.0715100505282726E-4"/>
    <n v="1.3362238014672661E-4"/>
    <n v="8.4466423583917427E-5"/>
    <n v="8.9613616170732425E-3"/>
    <n v="5.4726271334877294E-3"/>
    <m/>
    <n v="7945"/>
  </r>
  <r>
    <x v="0"/>
    <x v="0"/>
    <x v="3"/>
    <x v="3"/>
    <s v="Xcel"/>
    <x v="4"/>
    <x v="2"/>
    <m/>
    <s v="Empower Facilities"/>
    <m/>
    <x v="4"/>
    <n v="0"/>
    <n v="0"/>
    <n v="97854"/>
    <n v="0"/>
    <n v="219489723"/>
    <n v="45049322"/>
    <n v="36107"/>
    <n v="526109473"/>
    <n v="80336233"/>
    <n v="474354"/>
    <n v="0"/>
    <n v="0"/>
    <n v="1.8599551048190306E-4"/>
    <n v="1.1757293617895671E-4"/>
    <n v="1.2473756467668351E-2"/>
    <n v="7.6176167214837588E-3"/>
    <m/>
    <m/>
  </r>
  <r>
    <x v="0"/>
    <x v="0"/>
    <x v="3"/>
    <x v="3"/>
    <s v="Xcel"/>
    <x v="4"/>
    <x v="2"/>
    <m/>
    <s v="Empower Intelligence"/>
    <m/>
    <x v="2"/>
    <n v="610"/>
    <n v="610"/>
    <n v="65672"/>
    <n v="0"/>
    <n v="219489723"/>
    <n v="45049322"/>
    <n v="36107"/>
    <n v="526109473"/>
    <n v="80336233"/>
    <n v="474354"/>
    <n v="7.3292344788320955E-7"/>
    <n v="7.3292344788320955E-7"/>
    <n v="1.2482573184915833E-4"/>
    <n v="7.8905817490796944E-5"/>
    <n v="8.3714159333774397E-3"/>
    <n v="5.1123523344296755E-3"/>
    <m/>
    <n v="61"/>
  </r>
  <r>
    <x v="0"/>
    <x v="0"/>
    <x v="3"/>
    <x v="3"/>
    <s v="Xcel"/>
    <x v="4"/>
    <x v="2"/>
    <m/>
    <s v="Foodservice Equipment"/>
    <m/>
    <x v="2"/>
    <n v="48060"/>
    <n v="48060"/>
    <n v="95657"/>
    <n v="26022"/>
    <n v="219489723"/>
    <n v="45049322"/>
    <n v="36107"/>
    <n v="526109473"/>
    <n v="80336233"/>
    <n v="474354"/>
    <n v="5.7744755582405001E-5"/>
    <n v="5.7744755582405001E-5"/>
    <n v="1.8181957350918104E-4"/>
    <n v="1.1493321025272817E-4"/>
    <n v="1.2193697982992534E-2"/>
    <n v="7.446587392717436E-3"/>
    <m/>
    <n v="5536"/>
  </r>
  <r>
    <x v="0"/>
    <x v="0"/>
    <x v="3"/>
    <x v="3"/>
    <s v="Xcel"/>
    <x v="4"/>
    <x v="2"/>
    <m/>
    <s v="HVAC+R"/>
    <m/>
    <x v="2"/>
    <n v="1266240"/>
    <n v="1266240"/>
    <n v="1513609"/>
    <n v="967372"/>
    <n v="219489723"/>
    <n v="45049322"/>
    <n v="36107"/>
    <n v="526109473"/>
    <n v="80336233"/>
    <n v="474354"/>
    <n v="1.5214048961436643E-3"/>
    <n v="1.5214048961436643E-3"/>
    <n v="2.8769848818137513E-3"/>
    <n v="1.8186221754541917E-3"/>
    <n v="0.19294448927249805"/>
    <n v="0.11782955452192359"/>
    <m/>
    <n v="133232"/>
  </r>
  <r>
    <x v="0"/>
    <x v="0"/>
    <x v="3"/>
    <x v="3"/>
    <s v="Xcel"/>
    <x v="4"/>
    <x v="2"/>
    <m/>
    <s v="Load Strategy Analysis"/>
    <m/>
    <x v="2"/>
    <n v="53410"/>
    <n v="53410"/>
    <n v="31169"/>
    <n v="20856"/>
    <n v="219489723"/>
    <n v="45049322"/>
    <n v="36107"/>
    <n v="526109473"/>
    <n v="80336233"/>
    <n v="474354"/>
    <n v="6.4172854674495451E-5"/>
    <n v="6.4172854674495451E-5"/>
    <n v="5.9244323851967593E-5"/>
    <n v="3.7449985159134033E-5"/>
    <n v="3.9732102452710652E-3"/>
    <n v="2.426405620535975E-3"/>
    <m/>
    <n v="5341"/>
  </r>
  <r>
    <x v="0"/>
    <x v="0"/>
    <x v="3"/>
    <x v="3"/>
    <s v="Xcel"/>
    <x v="4"/>
    <x v="2"/>
    <m/>
    <s v="MF Building Efficiency"/>
    <m/>
    <x v="2"/>
    <n v="436310"/>
    <n v="436310"/>
    <n v="960214"/>
    <n v="78486"/>
    <n v="219489723"/>
    <n v="45049322"/>
    <n v="36107"/>
    <n v="526109473"/>
    <n v="80336233"/>
    <n v="474354"/>
    <n v="5.242325074523331E-4"/>
    <n v="5.242325074523331E-4"/>
    <n v="1.8251220502163434E-3"/>
    <n v="1.153710418992997E-3"/>
    <n v="0.12240149194560976"/>
    <n v="7.4749547515715317E-2"/>
    <m/>
    <n v="32052"/>
  </r>
  <r>
    <x v="0"/>
    <x v="0"/>
    <x v="3"/>
    <x v="3"/>
    <s v="Xcel"/>
    <x v="4"/>
    <x v="2"/>
    <m/>
    <s v="Non-Profit Energy Savings Program"/>
    <m/>
    <x v="2"/>
    <n v="3150310"/>
    <n v="3150310"/>
    <n v="1073364"/>
    <n v="767482"/>
    <n v="219489723"/>
    <n v="45049322"/>
    <n v="36107"/>
    <n v="526109473"/>
    <n v="80336233"/>
    <n v="474354"/>
    <n v="3.7851410936081214E-3"/>
    <n v="3.7851410936081214E-3"/>
    <n v="2.0401913576644534E-3"/>
    <n v="1.2896617110060874E-3"/>
    <n v="0.13682507753553633"/>
    <n v="8.3557908257594918E-2"/>
    <m/>
    <n v="283328"/>
  </r>
  <r>
    <x v="0"/>
    <x v="0"/>
    <x v="3"/>
    <x v="3"/>
    <s v="Xcel"/>
    <x v="4"/>
    <x v="2"/>
    <m/>
    <s v="Process &amp; Commercial Efficiency"/>
    <m/>
    <x v="2"/>
    <n v="1590260"/>
    <n v="1590260"/>
    <n v="1399023"/>
    <n v="756573"/>
    <n v="219489723"/>
    <n v="45049322"/>
    <n v="36107"/>
    <n v="526109473"/>
    <n v="80336233"/>
    <n v="474354"/>
    <n v="1.9107194134930375E-3"/>
    <n v="1.9107194134930375E-3"/>
    <n v="2.6591861044098705E-3"/>
    <n v="1.6809455095539534E-3"/>
    <n v="0.17833785225608334"/>
    <n v="0.10890940583461456"/>
    <m/>
    <n v="165470"/>
  </r>
  <r>
    <x v="0"/>
    <x v="0"/>
    <x v="3"/>
    <x v="3"/>
    <s v="Xcel"/>
    <x v="4"/>
    <x v="1"/>
    <n v="1"/>
    <s v="Affordable Efficient New Home Construction"/>
    <m/>
    <x v="3"/>
    <n v="4600"/>
    <n v="4600"/>
    <n v="198540"/>
    <n v="187079"/>
    <n v="0"/>
    <n v="0"/>
    <n v="0"/>
    <n v="526109473"/>
    <n v="80336233"/>
    <n v="474354"/>
    <n v="5.5269637053487935E-6"/>
    <n v="5.5269637053487935E-6"/>
    <n v="3.7737393107156617E-4"/>
    <n v="2.3854855957824989E-4"/>
    <n v="0.59895016290575598"/>
    <n v="1.545569546348014E-2"/>
    <m/>
    <n v="460"/>
  </r>
  <r>
    <x v="0"/>
    <x v="0"/>
    <x v="3"/>
    <x v="3"/>
    <s v="Xcel"/>
    <x v="4"/>
    <x v="1"/>
    <n v="1"/>
    <s v="Home Energy Savings Program"/>
    <m/>
    <x v="3"/>
    <n v="103780"/>
    <n v="103780"/>
    <n v="3539922"/>
    <n v="2852021"/>
    <n v="0"/>
    <n v="0"/>
    <n v="0"/>
    <n v="526109473"/>
    <n v="80336233"/>
    <n v="474354"/>
    <n v="1.2469310724806472E-4"/>
    <n v="1.2469310724806472E-4"/>
    <n v="6.7284893765826564E-3"/>
    <n v="4.2532653073403728E-3"/>
    <n v="10.67914202968505"/>
    <n v="0.27557145359360102"/>
    <m/>
    <n v="8963"/>
  </r>
  <r>
    <x v="0"/>
    <x v="0"/>
    <x v="3"/>
    <x v="3"/>
    <s v="Xcel"/>
    <x v="4"/>
    <x v="1"/>
    <n v="1"/>
    <s v="Low Income Home Energy Squad"/>
    <m/>
    <x v="3"/>
    <n v="83780"/>
    <n v="83780"/>
    <n v="378635"/>
    <n v="48996"/>
    <n v="0"/>
    <n v="0"/>
    <n v="0"/>
    <n v="526109473"/>
    <n v="80336233"/>
    <n v="474354"/>
    <n v="1.0066283026828737E-4"/>
    <n v="1.0066283026828737E-4"/>
    <n v="7.1968861887419387E-4"/>
    <n v="4.5493519621190014E-4"/>
    <n v="1.1422559430433208"/>
    <n v="2.9475507463557985E-2"/>
    <m/>
    <n v="6702"/>
  </r>
  <r>
    <x v="0"/>
    <x v="0"/>
    <x v="3"/>
    <x v="3"/>
    <s v="Xcel"/>
    <x v="4"/>
    <x v="1"/>
    <n v="1"/>
    <s v="Low Income MF Building Efficiency"/>
    <m/>
    <x v="3"/>
    <n v="127770"/>
    <n v="127770"/>
    <n v="253428"/>
    <n v="33017"/>
    <n v="0"/>
    <n v="0"/>
    <n v="0"/>
    <n v="526109473"/>
    <n v="80336233"/>
    <n v="474354"/>
    <n v="1.5351742448530768E-4"/>
    <n v="1.5351742448530768E-4"/>
    <n v="4.8170202782111854E-4"/>
    <n v="3.0449725172155092E-4"/>
    <n v="0.76453481356341257"/>
    <n v="1.972854835256797E-2"/>
    <m/>
    <n v="12459"/>
  </r>
  <r>
    <x v="0"/>
    <x v="0"/>
    <x v="3"/>
    <x v="3"/>
    <s v="Xcel"/>
    <x v="4"/>
    <x v="1"/>
    <n v="1"/>
    <s v="Workforce Development &amp; Education"/>
    <m/>
    <x v="4"/>
    <n v="0"/>
    <n v="0"/>
    <n v="582316"/>
    <n v="0"/>
    <n v="0"/>
    <n v="0"/>
    <n v="0"/>
    <n v="526109473"/>
    <n v="80336233"/>
    <n v="474354"/>
    <n v="0"/>
    <n v="0"/>
    <n v="1.1068342804768315E-3"/>
    <n v="6.9966073848780179E-4"/>
    <n v="1.7567153372752504"/>
    <n v="4.5331413113286492E-2"/>
    <m/>
    <m/>
  </r>
  <r>
    <x v="0"/>
    <x v="0"/>
    <x v="3"/>
    <x v="3"/>
    <s v="Xcel"/>
    <x v="4"/>
    <x v="1"/>
    <n v="1"/>
    <s v="Commercial AC Control"/>
    <m/>
    <x v="3"/>
    <n v="11550"/>
    <n v="11550"/>
    <n v="38140"/>
    <n v="8140"/>
    <n v="0"/>
    <n v="0"/>
    <n v="0"/>
    <n v="526109473"/>
    <n v="80336233"/>
    <n v="474354"/>
    <n v="1.3877484955821429E-5"/>
    <n v="1.3877484955821429E-5"/>
    <n v="7.2494417906061916E-5"/>
    <n v="4.5825738200435434E-5"/>
    <n v="0.11505973211053457"/>
    <n v="2.9690753751240684E-3"/>
    <m/>
    <n v="639"/>
  </r>
  <r>
    <x v="0"/>
    <x v="0"/>
    <x v="3"/>
    <x v="3"/>
    <s v="Xcel"/>
    <x v="4"/>
    <x v="3"/>
    <m/>
    <s v="Advertising &amp; Promotion"/>
    <m/>
    <x v="4"/>
    <n v="0"/>
    <n v="0"/>
    <n v="1715332"/>
    <n v="0"/>
    <n v="0"/>
    <n v="0"/>
    <n v="0"/>
    <n v="526109473"/>
    <n v="80336233"/>
    <n v="474354"/>
    <n v="0"/>
    <n v="0"/>
    <n v="3.2604088845212638E-3"/>
    <n v="2.0609951536137735E-3"/>
    <s v=""/>
    <n v="0.13353303621820448"/>
    <m/>
    <m/>
  </r>
  <r>
    <x v="0"/>
    <x v="0"/>
    <x v="3"/>
    <x v="3"/>
    <s v="Xcel"/>
    <x v="4"/>
    <x v="3"/>
    <m/>
    <s v="App Development &amp; Maintenance"/>
    <m/>
    <x v="4"/>
    <n v="0"/>
    <n v="0"/>
    <n v="774219"/>
    <n v="0"/>
    <n v="0"/>
    <n v="0"/>
    <n v="0"/>
    <n v="526109473"/>
    <n v="80336233"/>
    <n v="474354"/>
    <n v="0"/>
    <n v="0"/>
    <n v="1.4715929663558823E-3"/>
    <n v="9.302348506503125E-4"/>
    <s v=""/>
    <n v="6.0270439639569511E-2"/>
    <m/>
    <m/>
  </r>
  <r>
    <x v="0"/>
    <x v="0"/>
    <x v="3"/>
    <x v="3"/>
    <s v="Xcel"/>
    <x v="4"/>
    <x v="3"/>
    <m/>
    <s v="CIP Training"/>
    <m/>
    <x v="4"/>
    <n v="0"/>
    <n v="0"/>
    <n v="167856"/>
    <n v="0"/>
    <n v="0"/>
    <n v="0"/>
    <n v="0"/>
    <n v="526109473"/>
    <n v="80336233"/>
    <n v="474354"/>
    <n v="0"/>
    <n v="0"/>
    <n v="3.1905146859045435E-4"/>
    <n v="2.0168130863587545E-4"/>
    <s v=""/>
    <n v="1.3067045520892124E-2"/>
    <m/>
    <m/>
  </r>
  <r>
    <x v="0"/>
    <x v="0"/>
    <x v="3"/>
    <x v="3"/>
    <s v="Xcel"/>
    <x v="4"/>
    <x v="3"/>
    <m/>
    <s v="Community Energy Reporting"/>
    <m/>
    <x v="4"/>
    <n v="0"/>
    <n v="0"/>
    <n v="14093"/>
    <n v="0"/>
    <n v="0"/>
    <n v="0"/>
    <n v="0"/>
    <n v="526109473"/>
    <n v="80336233"/>
    <n v="474354"/>
    <n v="0"/>
    <n v="0"/>
    <n v="2.6787200617465406E-5"/>
    <n v="1.6932934673800118E-5"/>
    <s v=""/>
    <n v="1.0970943697331803E-3"/>
    <m/>
    <m/>
  </r>
  <r>
    <x v="0"/>
    <x v="0"/>
    <x v="3"/>
    <x v="3"/>
    <s v="Xcel"/>
    <x v="4"/>
    <x v="3"/>
    <m/>
    <s v="Energy Benchmarking"/>
    <m/>
    <x v="4"/>
    <n v="0"/>
    <n v="0"/>
    <n v="40832"/>
    <n v="0"/>
    <n v="0"/>
    <n v="0"/>
    <n v="0"/>
    <n v="526109473"/>
    <n v="80336233"/>
    <n v="474354"/>
    <n v="0"/>
    <n v="0"/>
    <n v="7.7611223700585223E-5"/>
    <n v="4.9060213481913463E-5"/>
    <s v=""/>
    <n v="3.1786388494249073E-3"/>
    <m/>
    <m/>
  </r>
  <r>
    <x v="0"/>
    <x v="0"/>
    <x v="3"/>
    <x v="3"/>
    <s v="Xcel"/>
    <x v="4"/>
    <x v="3"/>
    <m/>
    <s v="Partners in Energy"/>
    <s v=" "/>
    <x v="4"/>
    <n v="0"/>
    <n v="0"/>
    <n v="352979"/>
    <n v="0"/>
    <n v="0"/>
    <n v="0"/>
    <n v="0"/>
    <n v="526109473"/>
    <n v="80336233"/>
    <n v="474354"/>
    <n v="0"/>
    <n v="0"/>
    <n v="6.7092310272846964E-4"/>
    <n v="4.2410915690224173E-4"/>
    <s v=""/>
    <n v="2.747827102349026E-2"/>
    <m/>
    <m/>
  </r>
  <r>
    <x v="0"/>
    <x v="0"/>
    <x v="3"/>
    <x v="3"/>
    <s v="Xcel"/>
    <x v="4"/>
    <x v="3"/>
    <m/>
    <s v="Planning &amp; Regulatory Affairs"/>
    <m/>
    <x v="4"/>
    <n v="0"/>
    <n v="0"/>
    <n v="482250"/>
    <n v="0"/>
    <n v="0"/>
    <n v="0"/>
    <n v="0"/>
    <n v="526109473"/>
    <n v="80336233"/>
    <n v="474354"/>
    <n v="0"/>
    <n v="0"/>
    <n v="9.1663432184578813E-4"/>
    <n v="5.7943005367488173E-4"/>
    <s v=""/>
    <n v="3.7541599361656582E-2"/>
    <m/>
    <m/>
  </r>
  <r>
    <x v="0"/>
    <x v="0"/>
    <x v="3"/>
    <x v="3"/>
    <s v="Xcel"/>
    <x v="4"/>
    <x v="3"/>
    <m/>
    <s v="market research"/>
    <m/>
    <x v="4"/>
    <n v="0"/>
    <n v="0"/>
    <n v="550837"/>
    <n v="0"/>
    <n v="0"/>
    <n v="0"/>
    <n v="0"/>
    <n v="526109473"/>
    <n v="80336233"/>
    <n v="474354"/>
    <n v="0"/>
    <n v="0"/>
    <n v="1.047000725645554E-3"/>
    <n v="6.6183828403548121E-4"/>
    <s v=""/>
    <n v="4.2880874997567292E-2"/>
    <m/>
    <m/>
  </r>
  <r>
    <x v="0"/>
    <x v="0"/>
    <x v="3"/>
    <x v="3"/>
    <s v="Xcel"/>
    <x v="4"/>
    <x v="3"/>
    <m/>
    <s v="Product Development"/>
    <m/>
    <x v="4"/>
    <n v="0"/>
    <n v="0"/>
    <n v="199768"/>
    <n v="0"/>
    <n v="0"/>
    <n v="0"/>
    <n v="0"/>
    <n v="526109473"/>
    <n v="80336233"/>
    <n v="474354"/>
    <n v="0"/>
    <n v="0"/>
    <n v="3.7970804604767113E-4"/>
    <n v="2.400240185848082E-4"/>
    <s v=""/>
    <n v="1.5551291283109199E-2"/>
    <m/>
    <m/>
  </r>
  <r>
    <x v="0"/>
    <x v="0"/>
    <x v="3"/>
    <x v="3"/>
    <s v="Xcel"/>
    <x v="4"/>
    <x v="3"/>
    <m/>
    <s v="Minnesota Assessments"/>
    <m/>
    <x v="4"/>
    <n v="0"/>
    <n v="0"/>
    <n v="294738"/>
    <n v="0"/>
    <n v="0"/>
    <n v="0"/>
    <n v="0"/>
    <n v="526109473"/>
    <n v="80336233"/>
    <n v="474354"/>
    <n v="0"/>
    <n v="0"/>
    <n v="5.6022180767689765E-4"/>
    <n v="3.5413178882328104E-4"/>
    <s v=""/>
    <n v="2.2944397952630247E-2"/>
    <m/>
    <m/>
  </r>
  <r>
    <x v="0"/>
    <x v="0"/>
    <x v="3"/>
    <x v="3"/>
    <s v="Xcel"/>
    <x v="4"/>
    <x v="3"/>
    <m/>
    <s v="Minnesota Efficient Technology Accelerator"/>
    <m/>
    <x v="4"/>
    <n v="0"/>
    <n v="0"/>
    <n v="1102611"/>
    <n v="0"/>
    <n v="0"/>
    <n v="0"/>
    <n v="0"/>
    <n v="526109473"/>
    <n v="80336233"/>
    <n v="474354"/>
    <n v="0"/>
    <n v="0"/>
    <n v="2.0957824494446994E-3"/>
    <n v="1.324802386547465E-3"/>
    <s v=""/>
    <n v="8.5834692407994864E-2"/>
    <m/>
    <m/>
  </r>
  <r>
    <x v="0"/>
    <x v="0"/>
    <x v="3"/>
    <x v="3"/>
    <s v="Xcel"/>
    <x v="4"/>
    <x v="3"/>
    <m/>
    <s v="EnerChange"/>
    <m/>
    <x v="4"/>
    <n v="0"/>
    <n v="0"/>
    <n v="101314"/>
    <n v="0"/>
    <n v="0"/>
    <n v="0"/>
    <n v="0"/>
    <n v="526109473"/>
    <n v="80336233"/>
    <n v="474354"/>
    <n v="0"/>
    <n v="0"/>
    <n v="1.9257208850903925E-4"/>
    <n v="1.217301740964582E-4"/>
    <s v=""/>
    <n v="7.8869665064320877E-3"/>
    <m/>
    <m/>
  </r>
  <r>
    <x v="0"/>
    <x v="0"/>
    <x v="3"/>
    <x v="3"/>
    <s v="Xcel"/>
    <x v="4"/>
    <x v="3"/>
    <m/>
    <s v="EnergySmart"/>
    <m/>
    <x v="4"/>
    <n v="0"/>
    <n v="0"/>
    <n v="50085"/>
    <n v="0"/>
    <n v="0"/>
    <n v="0"/>
    <n v="0"/>
    <n v="526109473"/>
    <n v="80336233"/>
    <n v="474354"/>
    <n v="0"/>
    <n v="0"/>
    <n v="9.5198818060438149E-5"/>
    <n v="6.0177821126607461E-5"/>
    <s v=""/>
    <n v="3.8989549072650487E-3"/>
    <m/>
    <m/>
  </r>
  <r>
    <x v="0"/>
    <x v="0"/>
    <x v="3"/>
    <x v="3"/>
    <s v="Xcel"/>
    <x v="4"/>
    <x v="0"/>
    <m/>
    <s v="One Stop Shop"/>
    <m/>
    <x v="2"/>
    <n v="106760"/>
    <n v="106760"/>
    <n v="99099"/>
    <n v="62522"/>
    <n v="306619750"/>
    <n v="35286911"/>
    <n v="438247"/>
    <n v="526109473"/>
    <n v="80336233"/>
    <n v="474354"/>
    <n v="1.2827361851805156E-4"/>
    <n v="1.2827361851805156E-4"/>
    <n v="1.8836193812461538E-4"/>
    <n v="1.1906882092094784E-4"/>
    <n v="2.1222705740253731E-2"/>
    <n v="7.7145359360099646E-3"/>
    <m/>
    <n v="10676"/>
  </r>
  <r>
    <x v="0"/>
    <x v="0"/>
    <x v="3"/>
    <x v="3"/>
    <s v="Xcel"/>
    <x v="4"/>
    <x v="3"/>
    <m/>
    <s v="Trillion BTU"/>
    <m/>
    <x v="4"/>
    <n v="0"/>
    <n v="0"/>
    <n v="21943"/>
    <n v="0"/>
    <n v="0"/>
    <n v="0"/>
    <n v="0"/>
    <n v="526109473"/>
    <n v="80336233"/>
    <n v="474354"/>
    <n v="0"/>
    <n v="0"/>
    <n v="4.1708049609667456E-5"/>
    <n v="2.6364818388362737E-5"/>
    <s v=""/>
    <n v="1.7081914251795341E-3"/>
    <m/>
    <m/>
  </r>
  <r>
    <x v="0"/>
    <x v="0"/>
    <x v="4"/>
    <x v="3"/>
    <s v="Xcel"/>
    <x v="4"/>
    <x v="0"/>
    <m/>
    <s v="Consumer Eduction"/>
    <m/>
    <x v="4"/>
    <n v="0"/>
    <n v="0"/>
    <n v="707804"/>
    <n v="0"/>
    <n v="306619750"/>
    <n v="35286911"/>
    <n v="438247"/>
    <n v="526109473"/>
    <n v="80336233"/>
    <n v="474354"/>
    <n v="0"/>
    <n v="0"/>
    <n v="1.3453549809014748E-3"/>
    <n v="8.5043630836971679E-4"/>
    <n v="0.14890647556479161"/>
    <n v="5.5499082756991919E-2"/>
    <m/>
    <m/>
  </r>
  <r>
    <x v="0"/>
    <x v="0"/>
    <x v="4"/>
    <x v="3"/>
    <s v="Xcel"/>
    <x v="4"/>
    <x v="0"/>
    <m/>
    <s v="Efficient New Home Construction"/>
    <m/>
    <x v="0"/>
    <n v="535540"/>
    <n v="535540"/>
    <n v="2632130"/>
    <n v="1660933"/>
    <n v="306619750"/>
    <n v="35286911"/>
    <n v="438247"/>
    <n v="526109473"/>
    <n v="80336233"/>
    <n v="474354"/>
    <n v="6.4345872668749844E-4"/>
    <n v="6.4345872668749844E-4"/>
    <n v="5.0030081857127097E-3"/>
    <n v="3.1625406473390696E-3"/>
    <n v="0.55374256365936758"/>
    <n v="0.20638594963741536"/>
    <m/>
    <n v="39905"/>
  </r>
  <r>
    <x v="0"/>
    <x v="0"/>
    <x v="4"/>
    <x v="3"/>
    <s v="Xcel"/>
    <x v="4"/>
    <x v="0"/>
    <m/>
    <s v="Energy Efficient Showerhead"/>
    <m/>
    <x v="2"/>
    <n v="156950"/>
    <n v="156950"/>
    <n v="264686"/>
    <n v="59238"/>
    <n v="306619750"/>
    <n v="35286911"/>
    <n v="438247"/>
    <n v="526109473"/>
    <n v="80336233"/>
    <n v="474354"/>
    <n v="1.8857759859880284E-4"/>
    <n v="1.8857759859880284E-4"/>
    <n v="5.0310061609554028E-4"/>
    <n v="3.1802389463346758E-4"/>
    <n v="5.5684143338187456E-2"/>
    <n v="2.0754093249850471E-2"/>
    <m/>
    <n v="13004"/>
  </r>
  <r>
    <x v="0"/>
    <x v="0"/>
    <x v="4"/>
    <x v="3"/>
    <s v="Xcel"/>
    <x v="4"/>
    <x v="0"/>
    <m/>
    <s v="Home Energy Audit"/>
    <m/>
    <x v="4"/>
    <n v="0"/>
    <n v="0"/>
    <n v="1924822"/>
    <n v="0"/>
    <n v="306619750"/>
    <n v="35286911"/>
    <n v="438247"/>
    <n v="526109473"/>
    <n v="80336233"/>
    <n v="474354"/>
    <n v="0"/>
    <n v="0"/>
    <n v="3.6585959743781309E-3"/>
    <n v="2.3127002898384514E-3"/>
    <n v="0.40494043564259785"/>
    <n v="0.1509257583603352"/>
    <m/>
    <m/>
  </r>
  <r>
    <x v="0"/>
    <x v="0"/>
    <x v="4"/>
    <x v="3"/>
    <s v="Xcel"/>
    <x v="4"/>
    <x v="0"/>
    <m/>
    <s v="Home Energy Insights"/>
    <m/>
    <x v="2"/>
    <n v="632850"/>
    <n v="632850"/>
    <n v="302989"/>
    <n v="0"/>
    <n v="306619750"/>
    <n v="35286911"/>
    <n v="438247"/>
    <n v="526109473"/>
    <n v="80336233"/>
    <n v="474354"/>
    <n v="7.6037803933260524E-4"/>
    <n v="7.6037803933260524E-4"/>
    <n v="5.759048554520135E-4"/>
    <n v="3.6404547959128819E-4"/>
    <n v="6.3742256507310843E-2"/>
    <n v="2.3757440739891587E-2"/>
    <m/>
    <n v="63598"/>
  </r>
  <r>
    <x v="0"/>
    <x v="0"/>
    <x v="4"/>
    <x v="3"/>
    <s v="Xcel"/>
    <x v="4"/>
    <x v="0"/>
    <m/>
    <s v="Home Energy Squad"/>
    <m/>
    <x v="2"/>
    <n v="388080"/>
    <n v="388080"/>
    <n v="1236574"/>
    <n v="182760"/>
    <n v="306619750"/>
    <n v="35286911"/>
    <n v="438247"/>
    <n v="526109473"/>
    <n v="80336233"/>
    <n v="474354"/>
    <n v="4.6628349451559997E-4"/>
    <n v="4.6628349451559997E-4"/>
    <n v="2.3504119645456375E-3"/>
    <n v="1.4857607862995607E-3"/>
    <n v="0.26014811461231729"/>
    <n v="9.6960066291154792E-2"/>
    <m/>
    <n v="33827"/>
  </r>
  <r>
    <x v="0"/>
    <x v="0"/>
    <x v="4"/>
    <x v="3"/>
    <s v="Xcel"/>
    <x v="4"/>
    <x v="0"/>
    <m/>
    <s v="Insulation Rebates"/>
    <m/>
    <x v="1"/>
    <n v="390260"/>
    <n v="390260"/>
    <n v="1470935"/>
    <n v="1420691"/>
    <n v="306619750"/>
    <n v="35286911"/>
    <n v="438247"/>
    <n v="526109473"/>
    <n v="80336233"/>
    <n v="474354"/>
    <n v="4.6890279470639568E-4"/>
    <n v="4.6890279470639568E-4"/>
    <n v="2.7958724856490084E-3"/>
    <n v="1.7673487734624408E-3"/>
    <n v="0.30945254143081524"/>
    <n v="0.11533636895970623"/>
    <m/>
    <n v="32321"/>
  </r>
  <r>
    <x v="0"/>
    <x v="0"/>
    <x v="4"/>
    <x v="3"/>
    <s v="Xcel"/>
    <x v="4"/>
    <x v="0"/>
    <m/>
    <s v="Residential Heating &amp; Cooling"/>
    <m/>
    <x v="2"/>
    <n v="2055400"/>
    <n v="2055400"/>
    <n v="5379417"/>
    <n v="4888297"/>
    <n v="306619750"/>
    <n v="35286911"/>
    <n v="438247"/>
    <n v="526109473"/>
    <n v="80336233"/>
    <n v="474354"/>
    <n v="2.4695915652117196E-3"/>
    <n v="2.4695915652117196E-3"/>
    <n v="1.0224900474278287E-2"/>
    <n v="6.4634440249861508E-3"/>
    <n v="1.1317116406001162"/>
    <n v="0.42180138748490997"/>
    <m/>
    <n v="205540"/>
  </r>
  <r>
    <x v="0"/>
    <x v="0"/>
    <x v="4"/>
    <x v="3"/>
    <s v="Xcel"/>
    <x v="4"/>
    <x v="0"/>
    <m/>
    <s v="School Education Kits"/>
    <m/>
    <x v="13"/>
    <n v="539560"/>
    <n v="539560"/>
    <n v="431439"/>
    <n v="89009"/>
    <n v="306619750"/>
    <n v="35286911"/>
    <n v="438247"/>
    <n v="526109473"/>
    <n v="80336233"/>
    <n v="474354"/>
    <n v="6.4828881236043382E-4"/>
    <n v="6.4828881236043382E-4"/>
    <n v="8.2005556284670813E-4"/>
    <n v="5.1837993349390828E-4"/>
    <n v="9.0765326151304782E-2"/>
    <n v="3.3829236293654509E-2"/>
    <m/>
    <n v="51598"/>
  </r>
  <r>
    <x v="0"/>
    <x v="0"/>
    <x v="4"/>
    <x v="3"/>
    <s v="Xcel"/>
    <x v="4"/>
    <x v="0"/>
    <m/>
    <s v="Whole Home Efficiency"/>
    <m/>
    <x v="2"/>
    <n v="44030"/>
    <n v="44030"/>
    <n v="202935"/>
    <n v="166185"/>
    <n v="306619750"/>
    <n v="35286911"/>
    <n v="438247"/>
    <n v="526109473"/>
    <n v="80336233"/>
    <n v="474354"/>
    <n v="5.2902654770979863E-5"/>
    <n v="5.2902654770979863E-5"/>
    <n v="3.8572770576210478E-4"/>
    <n v="2.4382921294455596E-4"/>
    <n v="4.2693083987574224E-2"/>
    <n v="1.5912182411077298E-2"/>
    <m/>
    <n v="3685"/>
  </r>
  <r>
    <x v="0"/>
    <x v="0"/>
    <x v="4"/>
    <x v="3"/>
    <s v="Xcel"/>
    <x v="4"/>
    <x v="2"/>
    <m/>
    <s v="Business Education"/>
    <m/>
    <x v="4"/>
    <n v="0"/>
    <n v="0"/>
    <n v="35050"/>
    <n v="0"/>
    <n v="219489723"/>
    <n v="45049322"/>
    <n v="36107"/>
    <n v="526109473"/>
    <n v="80336233"/>
    <n v="474354"/>
    <n v="0"/>
    <n v="0"/>
    <n v="6.6621115563908498E-5"/>
    <n v="4.2113060407059835E-5"/>
    <n v="4.6011142441570443E-3"/>
    <n v="2.7482789736036624E-3"/>
    <m/>
    <m/>
  </r>
  <r>
    <x v="0"/>
    <x v="0"/>
    <x v="4"/>
    <x v="3"/>
    <s v="Xcel"/>
    <x v="4"/>
    <x v="2"/>
    <m/>
    <s v="Business Energy Assessments"/>
    <m/>
    <x v="14"/>
    <n v="320340"/>
    <n v="320340"/>
    <n v="443922"/>
    <n v="239529"/>
    <n v="219489723"/>
    <n v="45049322"/>
    <n v="36107"/>
    <n v="526109473"/>
    <n v="80336233"/>
    <n v="474354"/>
    <n v="3.8489294638509406E-4"/>
    <n v="3.8489294638509406E-4"/>
    <n v="8.4378256386195122E-4"/>
    <n v="5.3337843087083634E-4"/>
    <n v="5.8274916904270571E-2"/>
    <n v="3.4808031341514556E-2"/>
    <m/>
    <n v="27552"/>
  </r>
  <r>
    <x v="0"/>
    <x v="0"/>
    <x v="4"/>
    <x v="3"/>
    <s v="Xcel"/>
    <x v="4"/>
    <x v="2"/>
    <m/>
    <s v="Business New Construction"/>
    <m/>
    <x v="0"/>
    <n v="94860"/>
    <n v="94860"/>
    <n v="695185"/>
    <n v="380077"/>
    <n v="219489723"/>
    <n v="45049322"/>
    <n v="36107"/>
    <n v="526109473"/>
    <n v="80336233"/>
    <n v="474354"/>
    <n v="1.1397560371508403E-4"/>
    <n v="1.1397560371508403E-4"/>
    <n v="1.3213694785533733E-3"/>
    <n v="8.352744051093264E-4"/>
    <n v="9.1258933119095997E-2"/>
    <n v="5.4509623916252845E-2"/>
    <m/>
    <n v="50009"/>
  </r>
  <r>
    <x v="0"/>
    <x v="0"/>
    <x v="4"/>
    <x v="3"/>
    <s v="Xcel"/>
    <x v="4"/>
    <x v="2"/>
    <m/>
    <s v="Custom Efficiency"/>
    <m/>
    <x v="15"/>
    <n v="205180"/>
    <n v="205180"/>
    <n v="206188"/>
    <n v="120008"/>
    <n v="219489723"/>
    <n v="45049322"/>
    <n v="36107"/>
    <n v="526109473"/>
    <n v="80336233"/>
    <n v="474354"/>
    <n v="2.4652661153553597E-4"/>
    <n v="2.4652661153553597E-4"/>
    <n v="3.9191082955466951E-4"/>
    <n v="2.4773773749531676E-4"/>
    <n v="2.7066891405827465E-2"/>
    <n v="1.616725092751475E-2"/>
    <m/>
    <n v="20518"/>
  </r>
  <r>
    <x v="0"/>
    <x v="0"/>
    <x v="4"/>
    <x v="3"/>
    <s v="Xcel"/>
    <x v="4"/>
    <x v="2"/>
    <m/>
    <s v="Efficiency Controls"/>
    <m/>
    <x v="2"/>
    <n v="98250"/>
    <n v="98250"/>
    <n v="76105"/>
    <n v="65620"/>
    <n v="219489723"/>
    <n v="45049322"/>
    <n v="36107"/>
    <n v="526109473"/>
    <n v="80336233"/>
    <n v="474354"/>
    <n v="1.1804873566315631E-4"/>
    <n v="1.1804873566315631E-4"/>
    <n v="1.4465620542057793E-4"/>
    <n v="9.1441211477297812E-5"/>
    <n v="9.9905220984756599E-3"/>
    <n v="5.9674114489616757E-3"/>
    <m/>
    <n v="7945"/>
  </r>
  <r>
    <x v="0"/>
    <x v="0"/>
    <x v="4"/>
    <x v="3"/>
    <s v="Xcel"/>
    <x v="4"/>
    <x v="2"/>
    <m/>
    <s v="Empower Facilities"/>
    <m/>
    <x v="4"/>
    <n v="0"/>
    <n v="0"/>
    <n v="60649"/>
    <n v="0"/>
    <n v="219489723"/>
    <n v="45049322"/>
    <n v="36107"/>
    <n v="526109473"/>
    <n v="80336233"/>
    <n v="474354"/>
    <n v="0"/>
    <n v="0"/>
    <n v="1.1527828923924356E-4"/>
    <n v="7.2870613427325874E-5"/>
    <n v="7.961568553320416E-3"/>
    <n v="4.7555027523563066E-3"/>
    <m/>
    <m/>
  </r>
  <r>
    <x v="0"/>
    <x v="0"/>
    <x v="4"/>
    <x v="3"/>
    <s v="Xcel"/>
    <x v="4"/>
    <x v="2"/>
    <m/>
    <s v="Empower Intelligence"/>
    <m/>
    <x v="2"/>
    <n v="610"/>
    <n v="610"/>
    <n v="73140"/>
    <n v="0"/>
    <n v="219489723"/>
    <n v="45049322"/>
    <n v="36107"/>
    <n v="526109473"/>
    <n v="80336233"/>
    <n v="474354"/>
    <n v="7.3292344788320955E-7"/>
    <n v="7.3292344788320955E-7"/>
    <n v="1.3902049621524303E-4"/>
    <n v="8.787872291504582E-5"/>
    <n v="9.601298026181062E-3"/>
    <n v="5.7349250821504107E-3"/>
    <m/>
    <n v="61"/>
  </r>
  <r>
    <x v="0"/>
    <x v="0"/>
    <x v="4"/>
    <x v="3"/>
    <s v="Xcel"/>
    <x v="4"/>
    <x v="2"/>
    <m/>
    <s v="Foodservice Equipment"/>
    <m/>
    <x v="2"/>
    <n v="46260"/>
    <n v="46260"/>
    <n v="98140"/>
    <n v="24605"/>
    <n v="219489723"/>
    <n v="45049322"/>
    <n v="36107"/>
    <n v="526109473"/>
    <n v="80336233"/>
    <n v="474354"/>
    <n v="5.5582030654225039E-5"/>
    <n v="5.5582030654225039E-5"/>
    <n v="1.8653912357894381E-4"/>
    <n v="1.1791656913976753E-4"/>
    <n v="1.2883119883639724E-2"/>
    <n v="7.6951811260902551E-3"/>
    <m/>
    <n v="5536"/>
  </r>
  <r>
    <x v="0"/>
    <x v="0"/>
    <x v="4"/>
    <x v="3"/>
    <s v="Xcel"/>
    <x v="4"/>
    <x v="2"/>
    <m/>
    <s v="HVAC+R"/>
    <m/>
    <x v="2"/>
    <n v="1233450"/>
    <n v="1233450"/>
    <n v="1468757"/>
    <n v="814511"/>
    <n v="219489723"/>
    <n v="45049322"/>
    <n v="36107"/>
    <n v="526109473"/>
    <n v="80336233"/>
    <n v="474354"/>
    <n v="1.4820072570353195E-3"/>
    <n v="1.4820072570353195E-3"/>
    <n v="2.791732662833083E-3"/>
    <n v="1.7647318762993431E-3"/>
    <n v="0.19280795303581649"/>
    <n v="0.11516559145315819"/>
    <m/>
    <n v="133232"/>
  </r>
  <r>
    <x v="0"/>
    <x v="0"/>
    <x v="4"/>
    <x v="3"/>
    <s v="Xcel"/>
    <x v="4"/>
    <x v="2"/>
    <m/>
    <s v="Load Strategy Analysis"/>
    <m/>
    <x v="2"/>
    <n v="53410"/>
    <n v="53410"/>
    <n v="37669"/>
    <n v="27104"/>
    <n v="219489723"/>
    <n v="45049322"/>
    <n v="36107"/>
    <n v="526109473"/>
    <n v="80336233"/>
    <n v="474354"/>
    <n v="6.4172854674495451E-5"/>
    <n v="6.4172854674495451E-5"/>
    <n v="7.1599166966529798E-5"/>
    <n v="4.5259825177561672E-5"/>
    <n v="4.9449179019444142E-3"/>
    <n v="2.9536353967668009E-3"/>
    <m/>
    <n v="5341"/>
  </r>
  <r>
    <x v="0"/>
    <x v="0"/>
    <x v="4"/>
    <x v="3"/>
    <s v="Xcel"/>
    <x v="4"/>
    <x v="2"/>
    <m/>
    <s v="MF Building Efficiency"/>
    <m/>
    <x v="2"/>
    <n v="497470"/>
    <n v="497470"/>
    <n v="1031378"/>
    <n v="88211"/>
    <n v="219489723"/>
    <n v="45049322"/>
    <n v="36107"/>
    <n v="526109473"/>
    <n v="80336233"/>
    <n v="474354"/>
    <n v="5.9771709445649221E-4"/>
    <n v="5.9771709445649221E-4"/>
    <n v="1.9603866741247596E-3"/>
    <n v="1.239214950542441E-3"/>
    <n v="0.13539195454808001"/>
    <n v="8.0870598323463577E-2"/>
    <m/>
    <n v="32052"/>
  </r>
  <r>
    <x v="0"/>
    <x v="0"/>
    <x v="4"/>
    <x v="3"/>
    <s v="Xcel"/>
    <x v="4"/>
    <x v="2"/>
    <m/>
    <s v="Non-Profit Energy Savings Program"/>
    <m/>
    <x v="2"/>
    <n v="3477630"/>
    <n v="3477630"/>
    <n v="1133631"/>
    <n v="820567"/>
    <n v="219489723"/>
    <n v="45049322"/>
    <n v="36107"/>
    <n v="526109473"/>
    <n v="80336233"/>
    <n v="474354"/>
    <n v="4.1784206066591573E-3"/>
    <n v="4.1784206066591573E-3"/>
    <n v="2.1547435622775793E-3"/>
    <n v="1.3620733461430997E-3"/>
    <n v="0.14881499976370882"/>
    <n v="8.8888280773902817E-2"/>
    <m/>
    <n v="283328"/>
  </r>
  <r>
    <x v="0"/>
    <x v="0"/>
    <x v="4"/>
    <x v="3"/>
    <s v="Xcel"/>
    <x v="4"/>
    <x v="2"/>
    <m/>
    <s v="Process &amp; Commercial Efficiency"/>
    <m/>
    <x v="2"/>
    <n v="1590260"/>
    <n v="1590260"/>
    <n v="1412754"/>
    <n v="756573"/>
    <n v="219489723"/>
    <n v="45049322"/>
    <n v="36107"/>
    <n v="526109473"/>
    <n v="80336233"/>
    <n v="474354"/>
    <n v="1.9107194134930375E-3"/>
    <n v="1.9107194134930375E-3"/>
    <n v="2.6852852353031098E-3"/>
    <n v="1.6974434962144195E-3"/>
    <n v="0.1854562782564862"/>
    <n v="0.11077438268400766"/>
    <m/>
    <n v="165470"/>
  </r>
  <r>
    <x v="0"/>
    <x v="0"/>
    <x v="4"/>
    <x v="3"/>
    <s v="Xcel"/>
    <x v="4"/>
    <x v="1"/>
    <n v="1"/>
    <s v="Affordable Efficient New Home Construction"/>
    <m/>
    <x v="3"/>
    <n v="4600"/>
    <n v="4600"/>
    <n v="199664"/>
    <n v="188082"/>
    <n v="0"/>
    <n v="0"/>
    <n v="0"/>
    <n v="526109473"/>
    <n v="80336233"/>
    <n v="474354"/>
    <n v="5.5269637053487935E-6"/>
    <n v="5.5269637053487935E-6"/>
    <n v="3.7951036855783817E-4"/>
    <n v="2.3989906114451338E-4"/>
    <n v="0.5221748568140806"/>
    <n v="1.5655702510288208E-2"/>
    <m/>
    <n v="460"/>
  </r>
  <r>
    <x v="0"/>
    <x v="0"/>
    <x v="4"/>
    <x v="3"/>
    <s v="Xcel"/>
    <x v="4"/>
    <x v="1"/>
    <n v="1"/>
    <s v="Home Energy Savings Program"/>
    <m/>
    <x v="3"/>
    <n v="131290"/>
    <n v="131290"/>
    <n v="4729485"/>
    <n v="4005419"/>
    <n v="0"/>
    <n v="0"/>
    <n v="0"/>
    <n v="526109473"/>
    <n v="80336233"/>
    <n v="474354"/>
    <n v="1.5774675323374852E-4"/>
    <n v="1.5774675323374852E-4"/>
    <n v="8.9895454134884967E-3"/>
    <n v="5.6825417260851175E-3"/>
    <n v="12.368870465779219"/>
    <n v="0.37084006223891347"/>
    <m/>
    <n v="8963"/>
  </r>
  <r>
    <x v="0"/>
    <x v="0"/>
    <x v="4"/>
    <x v="3"/>
    <s v="Xcel"/>
    <x v="4"/>
    <x v="1"/>
    <n v="1"/>
    <s v="Low Income Home Energy Squad"/>
    <m/>
    <x v="3"/>
    <n v="104720"/>
    <n v="104720"/>
    <n v="396741"/>
    <n v="61574"/>
    <n v="0"/>
    <n v="0"/>
    <n v="0"/>
    <n v="526109473"/>
    <n v="80336233"/>
    <n v="474354"/>
    <n v="1.2582253026611426E-4"/>
    <n v="1.2582253026611426E-4"/>
    <n v="7.541035095560806E-4"/>
    <n v="4.7668980596169254E-4"/>
    <n v="1.0375840154823861"/>
    <n v="3.1108557725149519E-2"/>
    <m/>
    <n v="6702"/>
  </r>
  <r>
    <x v="0"/>
    <x v="0"/>
    <x v="4"/>
    <x v="3"/>
    <s v="Xcel"/>
    <x v="4"/>
    <x v="1"/>
    <n v="1"/>
    <s v="Low Income MF Building Efficiency"/>
    <m/>
    <x v="3"/>
    <n v="130210"/>
    <n v="130210"/>
    <n v="263645"/>
    <n v="35921"/>
    <n v="0"/>
    <n v="0"/>
    <n v="0"/>
    <n v="526109473"/>
    <n v="80336233"/>
    <n v="474354"/>
    <n v="1.5644911827684054E-4"/>
    <n v="1.5644911827684054E-4"/>
    <n v="5.011219404521158E-4"/>
    <n v="3.1677311871667013E-4"/>
    <n v="0.68950231451212174"/>
    <n v="2.0672468188180818E-2"/>
    <m/>
    <n v="12459"/>
  </r>
  <r>
    <x v="0"/>
    <x v="0"/>
    <x v="4"/>
    <x v="3"/>
    <s v="Xcel"/>
    <x v="4"/>
    <x v="1"/>
    <n v="1"/>
    <s v="Workforce Development &amp; Education"/>
    <m/>
    <x v="4"/>
    <n v="0"/>
    <n v="0"/>
    <n v="643082"/>
    <n v="0"/>
    <n v="0"/>
    <n v="0"/>
    <n v="0"/>
    <n v="526109473"/>
    <n v="80336233"/>
    <n v="474354"/>
    <n v="0"/>
    <n v="0"/>
    <n v="1.2223349568921372E-3"/>
    <n v="7.726719290354594E-4"/>
    <n v="1.6818317336611135"/>
    <n v="5.0424215089956932E-2"/>
    <m/>
    <m/>
  </r>
  <r>
    <x v="0"/>
    <x v="0"/>
    <x v="4"/>
    <x v="3"/>
    <s v="Xcel"/>
    <x v="4"/>
    <x v="1"/>
    <n v="1"/>
    <s v="Commercial AC Control"/>
    <m/>
    <x v="3"/>
    <n v="11550"/>
    <n v="11550"/>
    <n v="41307"/>
    <n v="8307"/>
    <n v="0"/>
    <n v="0"/>
    <n v="0"/>
    <n v="526109473"/>
    <n v="80336233"/>
    <n v="474354"/>
    <n v="1.3877484955821429E-5"/>
    <n v="1.3877484955821429E-5"/>
    <n v="7.8514077620495535E-5"/>
    <n v="4.963093256018318E-5"/>
    <n v="0.10802887255799357"/>
    <n v="3.2388918562809271E-3"/>
    <m/>
    <n v="639"/>
  </r>
  <r>
    <x v="0"/>
    <x v="0"/>
    <x v="4"/>
    <x v="3"/>
    <s v="Xcel"/>
    <x v="4"/>
    <x v="3"/>
    <m/>
    <s v="Advertising &amp; Promotion"/>
    <m/>
    <x v="4"/>
    <n v="0"/>
    <n v="0"/>
    <n v="1828013"/>
    <n v="0"/>
    <n v="0"/>
    <n v="0"/>
    <n v="0"/>
    <n v="526109473"/>
    <n v="80336233"/>
    <n v="474354"/>
    <n v="0"/>
    <n v="0"/>
    <n v="3.4745867425200307E-3"/>
    <n v="2.1963829356316882E-3"/>
    <s v=""/>
    <n v="0.14333494126602431"/>
    <m/>
    <m/>
  </r>
  <r>
    <x v="0"/>
    <x v="0"/>
    <x v="4"/>
    <x v="3"/>
    <s v="Xcel"/>
    <x v="4"/>
    <x v="3"/>
    <m/>
    <s v="App Development &amp; Maintenance"/>
    <m/>
    <x v="4"/>
    <n v="0"/>
    <n v="0"/>
    <n v="785777"/>
    <n v="0"/>
    <n v="0"/>
    <n v="0"/>
    <n v="0"/>
    <n v="526109473"/>
    <n v="80336233"/>
    <n v="474354"/>
    <n v="0"/>
    <n v="0"/>
    <n v="1.4935617781586686E-3"/>
    <n v="9.4412194771692579E-4"/>
    <s v=""/>
    <n v="6.1612964537556783E-2"/>
    <m/>
    <m/>
  </r>
  <r>
    <x v="0"/>
    <x v="0"/>
    <x v="4"/>
    <x v="3"/>
    <s v="Xcel"/>
    <x v="4"/>
    <x v="3"/>
    <m/>
    <s v="CIP Training"/>
    <m/>
    <x v="4"/>
    <n v="0"/>
    <n v="0"/>
    <n v="193333"/>
    <n v="0"/>
    <n v="0"/>
    <n v="0"/>
    <n v="0"/>
    <n v="526109473"/>
    <n v="80336233"/>
    <n v="474354"/>
    <n v="0"/>
    <n v="0"/>
    <n v="3.6747675136425455E-4"/>
    <n v="2.3229227696656485E-4"/>
    <s v=""/>
    <n v="1.5159287269720882E-2"/>
    <m/>
    <m/>
  </r>
  <r>
    <x v="0"/>
    <x v="0"/>
    <x v="4"/>
    <x v="3"/>
    <s v="Xcel"/>
    <x v="4"/>
    <x v="3"/>
    <m/>
    <s v="Community Energy Reporting"/>
    <m/>
    <x v="4"/>
    <n v="0"/>
    <n v="0"/>
    <n v="14578"/>
    <n v="0"/>
    <n v="0"/>
    <n v="0"/>
    <n v="0"/>
    <n v="526109473"/>
    <n v="80336233"/>
    <n v="474354"/>
    <n v="0"/>
    <n v="0"/>
    <n v="2.7709061988321203E-5"/>
    <n v="1.7515668890559722E-5"/>
    <s v=""/>
    <n v="1.1430645043422024E-3"/>
    <m/>
    <m/>
  </r>
  <r>
    <x v="0"/>
    <x v="0"/>
    <x v="4"/>
    <x v="3"/>
    <s v="Xcel"/>
    <x v="4"/>
    <x v="3"/>
    <m/>
    <s v="Energy Benchmarking"/>
    <m/>
    <x v="4"/>
    <n v="0"/>
    <n v="0"/>
    <n v="51759"/>
    <n v="0"/>
    <n v="0"/>
    <n v="0"/>
    <n v="0"/>
    <n v="526109473"/>
    <n v="80336233"/>
    <n v="474354"/>
    <n v="0"/>
    <n v="0"/>
    <n v="9.8380665348711554E-5"/>
    <n v="6.2189155309814824E-5"/>
    <s v=""/>
    <n v="4.0584357031312971E-3"/>
    <m/>
    <m/>
  </r>
  <r>
    <x v="0"/>
    <x v="0"/>
    <x v="4"/>
    <x v="3"/>
    <s v="Xcel"/>
    <x v="4"/>
    <x v="3"/>
    <m/>
    <s v="Partners in Energy"/>
    <s v=" "/>
    <x v="4"/>
    <n v="0"/>
    <n v="0"/>
    <n v="365754"/>
    <n v="0"/>
    <n v="0"/>
    <n v="0"/>
    <n v="0"/>
    <n v="526109473"/>
    <n v="80336233"/>
    <n v="474354"/>
    <n v="0"/>
    <n v="0"/>
    <n v="6.9520512131132064E-4"/>
    <n v="4.3945849632307454E-4"/>
    <s v=""/>
    <n v="2.867885956380696E-2"/>
    <m/>
    <m/>
  </r>
  <r>
    <x v="0"/>
    <x v="0"/>
    <x v="4"/>
    <x v="3"/>
    <s v="Xcel"/>
    <x v="4"/>
    <x v="3"/>
    <m/>
    <s v="Planning &amp; Regulatory Affairs"/>
    <m/>
    <x v="4"/>
    <n v="0"/>
    <n v="0"/>
    <n v="499129"/>
    <n v="0"/>
    <n v="0"/>
    <n v="0"/>
    <n v="0"/>
    <n v="526109473"/>
    <n v="80336233"/>
    <n v="474354"/>
    <n v="0"/>
    <n v="0"/>
    <n v="9.4871699829666436E-4"/>
    <n v="5.9971040593196484E-4"/>
    <s v=""/>
    <n v="3.9136825558226035E-2"/>
    <m/>
    <m/>
  </r>
  <r>
    <x v="0"/>
    <x v="0"/>
    <x v="4"/>
    <x v="3"/>
    <s v="Xcel"/>
    <x v="4"/>
    <x v="3"/>
    <m/>
    <s v="market research"/>
    <m/>
    <x v="4"/>
    <n v="0"/>
    <n v="0"/>
    <n v="574548"/>
    <n v="0"/>
    <n v="0"/>
    <n v="0"/>
    <n v="0"/>
    <n v="526109473"/>
    <n v="80336233"/>
    <n v="474354"/>
    <n v="0"/>
    <n v="0"/>
    <n v="1.0920692925823823E-3"/>
    <n v="6.9032737890885624E-4"/>
    <s v=""/>
    <n v="4.5050447581342003E-2"/>
    <m/>
    <m/>
  </r>
  <r>
    <x v="0"/>
    <x v="0"/>
    <x v="4"/>
    <x v="3"/>
    <s v="Xcel"/>
    <x v="4"/>
    <x v="3"/>
    <m/>
    <s v="Product Development"/>
    <m/>
    <x v="4"/>
    <n v="0"/>
    <n v="0"/>
    <n v="201545"/>
    <n v="0"/>
    <n v="0"/>
    <n v="0"/>
    <n v="0"/>
    <n v="526109473"/>
    <n v="80336233"/>
    <n v="474354"/>
    <n v="0"/>
    <n v="0"/>
    <n v="3.8308567008068302E-4"/>
    <n v="2.4215910869446146E-4"/>
    <s v=""/>
    <n v="1.5803192175034241E-2"/>
    <m/>
    <m/>
  </r>
  <r>
    <x v="0"/>
    <x v="0"/>
    <x v="4"/>
    <x v="3"/>
    <s v="Xcel"/>
    <x v="4"/>
    <x v="3"/>
    <m/>
    <s v="Minnesota Assessments"/>
    <m/>
    <x v="4"/>
    <n v="0"/>
    <n v="0"/>
    <n v="294738"/>
    <n v="0"/>
    <n v="0"/>
    <n v="0"/>
    <n v="0"/>
    <n v="526109473"/>
    <n v="80336233"/>
    <n v="474354"/>
    <n v="0"/>
    <n v="0"/>
    <n v="5.6022180767689765E-4"/>
    <n v="3.5413178882328104E-4"/>
    <s v=""/>
    <n v="2.3110477835149679E-2"/>
    <m/>
    <m/>
  </r>
  <r>
    <x v="0"/>
    <x v="0"/>
    <x v="4"/>
    <x v="3"/>
    <s v="Xcel"/>
    <x v="4"/>
    <x v="3"/>
    <m/>
    <s v="Minnesota Efficient Technology Accelerator"/>
    <m/>
    <x v="4"/>
    <n v="0"/>
    <n v="0"/>
    <n v="1232765"/>
    <n v="0"/>
    <n v="0"/>
    <n v="0"/>
    <n v="0"/>
    <n v="526109473"/>
    <n v="80336233"/>
    <n v="474354"/>
    <n v="0"/>
    <n v="0"/>
    <n v="2.3431720264805041E-3"/>
    <n v="1.4811842200487622E-3"/>
    <s v=""/>
    <n v="9.6661401680300116E-2"/>
    <m/>
    <m/>
  </r>
  <r>
    <x v="0"/>
    <x v="0"/>
    <x v="4"/>
    <x v="3"/>
    <s v="Xcel"/>
    <x v="4"/>
    <x v="3"/>
    <m/>
    <s v="EnerChange"/>
    <m/>
    <x v="4"/>
    <n v="0"/>
    <n v="0"/>
    <n v="131708"/>
    <n v="0"/>
    <n v="0"/>
    <n v="0"/>
    <n v="0"/>
    <n v="526109473"/>
    <n v="80336233"/>
    <n v="474354"/>
    <n v="0"/>
    <n v="0"/>
    <n v="2.5034333491273213E-4"/>
    <n v="1.5824898602262585E-4"/>
    <s v=""/>
    <n v="1.0327256121409164E-2"/>
    <m/>
    <m/>
  </r>
  <r>
    <x v="0"/>
    <x v="0"/>
    <x v="4"/>
    <x v="3"/>
    <s v="Xcel"/>
    <x v="4"/>
    <x v="3"/>
    <m/>
    <s v="EnergySmart"/>
    <m/>
    <x v="4"/>
    <n v="0"/>
    <n v="0"/>
    <n v="52395"/>
    <n v="0"/>
    <n v="0"/>
    <n v="0"/>
    <n v="0"/>
    <n v="526109473"/>
    <n v="80336233"/>
    <n v="474354"/>
    <n v="0"/>
    <n v="0"/>
    <n v="9.958953922884411E-5"/>
    <n v="6.2953318117771754E-5"/>
    <s v=""/>
    <n v="4.1083046168891267E-3"/>
    <m/>
    <m/>
  </r>
  <r>
    <x v="0"/>
    <x v="0"/>
    <x v="4"/>
    <x v="3"/>
    <s v="Xcel"/>
    <x v="4"/>
    <x v="0"/>
    <m/>
    <s v="One Stop Shop"/>
    <m/>
    <x v="2"/>
    <n v="10676"/>
    <n v="10676"/>
    <n v="99099"/>
    <n v="62522"/>
    <n v="306619750"/>
    <n v="35286911"/>
    <n v="438247"/>
    <n v="526109473"/>
    <n v="80336233"/>
    <n v="474354"/>
    <n v="1.2827361851805156E-5"/>
    <n v="1.2827361851805156E-5"/>
    <n v="1.8836193812461538E-4"/>
    <n v="1.1906882092094784E-4"/>
    <n v="2.0848261414170146E-2"/>
    <n v="7.7703765479357877E-3"/>
    <m/>
    <n v="10676"/>
  </r>
  <r>
    <x v="0"/>
    <x v="0"/>
    <x v="4"/>
    <x v="3"/>
    <s v="Xcel"/>
    <x v="4"/>
    <x v="3"/>
    <m/>
    <s v="Trillion BTU"/>
    <m/>
    <x v="4"/>
    <n v="0"/>
    <n v="0"/>
    <n v="22011"/>
    <n v="0"/>
    <n v="0"/>
    <n v="0"/>
    <n v="0"/>
    <n v="526109473"/>
    <n v="80336233"/>
    <n v="474354"/>
    <n v="0"/>
    <n v="0"/>
    <n v="4.1837300276096718E-5"/>
    <n v="2.6446521330093977E-5"/>
    <s v=""/>
    <n v="1.725887831326397E-3"/>
    <m/>
    <m/>
  </r>
  <r>
    <x v="0"/>
    <x v="0"/>
    <x v="2"/>
    <x v="2"/>
    <s v="CMS"/>
    <x v="24"/>
    <x v="2"/>
    <m/>
    <s v="Custom Solutions"/>
    <m/>
    <x v="15"/>
    <n v="3097336.3632000005"/>
    <n v="3366669.9600000004"/>
    <n v="3690440.0929362322"/>
    <n v="3600770.48"/>
    <n v="562584804"/>
    <n v="133176583"/>
    <n v="134592"/>
    <n v="1976161463"/>
    <n v="279743809"/>
    <n v="1805555"/>
    <n v="1.0687303232815117E-3"/>
    <n v="1.1616633948712085E-3"/>
    <n v="1.8674790304501715E-3"/>
    <n v="1.2733796950293046E-3"/>
    <n v="0.2777550682599314"/>
    <n v="0.14398977849794584"/>
    <m/>
    <m/>
  </r>
  <r>
    <x v="0"/>
    <x v="0"/>
    <x v="2"/>
    <x v="2"/>
    <s v="CMS"/>
    <x v="24"/>
    <x v="2"/>
    <m/>
    <s v="Energy Assessments"/>
    <m/>
    <x v="6"/>
    <n v="1086344.079724842"/>
    <n v="1180808.7823096106"/>
    <n v="4156063.0198920169"/>
    <n v="0"/>
    <n v="562584804"/>
    <n v="133176583"/>
    <n v="134592"/>
    <n v="1976161463"/>
    <n v="279743809"/>
    <n v="1805555"/>
    <n v="3.7484106450737405E-4"/>
    <n v="4.0743593968192829E-4"/>
    <n v="2.1030989105428259E-3"/>
    <n v="1.4340420458043492E-3"/>
    <n v="0.31279943278099176"/>
    <n v="0.16215697276950644"/>
    <m/>
    <m/>
  </r>
  <r>
    <x v="0"/>
    <x v="0"/>
    <x v="2"/>
    <x v="2"/>
    <s v="CMS"/>
    <x v="24"/>
    <x v="2"/>
    <m/>
    <s v="Energy Assessments"/>
    <s v="Furnace "/>
    <x v="13"/>
    <n v="998481.78424360696"/>
    <n v="1085306.2872213118"/>
    <n v="523936.980107982"/>
    <n v="0"/>
    <n v="562584804"/>
    <n v="133176583"/>
    <n v="134592"/>
    <n v="1976161463"/>
    <n v="279743809"/>
    <n v="1805555"/>
    <n v="3.4452433799049602E-4"/>
    <n v="3.7448297607662608E-4"/>
    <n v="2.6512862937454315E-4"/>
    <n v="1.8078350959320263E-4"/>
    <n v="3.9433278419108438E-2"/>
    <n v="2.0442431746021721E-2"/>
    <m/>
    <m/>
  </r>
  <r>
    <x v="0"/>
    <x v="0"/>
    <x v="2"/>
    <x v="2"/>
    <s v="CMS"/>
    <x v="24"/>
    <x v="2"/>
    <m/>
    <s v="Prescriptive Solutions"/>
    <m/>
    <x v="6"/>
    <n v="5087017.389789205"/>
    <n v="5529366.7280317442"/>
    <n v="11115995.224211963"/>
    <n v="7164590.8276073709"/>
    <n v="562584804"/>
    <n v="133176583"/>
    <n v="134592"/>
    <n v="1976161463"/>
    <n v="279743809"/>
    <n v="1805555"/>
    <n v="1.7552661713212305E-3"/>
    <n v="1.9078980123056852E-3"/>
    <n v="5.6250440221300695E-3"/>
    <n v="3.8355540943877395E-3"/>
    <n v="0.8366275930580227"/>
    <n v="0.43371241635439312"/>
    <m/>
    <m/>
  </r>
  <r>
    <x v="0"/>
    <x v="0"/>
    <x v="2"/>
    <x v="2"/>
    <s v="CMS"/>
    <x v="24"/>
    <x v="2"/>
    <m/>
    <s v="Prescriptive Solutions"/>
    <m/>
    <x v="17"/>
    <n v="2520835.9272585255"/>
    <n v="2740039.0513679627"/>
    <n v="2936076.1023504045"/>
    <n v="1892388.7144390331"/>
    <n v="562584804"/>
    <n v="133176583"/>
    <n v="134592"/>
    <n v="1976161463"/>
    <n v="279743809"/>
    <n v="1805555"/>
    <n v="8.6980988809857952E-4"/>
    <n v="9.4544553054193422E-4"/>
    <n v="1.4857470694186919E-3"/>
    <n v="1.0130877612537334E-3"/>
    <n v="0.22097906961980898"/>
    <n v="0.11455678373962754"/>
    <m/>
    <m/>
  </r>
  <r>
    <x v="0"/>
    <x v="0"/>
    <x v="2"/>
    <x v="2"/>
    <s v="CMS"/>
    <x v="24"/>
    <x v="2"/>
    <m/>
    <s v="Prescriptive Solutions"/>
    <m/>
    <x v="9"/>
    <n v="260095.77735137104"/>
    <n v="282712.80146888155"/>
    <n v="369786.53685957694"/>
    <n v="238338.46423271019"/>
    <n v="562584804"/>
    <n v="133176583"/>
    <n v="134592"/>
    <n v="1976161463"/>
    <n v="279743809"/>
    <n v="1805555"/>
    <n v="8.9745578657689272E-5"/>
    <n v="9.7549542019227472E-5"/>
    <n v="1.8712364540203409E-4"/>
    <n v="1.2759417729974438E-4"/>
    <n v="2.7831391975073633E-2"/>
    <n v="1.4427949023166275E-2"/>
    <m/>
    <m/>
  </r>
  <r>
    <x v="0"/>
    <x v="0"/>
    <x v="2"/>
    <x v="2"/>
    <s v="CMS"/>
    <x v="24"/>
    <x v="2"/>
    <m/>
    <s v="Prescriptive Solutions"/>
    <m/>
    <x v="13"/>
    <n v="6334.6090811059166"/>
    <n v="6885.4446533759965"/>
    <n v="11522.9482560829"/>
    <n v="7426.8842076062119"/>
    <n v="562584804"/>
    <n v="133176583"/>
    <n v="134592"/>
    <n v="1976161463"/>
    <n v="279743809"/>
    <n v="1805555"/>
    <n v="2.1857454332528292E-6"/>
    <n v="2.3758102535356835E-6"/>
    <n v="5.8309750857047762E-6"/>
    <n v="3.9759725037278474E-6"/>
    <n v="8.6725626180738193E-4"/>
    <n v="4.4959048927862855E-4"/>
    <m/>
    <m/>
  </r>
  <r>
    <x v="0"/>
    <x v="0"/>
    <x v="2"/>
    <x v="2"/>
    <s v="CMS"/>
    <x v="24"/>
    <x v="2"/>
    <m/>
    <s v="Prescriptive Solutions"/>
    <m/>
    <x v="1"/>
    <n v="169933.13247228329"/>
    <n v="184709.92660030792"/>
    <n v="224847.28476129082"/>
    <n v="144920.78860418635"/>
    <n v="562584804"/>
    <n v="133176583"/>
    <n v="134592"/>
    <n v="1976161463"/>
    <n v="279743809"/>
    <n v="1805555"/>
    <n v="5.8635120731837752E-5"/>
    <n v="6.3733826882432339E-5"/>
    <n v="1.1377981454002821E-4"/>
    <n v="7.7583149891940811E-5"/>
    <n v="1.692277109347232E-2"/>
    <n v="8.77285903938998E-3"/>
    <m/>
    <m/>
  </r>
  <r>
    <x v="0"/>
    <x v="0"/>
    <x v="2"/>
    <x v="2"/>
    <s v="CMS"/>
    <x v="24"/>
    <x v="2"/>
    <m/>
    <s v="Small Business Store"/>
    <m/>
    <x v="6"/>
    <n v="27790.35560217949"/>
    <n v="30206.908263238576"/>
    <n v="83836.096680071496"/>
    <n v="22609.47500983905"/>
    <n v="562584804"/>
    <n v="133176583"/>
    <n v="134592"/>
    <n v="1976161463"/>
    <n v="279743809"/>
    <n v="1805555"/>
    <n v="9.5890120555523445E-6"/>
    <n v="1.0422839190817766E-5"/>
    <n v="4.2423707905324885E-5"/>
    <n v="2.8927493885418659E-5"/>
    <n v="6.3097896645417321E-3"/>
    <n v="3.271030198864809E-3"/>
    <m/>
    <m/>
  </r>
  <r>
    <x v="0"/>
    <x v="0"/>
    <x v="2"/>
    <x v="2"/>
    <s v="CMS"/>
    <x v="24"/>
    <x v="2"/>
    <m/>
    <s v="Small Business Store"/>
    <m/>
    <x v="13"/>
    <n v="32501.157824592003"/>
    <n v="35327.345461513047"/>
    <n v="8548.9033199285441"/>
    <n v="2305.5249901609523"/>
    <n v="562584804"/>
    <n v="133176583"/>
    <n v="134592"/>
    <n v="1976161463"/>
    <n v="279743809"/>
    <n v="1805555"/>
    <n v="1.1214465862213734E-5"/>
    <n v="1.218963680675406E-5"/>
    <n v="4.3260145893901299E-6"/>
    <n v="2.9497836648811092E-6"/>
    <n v="6.4341952866794211E-4"/>
    <n v="3.3355227681191755E-4"/>
    <m/>
    <m/>
  </r>
  <r>
    <x v="0"/>
    <x v="0"/>
    <x v="2"/>
    <x v="2"/>
    <s v="CMS"/>
    <x v="24"/>
    <x v="0"/>
    <m/>
    <s v="Assessments and Behavior"/>
    <m/>
    <x v="5"/>
    <n v="2307655.3789736936"/>
    <n v="2508321.0641018404"/>
    <n v="739230.59210108407"/>
    <n v="18286.524424300504"/>
    <n v="1413576659"/>
    <n v="146567226"/>
    <n v="1670963"/>
    <n v="1976161463"/>
    <n v="279743809"/>
    <n v="1805555"/>
    <n v="7.9625232457635549E-4"/>
    <n v="8.6549165714821228E-4"/>
    <n v="3.740739843083784E-4"/>
    <n v="2.5507018193514841E-4"/>
    <n v="7.6899733839869297E-2"/>
    <n v="2.884253545241865E-2"/>
    <m/>
    <m/>
  </r>
  <r>
    <x v="0"/>
    <x v="0"/>
    <x v="2"/>
    <x v="2"/>
    <s v="CMS"/>
    <x v="24"/>
    <x v="0"/>
    <m/>
    <s v="Assessments and Behavior"/>
    <m/>
    <x v="6"/>
    <n v="170950.39316771476"/>
    <n v="185815.64474751602"/>
    <n v="3865445.2736768937"/>
    <n v="95620.446668721954"/>
    <n v="1413576659"/>
    <n v="146567226"/>
    <n v="1670963"/>
    <n v="1976161463"/>
    <n v="279743809"/>
    <n v="1805555"/>
    <n v="5.8986124699248907E-5"/>
    <n v="6.411535293396621E-5"/>
    <n v="1.9560371690523618E-3"/>
    <n v="1.3337649168641309E-3"/>
    <n v="0.40210959326435314"/>
    <n v="0.15081794982067601"/>
    <m/>
    <m/>
  </r>
  <r>
    <x v="0"/>
    <x v="0"/>
    <x v="2"/>
    <x v="2"/>
    <s v="CMS"/>
    <x v="24"/>
    <x v="0"/>
    <m/>
    <s v="Assessments and Behavior"/>
    <m/>
    <x v="13"/>
    <n v="580788.96898900543"/>
    <n v="631292.3575967449"/>
    <n v="395324.13422202249"/>
    <n v="9779.2279069775577"/>
    <n v="1413576659"/>
    <n v="146567226"/>
    <n v="1670963"/>
    <n v="1976161463"/>
    <n v="279743809"/>
    <n v="1805555"/>
    <n v="2.004001857727441E-4"/>
    <n v="2.1782628888341747E-4"/>
    <n v="2.0004647475610777E-4"/>
    <n v="1.3640587918955854E-4"/>
    <n v="4.1124273030617872E-2"/>
    <n v="1.5424348611016677E-2"/>
    <m/>
    <m/>
  </r>
  <r>
    <x v="0"/>
    <x v="0"/>
    <x v="2"/>
    <x v="2"/>
    <s v="CMS"/>
    <x v="24"/>
    <x v="0"/>
    <m/>
    <s v="Contractor Rebates - Res"/>
    <m/>
    <x v="6"/>
    <n v="212558.22111796701"/>
    <n v="231041.88910105929"/>
    <n v="5268357.7632448915"/>
    <n v="1361000.0859016678"/>
    <n v="1413576659"/>
    <n v="146567226"/>
    <n v="1670963"/>
    <n v="1976161463"/>
    <n v="279743809"/>
    <n v="1805555"/>
    <n v="7.3342830656225814E-5"/>
    <n v="7.9720586941820032E-5"/>
    <n v="2.6659551164645353E-3"/>
    <n v="1.8178373399711405E-3"/>
    <n v="0.54804997803898003"/>
    <n v="0.2055553398169396"/>
    <m/>
    <m/>
  </r>
  <r>
    <x v="0"/>
    <x v="0"/>
    <x v="2"/>
    <x v="2"/>
    <s v="CMS"/>
    <x v="24"/>
    <x v="0"/>
    <m/>
    <s v="Contractor Rebates - Res"/>
    <m/>
    <x v="17"/>
    <n v="10360.57091399899"/>
    <n v="11261.506911122147"/>
    <n v="206759.81845629914"/>
    <n v="53413.253868832959"/>
    <n v="1413576659"/>
    <n v="146567226"/>
    <n v="1670963"/>
    <n v="1976161463"/>
    <n v="279743809"/>
    <n v="1805555"/>
    <n v="3.5748962992380651E-6"/>
    <n v="3.8857626393944859E-6"/>
    <n v="1.0462698637105197E-4"/>
    <n v="7.1342102280468026E-5"/>
    <n v="2.1508545747380172E-2"/>
    <n v="8.0671409674912264E-3"/>
    <m/>
    <m/>
  </r>
  <r>
    <x v="0"/>
    <x v="0"/>
    <x v="2"/>
    <x v="2"/>
    <s v="CMS"/>
    <x v="24"/>
    <x v="0"/>
    <m/>
    <s v="Contractor Rebates - Res"/>
    <m/>
    <x v="9"/>
    <n v="730333.99420538044"/>
    <n v="793842.4814078866"/>
    <n v="4758484.3999278704"/>
    <n v="1229282.0586798361"/>
    <n v="1413576659"/>
    <n v="146567226"/>
    <n v="1670963"/>
    <n v="1976161463"/>
    <n v="279743809"/>
    <n v="1805555"/>
    <n v="2.5200042688427695E-4"/>
    <n v="2.7391391579864561E-4"/>
    <n v="2.4079431205505045E-3"/>
    <n v="1.6419064559752374E-3"/>
    <n v="0.49500952442399165"/>
    <n v="0.18566162774001274"/>
    <m/>
    <m/>
  </r>
  <r>
    <x v="0"/>
    <x v="0"/>
    <x v="2"/>
    <x v="2"/>
    <s v="CMS"/>
    <x v="24"/>
    <x v="0"/>
    <m/>
    <s v="Contractor Rebates - Res"/>
    <m/>
    <x v="1"/>
    <n v="281088.2137626537"/>
    <n v="305531.12257993204"/>
    <n v="1423465.2808073789"/>
    <n v="367730.60154966358"/>
    <n v="1413576659"/>
    <n v="146567226"/>
    <n v="1670963"/>
    <n v="1976161463"/>
    <n v="279743809"/>
    <n v="1805555"/>
    <n v="9.6988980962603235E-5"/>
    <n v="1.0542296254516588E-4"/>
    <n v="7.203183077188561E-4"/>
    <n v="4.9116412663865561E-4"/>
    <n v="0.14807842423465867"/>
    <n v="5.5539297569221477E-2"/>
    <m/>
    <m/>
  </r>
  <r>
    <x v="0"/>
    <x v="0"/>
    <x v="2"/>
    <x v="2"/>
    <s v="CMS"/>
    <x v="24"/>
    <x v="0"/>
    <m/>
    <s v="Market Rate Multifamily"/>
    <m/>
    <x v="6"/>
    <n v="341590.6330987637"/>
    <n v="371294.16641169967"/>
    <n v="1076671.0666258228"/>
    <n v="439990.39333703247"/>
    <n v="1413576659"/>
    <n v="146567226"/>
    <n v="1670963"/>
    <n v="1976161463"/>
    <n v="279743809"/>
    <n v="1805555"/>
    <n v="1.1786523158382747E-4"/>
    <n v="1.2811438215633422E-4"/>
    <n v="5.4482950243920573E-4"/>
    <n v="3.7150340879156394E-4"/>
    <n v="0.11200255960902154"/>
    <n v="4.2008439236105519E-2"/>
    <m/>
    <m/>
  </r>
  <r>
    <x v="0"/>
    <x v="0"/>
    <x v="2"/>
    <x v="2"/>
    <s v="CMS"/>
    <x v="24"/>
    <x v="0"/>
    <m/>
    <s v="Market Rate Multifamily"/>
    <m/>
    <x v="17"/>
    <n v="120964.88716936008"/>
    <n v="131483.573010174"/>
    <n v="179234.74157934685"/>
    <n v="73245.735760599826"/>
    <n v="1413576659"/>
    <n v="146567226"/>
    <n v="1670963"/>
    <n v="1976161463"/>
    <n v="279743809"/>
    <n v="1805555"/>
    <n v="4.1738716048475246E-5"/>
    <n v="4.5368169617907871E-5"/>
    <n v="9.0698429726107283E-5"/>
    <n v="6.18446241703858E-5"/>
    <n v="1.8645202281380686E-2"/>
    <n v="6.9931959574537003E-3"/>
    <m/>
    <m/>
  </r>
  <r>
    <x v="0"/>
    <x v="0"/>
    <x v="2"/>
    <x v="2"/>
    <s v="CMS"/>
    <x v="24"/>
    <x v="0"/>
    <m/>
    <s v="Market Rate Multifamily"/>
    <m/>
    <x v="9"/>
    <n v="768415.10960142722"/>
    <n v="835233.81478416"/>
    <n v="682757.94971557672"/>
    <n v="279014.59244259913"/>
    <n v="1413576659"/>
    <n v="146567226"/>
    <n v="1670963"/>
    <n v="1976161463"/>
    <n v="279743809"/>
    <n v="1805555"/>
    <n v="2.6514024703803329E-4"/>
    <n v="2.8819592069351442E-4"/>
    <n v="3.4549704692605712E-4"/>
    <n v="2.3558439857939106E-4"/>
    <n v="7.1025070081249031E-2"/>
    <n v="2.6639144240663944E-2"/>
    <m/>
    <m/>
  </r>
  <r>
    <x v="0"/>
    <x v="0"/>
    <x v="2"/>
    <x v="2"/>
    <s v="CMS"/>
    <x v="24"/>
    <x v="0"/>
    <m/>
    <s v="Market Rate Multifamily"/>
    <s v="Furnace "/>
    <x v="13"/>
    <n v="534453.29351619398"/>
    <n v="580927.49295238475"/>
    <n v="441023.00784379721"/>
    <n v="180227.64120521367"/>
    <n v="1413576659"/>
    <n v="146567226"/>
    <n v="1670963"/>
    <n v="1976161463"/>
    <n v="279743809"/>
    <n v="1805555"/>
    <n v="1.8441214455904676E-4"/>
    <n v="2.0044798321635518E-4"/>
    <n v="2.2317154549420399E-4"/>
    <n v="1.5217419307360231E-4"/>
    <n v="4.5878176962418027E-2"/>
    <n v="1.7207380044855662E-2"/>
    <m/>
    <m/>
  </r>
  <r>
    <x v="0"/>
    <x v="0"/>
    <x v="2"/>
    <x v="2"/>
    <s v="CMS"/>
    <x v="24"/>
    <x v="0"/>
    <m/>
    <s v="Market Rate Multifamily"/>
    <m/>
    <x v="1"/>
    <n v="146758.92868248964"/>
    <n v="159520.57465488004"/>
    <n v="422454.32244430424"/>
    <n v="172639.39680455506"/>
    <n v="1413576659"/>
    <n v="146567226"/>
    <n v="1670963"/>
    <n v="1976161463"/>
    <n v="279743809"/>
    <n v="1805555"/>
    <n v="5.0638903529754506E-5"/>
    <n v="5.5042286445385328E-5"/>
    <n v="2.1377520529267818E-4"/>
    <n v="1.4576710168188466E-4"/>
    <n v="4.3946537525096127E-2"/>
    <n v="1.648288626353438E-2"/>
    <m/>
    <m/>
  </r>
  <r>
    <x v="0"/>
    <x v="0"/>
    <x v="2"/>
    <x v="2"/>
    <s v="CMS"/>
    <x v="24"/>
    <x v="0"/>
    <m/>
    <s v="New Home Construction"/>
    <m/>
    <x v="0"/>
    <n v="475718.54939787614"/>
    <n v="517085.37978030008"/>
    <n v="593520.99809174135"/>
    <n v="448941.44693148794"/>
    <n v="1413576659"/>
    <n v="146567226"/>
    <n v="1670963"/>
    <n v="1976161463"/>
    <n v="279743809"/>
    <n v="1805555"/>
    <n v="1.6414582708212464E-4"/>
    <n v="1.7841937726317892E-4"/>
    <n v="3.0034033615386892E-4"/>
    <n v="2.047933494409414E-4"/>
    <n v="6.1742042698616217E-2"/>
    <n v="2.3157389063891864E-2"/>
    <m/>
    <m/>
  </r>
  <r>
    <x v="0"/>
    <x v="0"/>
    <x v="2"/>
    <x v="2"/>
    <s v="CMS"/>
    <x v="24"/>
    <x v="0"/>
    <m/>
    <s v="New Home Construction"/>
    <m/>
    <x v="0"/>
    <n v="222413.58812681277"/>
    <n v="241753.90013783998"/>
    <n v="548567.62690825853"/>
    <n v="414938.553068512"/>
    <n v="1413576659"/>
    <n v="146567226"/>
    <n v="1670963"/>
    <n v="1976161463"/>
    <n v="279743809"/>
    <n v="1805555"/>
    <n v="7.6743407259581805E-5"/>
    <n v="8.3416747021284582E-5"/>
    <n v="2.7759251315197746E-4"/>
    <n v="1.8928226982804398E-4"/>
    <n v="5.7065690940243677E-2"/>
    <n v="2.1403444873919757E-2"/>
    <m/>
    <m/>
  </r>
  <r>
    <x v="0"/>
    <x v="0"/>
    <x v="2"/>
    <x v="2"/>
    <s v="CMS"/>
    <x v="24"/>
    <x v="0"/>
    <m/>
    <s v="Retail Rebates"/>
    <m/>
    <x v="6"/>
    <n v="867918.60294308339"/>
    <n v="943389.78580769931"/>
    <n v="3206043.8249215866"/>
    <n v="1406578.2649801031"/>
    <n v="1413576659"/>
    <n v="146567226"/>
    <n v="1670963"/>
    <n v="1976161463"/>
    <n v="279743809"/>
    <n v="1805555"/>
    <n v="2.9947374787124618E-4"/>
    <n v="3.2551494333831106E-4"/>
    <n v="1.6223592479404536E-3"/>
    <n v="1.1062396367965586E-3"/>
    <n v="0.33351422336930769"/>
    <n v="0.12509010540200172"/>
    <m/>
    <m/>
  </r>
  <r>
    <x v="0"/>
    <x v="0"/>
    <x v="2"/>
    <x v="2"/>
    <s v="CMS"/>
    <x v="24"/>
    <x v="0"/>
    <m/>
    <s v="Retail Rebates"/>
    <m/>
    <x v="13"/>
    <n v="441781.38828743994"/>
    <n v="480197.16118199995"/>
    <n v="289052.11620136531"/>
    <n v="126814.99265072822"/>
    <n v="1413576659"/>
    <n v="146567226"/>
    <n v="1670963"/>
    <n v="1976161463"/>
    <n v="279743809"/>
    <n v="1805555"/>
    <n v="1.5243587087725787E-4"/>
    <n v="1.6569116399701942E-4"/>
    <n v="1.4626948334604039E-4"/>
    <n v="9.9736911128997345E-5"/>
    <n v="3.0069143565282067E-2"/>
    <n v="1.1277936814598839E-2"/>
    <m/>
    <m/>
  </r>
  <r>
    <x v="0"/>
    <x v="0"/>
    <x v="2"/>
    <x v="2"/>
    <s v="CMS"/>
    <x v="24"/>
    <x v="0"/>
    <m/>
    <s v="Retail Rebates"/>
    <m/>
    <x v="1"/>
    <n v="33762.790045991984"/>
    <n v="36698.684832599982"/>
    <n v="104813.03487704828"/>
    <n v="45984.317369168653"/>
    <n v="1413576659"/>
    <n v="146567226"/>
    <n v="1670963"/>
    <n v="1976161463"/>
    <n v="279743809"/>
    <n v="1805555"/>
    <n v="1.1649789783715801E-5"/>
    <n v="1.2662814982299786E-5"/>
    <n v="5.3038699944048186E-5"/>
    <n v="3.6165548559451386E-5"/>
    <n v="1.090335623433154E-2"/>
    <n v="4.0894866995757062E-3"/>
    <m/>
    <m/>
  </r>
  <r>
    <x v="0"/>
    <x v="0"/>
    <x v="2"/>
    <x v="2"/>
    <s v="CMS"/>
    <x v="24"/>
    <x v="0"/>
    <m/>
    <s v="Think! Energy"/>
    <m/>
    <x v="6"/>
    <n v="0"/>
    <n v="0"/>
    <n v="292033.68207225023"/>
    <n v="0"/>
    <n v="1413576659"/>
    <n v="146567226"/>
    <n v="1670963"/>
    <n v="1976161463"/>
    <n v="279743809"/>
    <n v="1805555"/>
    <n v="0"/>
    <n v="0"/>
    <n v="1.4777824967243086E-4"/>
    <n v="1.0076569505280207E-4"/>
    <n v="3.0379306083374576E-2"/>
    <n v="1.1394268471126063E-2"/>
    <m/>
    <m/>
  </r>
  <r>
    <x v="0"/>
    <x v="0"/>
    <x v="2"/>
    <x v="2"/>
    <s v="CMS"/>
    <x v="24"/>
    <x v="0"/>
    <m/>
    <s v="Think! Energy"/>
    <m/>
    <x v="13"/>
    <n v="1096452.8779358712"/>
    <n v="1191796.6064520339"/>
    <n v="634797.2289509254"/>
    <n v="0"/>
    <n v="1413576659"/>
    <n v="146567226"/>
    <n v="1670963"/>
    <n v="1976161463"/>
    <n v="279743809"/>
    <n v="1805555"/>
    <n v="3.7832908708975165E-4"/>
    <n v="4.1122726857581698E-4"/>
    <n v="3.212274102275242E-4"/>
    <n v="2.1903563841997974E-4"/>
    <n v="6.6035873609973053E-2"/>
    <n v="2.4767862391997093E-2"/>
    <m/>
    <m/>
  </r>
  <r>
    <x v="0"/>
    <x v="0"/>
    <x v="2"/>
    <x v="2"/>
    <s v="CMS"/>
    <x v="24"/>
    <x v="0"/>
    <m/>
    <s v="Think! Energy"/>
    <m/>
    <x v="1"/>
    <n v="268948.44329903042"/>
    <n v="292335.26445546781"/>
    <n v="146301.41266432445"/>
    <n v="0"/>
    <n v="1413576659"/>
    <n v="146567226"/>
    <n v="1670963"/>
    <n v="1976161463"/>
    <n v="279743809"/>
    <n v="1805555"/>
    <n v="9.2800175069158937E-5"/>
    <n v="1.0086975550995536E-4"/>
    <n v="7.403312705138226E-5"/>
    <n v="5.0481038453229533E-5"/>
    <n v="1.5219256094781598E-2"/>
    <n v="5.7082373573261111E-3"/>
    <m/>
    <m/>
  </r>
  <r>
    <x v="0"/>
    <x v="0"/>
    <x v="2"/>
    <x v="2"/>
    <s v="CMS"/>
    <x v="24"/>
    <x v="1"/>
    <n v="1"/>
    <s v="Income-Qualified Energy Assistance"/>
    <m/>
    <x v="5"/>
    <n v="0"/>
    <n v="0"/>
    <n v="0"/>
    <n v="0"/>
    <n v="0"/>
    <n v="0"/>
    <n v="0"/>
    <n v="1976161463"/>
    <n v="279743809"/>
    <n v="1805555"/>
    <n v="0"/>
    <n v="0"/>
    <n v="0"/>
    <n v="0"/>
    <n v="0"/>
    <n v="0"/>
    <m/>
    <m/>
  </r>
  <r>
    <x v="0"/>
    <x v="0"/>
    <x v="2"/>
    <x v="2"/>
    <s v="CMS"/>
    <x v="24"/>
    <x v="1"/>
    <n v="1"/>
    <s v="Income-Qualified Energy Assistance"/>
    <m/>
    <x v="6"/>
    <n v="232528.51948127008"/>
    <n v="232528.51948127008"/>
    <n v="8399002.2552273348"/>
    <n v="8399002.2552273348"/>
    <n v="0"/>
    <n v="0"/>
    <n v="0"/>
    <n v="1976161463"/>
    <n v="279743809"/>
    <n v="1805555"/>
    <n v="8.0233546072032593E-5"/>
    <n v="8.0233546072032593E-5"/>
    <n v="4.2501599249268095E-3"/>
    <n v="2.8980605729877723E-3"/>
    <n v="3.0762307472428398"/>
    <n v="0.32770359195066018"/>
    <m/>
    <m/>
  </r>
  <r>
    <x v="0"/>
    <x v="0"/>
    <x v="2"/>
    <x v="2"/>
    <s v="CMS"/>
    <x v="24"/>
    <x v="1"/>
    <n v="1"/>
    <s v="Income-Qualified Energy Assistance"/>
    <m/>
    <x v="17"/>
    <n v="7622.4452390376937"/>
    <n v="7622.4452390376937"/>
    <n v="212698.24403118747"/>
    <n v="212698.24403118747"/>
    <n v="0"/>
    <n v="0"/>
    <n v="0"/>
    <n v="1976161463"/>
    <n v="279743809"/>
    <n v="1805555"/>
    <n v="2.6301109757727504E-6"/>
    <n v="2.6301109757727504E-6"/>
    <n v="1.0763201692451355E-4"/>
    <n v="7.3391145309774876E-5"/>
    <n v="7.7903167339438889E-2"/>
    <n v="8.2988403208532763E-3"/>
    <m/>
    <m/>
  </r>
  <r>
    <x v="0"/>
    <x v="0"/>
    <x v="2"/>
    <x v="2"/>
    <s v="CMS"/>
    <x v="24"/>
    <x v="1"/>
    <n v="1"/>
    <s v="Income-Qualified Energy Assistance"/>
    <m/>
    <x v="9"/>
    <n v="196204.66176795145"/>
    <n v="196204.66176795145"/>
    <n v="4016513.6767661748"/>
    <n v="4016513.6767661748"/>
    <n v="0"/>
    <n v="0"/>
    <n v="0"/>
    <n v="1976161463"/>
    <n v="279743809"/>
    <n v="1805555"/>
    <n v="6.7700064510901943E-5"/>
    <n v="6.7700064510901943E-5"/>
    <n v="2.032482543541117E-3"/>
    <n v="1.3858907967619237E-3"/>
    <n v="1.4710941244836069"/>
    <n v="0.15671218068503809"/>
    <m/>
    <m/>
  </r>
  <r>
    <x v="0"/>
    <x v="0"/>
    <x v="2"/>
    <x v="2"/>
    <s v="CMS"/>
    <x v="24"/>
    <x v="1"/>
    <n v="1"/>
    <s v="Income-Qualified Energy Assistance"/>
    <m/>
    <x v="13"/>
    <n v="861061.62486782914"/>
    <n v="861061.62486782914"/>
    <n v="1026658.5247557255"/>
    <n v="1026658.5247557255"/>
    <n v="0"/>
    <n v="0"/>
    <n v="0"/>
    <n v="1976161463"/>
    <n v="279743809"/>
    <n v="1805555"/>
    <n v="2.971077599591263E-4"/>
    <n v="2.971077599591263E-4"/>
    <n v="5.1952157957637767E-4"/>
    <n v="3.5424667146202905E-4"/>
    <n v="0.37602544026070789"/>
    <n v="4.0057101551535503E-2"/>
    <m/>
    <m/>
  </r>
  <r>
    <x v="0"/>
    <x v="0"/>
    <x v="2"/>
    <x v="2"/>
    <s v="CMS"/>
    <x v="24"/>
    <x v="1"/>
    <n v="1"/>
    <s v="Income-Qualified Energy Assistance"/>
    <m/>
    <x v="1"/>
    <n v="461855.31079415051"/>
    <n v="461855.31079415051"/>
    <n v="7345127.2815872142"/>
    <n v="7345127.2815872142"/>
    <n v="0"/>
    <n v="0"/>
    <n v="0"/>
    <n v="1976161463"/>
    <n v="279743809"/>
    <n v="1805555"/>
    <n v="1.5936234161676778E-4"/>
    <n v="1.5936234161676778E-4"/>
    <n v="3.7168659641994115E-3"/>
    <n v="2.5344229149476039E-3"/>
    <n v="2.6902369709411658"/>
    <n v="0.28658458711721918"/>
    <m/>
    <m/>
  </r>
  <r>
    <x v="0"/>
    <x v="0"/>
    <x v="2"/>
    <x v="2"/>
    <s v="CMS"/>
    <x v="24"/>
    <x v="1"/>
    <n v="1"/>
    <s v="Income-Qualified Multifamily"/>
    <m/>
    <x v="6"/>
    <n v="425972.46080388007"/>
    <n v="425972.46080388007"/>
    <n v="9773103.8836548999"/>
    <n v="9461130.2931451611"/>
    <n v="0"/>
    <n v="0"/>
    <n v="0"/>
    <n v="1976161463"/>
    <n v="279743809"/>
    <n v="1805555"/>
    <n v="1.4698102897471959E-4"/>
    <n v="1.4698102897471959E-4"/>
    <n v="4.9454986683215669E-3"/>
    <n v="3.3721918604446574E-3"/>
    <n v="3.5795112025581739"/>
    <n v="0.38131686953499588"/>
    <m/>
    <m/>
  </r>
  <r>
    <x v="0"/>
    <x v="0"/>
    <x v="2"/>
    <x v="2"/>
    <s v="CMS"/>
    <x v="24"/>
    <x v="1"/>
    <n v="1"/>
    <s v="Income-Qualified Multifamily"/>
    <m/>
    <x v="17"/>
    <n v="39035.650800000003"/>
    <n v="39035.650800000003"/>
    <n v="190960.45557077174"/>
    <n v="184864.68296065702"/>
    <n v="0"/>
    <n v="0"/>
    <n v="0"/>
    <n v="1976161463"/>
    <n v="279743809"/>
    <n v="1805555"/>
    <n v="1.3469180872524553E-5"/>
    <n v="1.3469180872524553E-5"/>
    <n v="9.6632010666211301E-5"/>
    <n v="6.5890560625222441E-5"/>
    <n v="6.9941453411171653E-2"/>
    <n v="7.4506977506916452E-3"/>
    <m/>
    <m/>
  </r>
  <r>
    <x v="0"/>
    <x v="0"/>
    <x v="2"/>
    <x v="2"/>
    <s v="CMS"/>
    <x v="24"/>
    <x v="1"/>
    <n v="1"/>
    <s v="Income-Qualified Multifamily"/>
    <m/>
    <x v="9"/>
    <n v="163473.92723880004"/>
    <n v="163473.92723880004"/>
    <n v="215235.16511850012"/>
    <n v="208364.50375386688"/>
    <n v="0"/>
    <n v="0"/>
    <n v="0"/>
    <n v="1976161463"/>
    <n v="279743809"/>
    <n v="1805555"/>
    <n v="5.6406383621028696E-5"/>
    <n v="5.6406383621028696E-5"/>
    <n v="1.0891577897271248E-4"/>
    <n v="7.4266505353326023E-5"/>
    <n v="7.8832343736226121E-2"/>
    <n v="8.3978232866323745E-3"/>
    <m/>
    <m/>
  </r>
  <r>
    <x v="0"/>
    <x v="0"/>
    <x v="2"/>
    <x v="2"/>
    <s v="CMS"/>
    <x v="24"/>
    <x v="1"/>
    <n v="1"/>
    <s v="Income-Qualified Multifamily"/>
    <m/>
    <x v="13"/>
    <n v="295885.15173206612"/>
    <n v="295885.15173206612"/>
    <n v="198997.36776598659"/>
    <n v="192645.04366680546"/>
    <n v="0"/>
    <n v="0"/>
    <n v="0"/>
    <n v="1976161463"/>
    <n v="279743809"/>
    <n v="1805555"/>
    <n v="1.0209463770932109E-4"/>
    <n v="1.0209463770932109E-4"/>
    <n v="1.0069894160565695E-4"/>
    <n v="6.8663682676359022E-5"/>
    <n v="7.2885064527887761E-2"/>
    <n v="7.7642736868005812E-3"/>
    <m/>
    <m/>
  </r>
  <r>
    <x v="0"/>
    <x v="0"/>
    <x v="2"/>
    <x v="2"/>
    <s v="CMS"/>
    <x v="24"/>
    <x v="1"/>
    <n v="1"/>
    <s v="Income-Qualified Multifamily"/>
    <m/>
    <x v="1"/>
    <n v="46650.31500000001"/>
    <n v="46650.31500000001"/>
    <n v="122227.49404740048"/>
    <n v="118325.79090058865"/>
    <n v="0"/>
    <n v="0"/>
    <n v="0"/>
    <n v="1976161463"/>
    <n v="279743809"/>
    <n v="1805555"/>
    <n v="1.6096607014817473E-5"/>
    <n v="1.6096607014817473E-5"/>
    <n v="6.1850965285927388E-5"/>
    <n v="4.2174376273492412E-5"/>
    <n v="4.476721923881391E-2"/>
    <n v="4.7689460744616656E-3"/>
    <m/>
    <m/>
  </r>
  <r>
    <x v="0"/>
    <x v="0"/>
    <x v="2"/>
    <x v="2"/>
    <s v="CMS"/>
    <x v="24"/>
    <x v="4"/>
    <m/>
    <s v="Overhead"/>
    <m/>
    <x v="4"/>
    <m/>
    <n v="0"/>
    <n v="6042959.9999999981"/>
    <n v="0"/>
    <n v="0"/>
    <n v="0"/>
    <n v="0"/>
    <n v="1976161463"/>
    <n v="279743809"/>
    <n v="1805555"/>
    <n v="0"/>
    <n v="0"/>
    <n v="3.0579282680809963E-3"/>
    <n v="2.0851124440694848E-3"/>
    <s v=""/>
    <n v="0.23577796955366581"/>
    <m/>
    <m/>
  </r>
  <r>
    <x v="0"/>
    <x v="0"/>
    <x v="3"/>
    <x v="2"/>
    <s v="CMS"/>
    <x v="24"/>
    <x v="0"/>
    <m/>
    <s v="Assessments and Behavior"/>
    <m/>
    <x v="19"/>
    <n v="3324010.9168744623"/>
    <n v="3613055.3444287633"/>
    <n v="5345906.2386339214"/>
    <n v="133206.19899999999"/>
    <n v="1413576659"/>
    <n v="146567226"/>
    <n v="1670963"/>
    <n v="1976161463"/>
    <n v="279743809"/>
    <n v="1805555"/>
    <n v="1.1469439690148142E-3"/>
    <n v="1.2466782271900155E-3"/>
    <n v="2.7051970897754123E-3"/>
    <n v="1.8445953014754831E-3"/>
    <n v="0.3948131924159563"/>
    <n v="0.17491112601563946"/>
    <m/>
    <m/>
  </r>
  <r>
    <x v="0"/>
    <x v="0"/>
    <x v="3"/>
    <x v="2"/>
    <s v="CMS"/>
    <x v="24"/>
    <x v="0"/>
    <m/>
    <s v="Contractor Rebates - Res"/>
    <m/>
    <x v="2"/>
    <n v="1249187"/>
    <n v="1357811.956521739"/>
    <n v="11608160.238064013"/>
    <n v="3037468"/>
    <n v="1413576659"/>
    <n v="146567226"/>
    <n v="1670963"/>
    <n v="1976161463"/>
    <n v="279743809"/>
    <n v="1805555"/>
    <n v="4.3102972031418843E-4"/>
    <n v="4.6851056555890044E-4"/>
    <n v="5.8740950349480698E-3"/>
    <n v="4.00537474435374E-3"/>
    <n v="0.85730175522815799"/>
    <n v="0.37980396355185458"/>
    <m/>
    <m/>
  </r>
  <r>
    <x v="0"/>
    <x v="0"/>
    <x v="3"/>
    <x v="2"/>
    <s v="CMS"/>
    <x v="24"/>
    <x v="0"/>
    <m/>
    <s v="Contractor Rebates - Res (Furnace) "/>
    <s v="Furnace "/>
    <x v="20"/>
    <n v="1797946.92"/>
    <n v="1954289.68"/>
    <m/>
    <n v="4660400"/>
    <n v="1413576659"/>
    <n v="146567226"/>
    <n v="1670963"/>
    <n v="1976161463"/>
    <n v="279743809"/>
    <n v="1805555"/>
    <m/>
    <n v="6.743241277593385E-4"/>
    <m/>
    <m/>
    <n v="0"/>
    <n v="0"/>
    <m/>
    <m/>
  </r>
  <r>
    <x v="0"/>
    <x v="0"/>
    <x v="3"/>
    <x v="2"/>
    <s v="CMS"/>
    <x v="24"/>
    <x v="1"/>
    <n v="1"/>
    <s v="Income-Qualified Energy Assistance"/>
    <m/>
    <x v="3"/>
    <n v="1759272.5621502388"/>
    <n v="1759272.5621502388"/>
    <n v="21297999.982367638"/>
    <n v="0"/>
    <n v="0"/>
    <n v="0"/>
    <n v="0"/>
    <n v="1976161463"/>
    <n v="279743809"/>
    <n v="1805555"/>
    <n v="6.0703382313460127E-4"/>
    <n v="6.0703382313460127E-4"/>
    <n v="1.0777459423803995E-2"/>
    <n v="7.3488364637572393E-3"/>
    <n v="7.8846841606371338"/>
    <n v="0.69684296590823391"/>
    <m/>
    <m/>
  </r>
  <r>
    <x v="0"/>
    <x v="0"/>
    <x v="3"/>
    <x v="2"/>
    <s v="CMS"/>
    <x v="24"/>
    <x v="1"/>
    <n v="1"/>
    <s v="Income-Qualified Multifamily"/>
    <m/>
    <x v="3"/>
    <n v="941913.62977030396"/>
    <n v="941913.62977030396"/>
    <n v="10802833.857269278"/>
    <n v="10490945.940921078"/>
    <n v="0"/>
    <n v="0"/>
    <n v="0"/>
    <n v="1976161463"/>
    <n v="279743809"/>
    <n v="1805555"/>
    <n v="3.2500559836118705E-4"/>
    <n v="3.2500559836118705E-4"/>
    <n v="5.4665744978497632E-3"/>
    <n v="3.7274983297932354E-3"/>
    <n v="3.9992925661997649"/>
    <n v="0.35345472774653264"/>
    <m/>
    <m/>
  </r>
  <r>
    <x v="0"/>
    <x v="0"/>
    <x v="3"/>
    <x v="2"/>
    <s v="CMS"/>
    <x v="24"/>
    <x v="0"/>
    <m/>
    <s v="Market Rate Multifamily"/>
    <m/>
    <x v="2"/>
    <n v="1904248.9267253214"/>
    <n v="2069835.7899188276"/>
    <n v="2803658.2106582867"/>
    <n v="1143606.6767500001"/>
    <n v="1413576659"/>
    <n v="146567226"/>
    <n v="1670963"/>
    <n v="1976161463"/>
    <n v="279743809"/>
    <n v="1805555"/>
    <n v="6.5705765613555773E-4"/>
    <n v="7.1419310449517132E-4"/>
    <n v="1.4187394416658992E-3"/>
    <n v="9.6739720666050755E-4"/>
    <n v="0.20705960770386905"/>
    <n v="9.1732064256059051E-2"/>
    <m/>
    <m/>
  </r>
  <r>
    <x v="0"/>
    <x v="0"/>
    <x v="3"/>
    <x v="2"/>
    <s v="CMS"/>
    <x v="24"/>
    <x v="0"/>
    <m/>
    <s v="New Home Construction"/>
    <m/>
    <x v="0"/>
    <n v="532763.35048630566"/>
    <n v="579090.59835468"/>
    <n v="958979.83602523664"/>
    <n v="665680"/>
    <n v="1413576659"/>
    <n v="146567226"/>
    <n v="1670963"/>
    <n v="1976161463"/>
    <n v="279743809"/>
    <n v="1805555"/>
    <n v="1.838290327659208E-4"/>
    <n v="1.998141660499139E-4"/>
    <n v="4.8527402946589929E-4"/>
    <n v="3.3089426203515094E-4"/>
    <n v="7.0823892829890892E-2"/>
    <n v="3.1376577788302232E-2"/>
    <m/>
    <m/>
  </r>
  <r>
    <x v="0"/>
    <x v="0"/>
    <x v="3"/>
    <x v="2"/>
    <s v="CMS"/>
    <x v="24"/>
    <x v="0"/>
    <m/>
    <s v="Retail Rebates"/>
    <m/>
    <x v="2"/>
    <n v="1343977.692843636"/>
    <n v="1460845.3183082999"/>
    <n v="3504379.3547554398"/>
    <n v="1580945.7250000001"/>
    <n v="1413576659"/>
    <n v="146567226"/>
    <n v="1670963"/>
    <n v="1976161463"/>
    <n v="279743809"/>
    <n v="1805555"/>
    <n v="4.6373707783934731E-4"/>
    <n v="5.0406204112972528E-4"/>
    <n v="1.7733264312499346E-3"/>
    <n v="1.2091797730484335E-3"/>
    <n v="0.25881022575530982"/>
    <n v="0.11465875224232643"/>
    <m/>
    <m/>
  </r>
  <r>
    <x v="0"/>
    <x v="0"/>
    <x v="3"/>
    <x v="2"/>
    <s v="CMS"/>
    <x v="24"/>
    <x v="0"/>
    <m/>
    <s v="Think! Energy"/>
    <m/>
    <x v="13"/>
    <n v="1365401.3212349017"/>
    <n v="1484131.8709075018"/>
    <n v="1069546.3023385052"/>
    <n v="0"/>
    <n v="1413576659"/>
    <n v="146567226"/>
    <n v="1670963"/>
    <n v="1976161463"/>
    <n v="279743809"/>
    <n v="1805555"/>
    <n v="4.7112926215891061E-4"/>
    <n v="5.1209702408577243E-4"/>
    <n v="5.4122414709718749E-4"/>
    <n v="3.690450217301656E-4"/>
    <n v="7.8989598996568419E-2"/>
    <n v="3.4994169317061626E-2"/>
    <m/>
    <m/>
  </r>
  <r>
    <x v="0"/>
    <x v="0"/>
    <x v="3"/>
    <x v="2"/>
    <s v="CMS"/>
    <x v="24"/>
    <x v="2"/>
    <m/>
    <s v="Prescriptive Solutions"/>
    <m/>
    <x v="2"/>
    <n v="8044216.8359524915"/>
    <n v="8743713.9521222729"/>
    <n v="14433682.51950692"/>
    <n v="9447665.6790909078"/>
    <n v="562584804"/>
    <n v="133176583"/>
    <n v="134592"/>
    <n v="1976161463"/>
    <n v="279743809"/>
    <n v="1805555"/>
    <n v="2.7756425042425904E-3"/>
    <n v="3.0170027220028151E-3"/>
    <n v="7.3038983857094475E-3"/>
    <n v="4.980316109186902E-3"/>
    <n v="1.0077960193962385"/>
    <n v="0.47225139187707482"/>
    <m/>
    <m/>
  </r>
  <r>
    <x v="0"/>
    <x v="0"/>
    <x v="3"/>
    <x v="2"/>
    <s v="CMS"/>
    <x v="24"/>
    <x v="2"/>
    <m/>
    <s v="Custom Solutions"/>
    <m/>
    <x v="15"/>
    <n v="3097336.3632000005"/>
    <n v="3366669.9600000004"/>
    <n v="3686575.8430995862"/>
    <n v="3600770.48"/>
    <n v="562584804"/>
    <n v="133176583"/>
    <n v="134592"/>
    <n v="1976161463"/>
    <n v="279743809"/>
    <n v="1805555"/>
    <n v="1.0687303232815117E-3"/>
    <n v="1.1616633948712085E-3"/>
    <n v="1.8655235982099436E-3"/>
    <n v="1.2720463425958308E-3"/>
    <n v="0.2574059984246499"/>
    <n v="0.12061998528866462"/>
    <m/>
    <m/>
  </r>
  <r>
    <x v="0"/>
    <x v="0"/>
    <x v="3"/>
    <x v="2"/>
    <s v="CMS"/>
    <x v="24"/>
    <x v="2"/>
    <m/>
    <s v="Energy Assessments"/>
    <m/>
    <x v="1"/>
    <n v="2084825.8639684489"/>
    <n v="2266115.0695309225"/>
    <n v="4250858.8015434789"/>
    <n v="0"/>
    <n v="562584804"/>
    <n v="133176583"/>
    <n v="134592"/>
    <n v="1976161463"/>
    <n v="279743809"/>
    <n v="1805555"/>
    <n v="7.1936540249787012E-4"/>
    <n v="7.8191891575855443E-4"/>
    <n v="2.1510685645545749E-3"/>
    <n v="1.4667511592134661E-3"/>
    <n v="0.29680565395707015"/>
    <n v="0.13908259260855635"/>
    <m/>
    <m/>
  </r>
  <r>
    <x v="0"/>
    <x v="0"/>
    <x v="3"/>
    <x v="2"/>
    <s v="CMS"/>
    <x v="24"/>
    <x v="2"/>
    <m/>
    <s v="Contractor Rebates - Bus"/>
    <m/>
    <x v="4"/>
    <n v="0"/>
    <n v="0"/>
    <n v="0"/>
    <n v="0"/>
    <n v="562584804"/>
    <n v="133176583"/>
    <n v="134592"/>
    <n v="1976161463"/>
    <n v="279743809"/>
    <n v="1805555"/>
    <n v="0"/>
    <n v="0"/>
    <n v="0"/>
    <n v="0"/>
    <n v="0"/>
    <n v="0"/>
    <m/>
    <m/>
  </r>
  <r>
    <x v="0"/>
    <x v="0"/>
    <x v="3"/>
    <x v="2"/>
    <s v="CMS"/>
    <x v="24"/>
    <x v="2"/>
    <m/>
    <s v="Small Business Store"/>
    <m/>
    <x v="2"/>
    <n v="62100.258829574617"/>
    <n v="67500.281336494139"/>
    <n v="90224.877100539656"/>
    <n v="25662.449999999997"/>
    <n v="562584804"/>
    <n v="133176583"/>
    <n v="134592"/>
    <n v="1976161463"/>
    <n v="279743809"/>
    <n v="1805555"/>
    <n v="2.1427582255299056E-5"/>
    <n v="2.3290850277498968E-5"/>
    <n v="4.5656632208367103E-5"/>
    <n v="3.1131931041571548E-5"/>
    <n v="6.2997278670602888E-3"/>
    <n v="2.9520410841157576E-3"/>
    <m/>
    <m/>
  </r>
  <r>
    <x v="0"/>
    <x v="0"/>
    <x v="3"/>
    <x v="2"/>
    <s v="CMS"/>
    <x v="24"/>
    <x v="0"/>
    <m/>
    <s v="Residential Pilots"/>
    <m/>
    <x v="2"/>
    <n v="1105900.633890392"/>
    <n v="1202065.9064026"/>
    <n v="4734596.9237865154"/>
    <n v="0"/>
    <n v="1413576659"/>
    <n v="146567226"/>
    <n v="1670963"/>
    <n v="1976161463"/>
    <n v="279743809"/>
    <n v="1805555"/>
    <n v="3.8158901823430713E-4"/>
    <n v="4.1477067199381206E-4"/>
    <n v="2.3958553045554027E-3"/>
    <n v="1.633664125435278E-3"/>
    <n v="0.34966593928901218"/>
    <n v="0.15490987724118804"/>
    <m/>
    <m/>
  </r>
  <r>
    <x v="0"/>
    <x v="0"/>
    <x v="3"/>
    <x v="2"/>
    <s v="CMS"/>
    <x v="24"/>
    <x v="2"/>
    <m/>
    <s v="Business Pilots"/>
    <m/>
    <x v="2"/>
    <n v="1033548.3917072624"/>
    <n v="1123422.1648991981"/>
    <n v="1920051.5476528187"/>
    <n v="0"/>
    <n v="562584804"/>
    <n v="133176583"/>
    <n v="134592"/>
    <n v="1976161463"/>
    <n v="279743809"/>
    <n v="1805555"/>
    <n v="3.5662400762156553E-4"/>
    <n v="3.8763479089300602E-4"/>
    <n v="9.7160661393426776E-4"/>
    <n v="6.6251032197230618E-4"/>
    <n v="0.13406282867486832"/>
    <n v="6.2821599036096257E-2"/>
    <m/>
    <m/>
  </r>
  <r>
    <x v="0"/>
    <x v="0"/>
    <x v="3"/>
    <x v="2"/>
    <s v="CMS"/>
    <x v="24"/>
    <x v="0"/>
    <m/>
    <s v="Education and Awareness"/>
    <m/>
    <x v="2"/>
    <n v="916906.72525613743"/>
    <n v="996637.74484362756"/>
    <n v="2851992.2020454281"/>
    <n v="0"/>
    <n v="1413576659"/>
    <n v="146567226"/>
    <n v="1670963"/>
    <n v="1976161463"/>
    <n v="279743809"/>
    <n v="1805555"/>
    <n v="3.1637701108108826E-4"/>
    <n v="3.4388805552292197E-4"/>
    <n v="1.4431979650670012E-3"/>
    <n v="9.8407476317467855E-4"/>
    <n v="0.21062923586230062"/>
    <n v="9.3313489833121821E-2"/>
    <m/>
    <m/>
  </r>
  <r>
    <x v="0"/>
    <x v="0"/>
    <x v="3"/>
    <x v="2"/>
    <s v="CMS"/>
    <x v="24"/>
    <x v="3"/>
    <m/>
    <s v="Overhead"/>
    <m/>
    <x v="4"/>
    <n v="0"/>
    <n v="0"/>
    <n v="5706959.9999999963"/>
    <n v="0"/>
    <n v="0"/>
    <n v="0"/>
    <n v="0"/>
    <n v="1976161463"/>
    <n v="279743809"/>
    <n v="1805555"/>
    <n v="0"/>
    <n v="0"/>
    <n v="2.8879016754715433E-3"/>
    <n v="1.9691762503486342E-3"/>
    <s v=""/>
    <n v="0.18672433730923294"/>
    <m/>
    <m/>
  </r>
  <r>
    <x v="0"/>
    <x v="0"/>
    <x v="1"/>
    <x v="5"/>
    <s v="Enbridge"/>
    <x v="9"/>
    <x v="0"/>
    <m/>
    <s v="Residential "/>
    <m/>
    <x v="2"/>
    <n v="7973571.7680000002"/>
    <n v="8582962.0753498375"/>
    <n v="50760047.452799998"/>
    <n v="45772497.168814518"/>
    <n v="1047994412.7701588"/>
    <n v="270776347.77599996"/>
    <n v="3711979"/>
    <n v="3425062807.5999999"/>
    <n v="884953189.29599977"/>
    <n v="3728492"/>
    <m/>
    <n v="9.361752156105042E-4"/>
    <m/>
    <m/>
    <n v="6.3660363171888861"/>
    <n v="1.2388572438493937"/>
    <m/>
    <m/>
  </r>
  <r>
    <x v="0"/>
    <x v="0"/>
    <x v="1"/>
    <x v="5"/>
    <s v="Enbridge"/>
    <x v="9"/>
    <x v="0"/>
    <m/>
    <s v="Whole Home"/>
    <m/>
    <x v="8"/>
    <m/>
    <m/>
    <n v="44400000"/>
    <n v="41078152.923214518"/>
    <n v="1047994412.7701588"/>
    <n v="270776347.77599996"/>
    <n v="3711979"/>
    <n v="3425062807.5999999"/>
    <n v="884953189.29599977"/>
    <n v="3728492"/>
    <n v="0"/>
    <n v="0"/>
    <n v="1.2963265929453667E-2"/>
    <n v="4.8428711682746385E-3"/>
    <n v="5.5683953555404928"/>
    <n v="1.083632982771747"/>
    <m/>
    <m/>
  </r>
  <r>
    <x v="0"/>
    <x v="0"/>
    <x v="1"/>
    <x v="5"/>
    <s v="Enbridge"/>
    <x v="9"/>
    <x v="0"/>
    <m/>
    <s v="Single Measure"/>
    <m/>
    <x v="8"/>
    <m/>
    <m/>
    <n v="3416893.5527999997"/>
    <n v="2632796.7456"/>
    <n v="1047994412.7701588"/>
    <n v="270776347.77599996"/>
    <n v="3711979"/>
    <n v="3425062807.5999999"/>
    <n v="884953189.29599977"/>
    <n v="3728492"/>
    <n v="0"/>
    <n v="0"/>
    <n v="9.9761485985545351E-4"/>
    <n v="3.726931367549238E-4"/>
    <n v="0.42852734661684172"/>
    <n v="8.3393210640410262E-2"/>
    <m/>
    <m/>
  </r>
  <r>
    <x v="0"/>
    <x v="0"/>
    <x v="1"/>
    <x v="5"/>
    <s v="Enbridge"/>
    <x v="9"/>
    <x v="0"/>
    <m/>
    <s v="Smart Home "/>
    <m/>
    <x v="8"/>
    <m/>
    <m/>
    <n v="2943153.9"/>
    <n v="2061547.5"/>
    <n v="1047994412.7701588"/>
    <n v="270776347.77599996"/>
    <n v="3711979"/>
    <n v="3425062807.5999999"/>
    <n v="884953189.29599977"/>
    <n v="3728492"/>
    <n v="0"/>
    <n v="0"/>
    <n v="8.5929924948217754E-4"/>
    <n v="3.2102061184921304E-4"/>
    <n v="0.36911361503155155"/>
    <n v="7.1831050437236491E-2"/>
    <m/>
    <m/>
  </r>
  <r>
    <x v="0"/>
    <x v="0"/>
    <x v="1"/>
    <x v="5"/>
    <s v="Enbridge"/>
    <x v="9"/>
    <x v="2"/>
    <m/>
    <s v="Large Commercial "/>
    <m/>
    <x v="2"/>
    <n v="5539576.6090000002"/>
    <n v="10053678.056261344"/>
    <n v="8835028.6457039993"/>
    <n v="7826528.8083840003"/>
    <n v="2377068394.8298411"/>
    <n v="614176841.51999986"/>
    <n v="16513"/>
    <n v="3425062807.5999999"/>
    <n v="884953189.29599977"/>
    <n v="3728492"/>
    <m/>
    <n v="1.0965916124726007E-3"/>
    <m/>
    <m/>
    <n v="0.29295829673746743"/>
    <n v="0.21562901901392012"/>
    <m/>
    <m/>
  </r>
  <r>
    <x v="0"/>
    <x v="0"/>
    <x v="1"/>
    <x v="5"/>
    <s v="Enbridge"/>
    <x v="9"/>
    <x v="2"/>
    <m/>
    <s v="Large Custom "/>
    <m/>
    <x v="8"/>
    <m/>
    <m/>
    <n v="7042331.3600000003"/>
    <n v="6479203.2000000002"/>
    <n v="2377068394.8298411"/>
    <n v="614176841.51999986"/>
    <n v="16513"/>
    <n v="3425062807.5999999"/>
    <n v="884953189.29599977"/>
    <n v="3728492"/>
    <n v="0"/>
    <n v="0"/>
    <n v="2.0561174365543045E-3"/>
    <n v="7.6813296172928663E-4"/>
    <n v="0.23351473809761014"/>
    <n v="0.17187618327260842"/>
    <m/>
    <m/>
  </r>
  <r>
    <x v="0"/>
    <x v="0"/>
    <x v="1"/>
    <x v="5"/>
    <s v="Enbridge"/>
    <x v="9"/>
    <x v="2"/>
    <m/>
    <s v="Large Prescriptive "/>
    <m/>
    <x v="8"/>
    <m/>
    <m/>
    <n v="1081689.2279999999"/>
    <n v="950173.03583999991"/>
    <n v="2377068394.8298411"/>
    <n v="614176841.51999986"/>
    <n v="16513"/>
    <n v="3425062807.5999999"/>
    <n v="884953189.29599977"/>
    <n v="3728492"/>
    <n v="0"/>
    <n v="0"/>
    <n v="3.158158809817441E-4"/>
    <n v="1.1798381926383901E-4"/>
    <n v="3.586743705559263E-2"/>
    <n v="2.6399867670488925E-2"/>
    <m/>
    <m/>
  </r>
  <r>
    <x v="0"/>
    <x v="0"/>
    <x v="1"/>
    <x v="5"/>
    <s v="Enbridge"/>
    <x v="9"/>
    <x v="2"/>
    <m/>
    <s v="Large Direct Install "/>
    <m/>
    <x v="8"/>
    <m/>
    <m/>
    <n v="352682.74199999997"/>
    <n v="320150.83536000003"/>
    <n v="2377068394.8298411"/>
    <n v="614176841.51999986"/>
    <n v="16513"/>
    <n v="3425062807.5999999"/>
    <n v="884953189.29599977"/>
    <n v="3728492"/>
    <n v="0"/>
    <n v="0"/>
    <n v="1.0297117507375896E-4"/>
    <n v="3.8468402765311776E-5"/>
    <n v="1.1694510513586085E-2"/>
    <n v="8.6076272902157313E-3"/>
    <m/>
    <m/>
  </r>
  <r>
    <x v="0"/>
    <x v="0"/>
    <x v="1"/>
    <x v="5"/>
    <s v="Enbridge"/>
    <x v="9"/>
    <x v="2"/>
    <m/>
    <s v="Large Midstream "/>
    <m/>
    <x v="8"/>
    <m/>
    <m/>
    <n v="358325.31570400001"/>
    <n v="77001.737183999998"/>
    <n v="2377068394.8298411"/>
    <n v="614176841.51999986"/>
    <n v="16513"/>
    <n v="3425062807.5999999"/>
    <n v="884953189.29599977"/>
    <n v="3728492"/>
    <n v="0"/>
    <n v="0"/>
    <n v="1.0461861163798181E-4"/>
    <n v="3.9083859015446156E-5"/>
    <n v="1.1881611070678592E-2"/>
    <n v="8.7453407806070606E-3"/>
    <m/>
    <m/>
  </r>
  <r>
    <x v="0"/>
    <x v="0"/>
    <x v="1"/>
    <x v="5"/>
    <s v="Enbridge"/>
    <x v="9"/>
    <x v="2"/>
    <m/>
    <s v="Small Commercial "/>
    <m/>
    <x v="2"/>
    <n v="3122194.9109999998"/>
    <n v="5666415.44646098"/>
    <n v="7089154.9328159997"/>
    <n v="5442613.9575359998"/>
    <n v="2377068394.8298411"/>
    <n v="614176841.51999986"/>
    <n v="16513"/>
    <n v="3425062807.5999999"/>
    <n v="884953189.29599977"/>
    <n v="3728492"/>
    <m/>
    <n v="6.1805675660207089E-4"/>
    <m/>
    <m/>
    <n v="0.23506734813312008"/>
    <n v="0.17301896633284788"/>
    <m/>
    <m/>
  </r>
  <r>
    <x v="0"/>
    <x v="0"/>
    <x v="1"/>
    <x v="5"/>
    <s v="Enbridge"/>
    <x v="9"/>
    <x v="2"/>
    <m/>
    <s v="Small Custom "/>
    <m/>
    <x v="8"/>
    <m/>
    <m/>
    <n v="1760582.84"/>
    <n v="1619800.8"/>
    <n v="2377068394.8298411"/>
    <n v="614176841.51999986"/>
    <n v="16513"/>
    <n v="3425062807.5999999"/>
    <n v="884953189.29599977"/>
    <n v="3728492"/>
    <n v="3.4054927288774099E-4"/>
    <n v="0"/>
    <n v="5.1402935913857613E-4"/>
    <n v="1.9203324043232166E-4"/>
    <n v="5.8378684524402535E-2"/>
    <n v="4.2969045818152106E-2"/>
    <m/>
    <m/>
  </r>
  <r>
    <x v="0"/>
    <x v="0"/>
    <x v="1"/>
    <x v="5"/>
    <s v="Enbridge"/>
    <x v="9"/>
    <x v="2"/>
    <m/>
    <s v="Small Prescriptive "/>
    <m/>
    <x v="8"/>
    <m/>
    <m/>
    <n v="721126.152"/>
    <n v="633448.6905599999"/>
    <n v="2377068394.8298411"/>
    <n v="614176841.51999986"/>
    <n v="16513"/>
    <n v="3425062807.5999999"/>
    <n v="884953189.29599977"/>
    <n v="3728492"/>
    <n v="0"/>
    <n v="0"/>
    <n v="2.105439206544961E-4"/>
    <n v="7.8655879509226012E-5"/>
    <n v="2.3911624703728422E-2"/>
    <n v="1.7599911780325952E-2"/>
    <m/>
    <m/>
  </r>
  <r>
    <x v="0"/>
    <x v="0"/>
    <x v="1"/>
    <x v="5"/>
    <s v="Enbridge"/>
    <x v="9"/>
    <x v="2"/>
    <m/>
    <s v="Small Direct Install"/>
    <m/>
    <x v="8"/>
    <m/>
    <m/>
    <n v="3174144.6780000003"/>
    <n v="2881357.5182400001"/>
    <n v="2377068394.8298411"/>
    <n v="614176841.51999986"/>
    <n v="16513"/>
    <n v="3425062807.5999999"/>
    <n v="884953189.29599977"/>
    <n v="3728492"/>
    <n v="0"/>
    <n v="0"/>
    <n v="9.2674057566383074E-4"/>
    <n v="3.4621562488780608E-4"/>
    <n v="0.10525059462227479"/>
    <n v="7.7468645611941597E-2"/>
    <m/>
    <m/>
  </r>
  <r>
    <x v="0"/>
    <x v="0"/>
    <x v="1"/>
    <x v="5"/>
    <s v="Enbridge"/>
    <x v="9"/>
    <x v="2"/>
    <m/>
    <s v="Small Midstream "/>
    <m/>
    <x v="8"/>
    <m/>
    <m/>
    <n v="1433301.262816"/>
    <n v="308006.94873599999"/>
    <n v="2377068394.8298411"/>
    <n v="614176841.51999986"/>
    <n v="16513"/>
    <n v="3425062807.5999999"/>
    <n v="884953189.29599977"/>
    <n v="3728492"/>
    <n v="0"/>
    <n v="0"/>
    <n v="4.1847444655192722E-4"/>
    <n v="1.5633543606178462E-4"/>
    <n v="4.7526444282714367E-2"/>
    <n v="3.4981363122428243E-2"/>
    <m/>
    <m/>
  </r>
  <r>
    <x v="0"/>
    <x v="0"/>
    <x v="1"/>
    <x v="5"/>
    <s v="Enbridge"/>
    <x v="9"/>
    <x v="2"/>
    <m/>
    <s v="Industrial Custom "/>
    <m/>
    <x v="15"/>
    <n v="18146251.296999998"/>
    <n v="41524602.510297477"/>
    <n v="10265280"/>
    <n v="9963360"/>
    <n v="2377068394.8298411"/>
    <n v="614176841.51999986"/>
    <n v="16513"/>
    <n v="3425062807.5999999"/>
    <n v="884953189.29599977"/>
    <n v="3728492"/>
    <n v="1.9792783157321523E-3"/>
    <n v="4.5292409970987468E-3"/>
    <n v="2.9971070828896879E-3"/>
    <n v="1.1196718141050965E-3"/>
    <n v="0.34038360993831951"/>
    <n v="0.2505359456168279"/>
    <m/>
    <m/>
  </r>
  <r>
    <x v="0"/>
    <x v="0"/>
    <x v="1"/>
    <x v="5"/>
    <s v="Enbridge"/>
    <x v="9"/>
    <x v="2"/>
    <m/>
    <s v="Energy Performance- Commercial Whole Building P4P"/>
    <m/>
    <x v="4"/>
    <m/>
    <m/>
    <n v="826950"/>
    <n v="471750"/>
    <n v="2377068394.8298411"/>
    <n v="614176841.51999986"/>
    <n v="16513"/>
    <n v="3425062807.5999999"/>
    <n v="884953189.29599977"/>
    <n v="3728492"/>
    <m/>
    <n v="0"/>
    <m/>
    <m/>
    <n v="2.7420608715835643E-2"/>
    <n v="2.0182664304123788E-2"/>
    <m/>
    <m/>
  </r>
  <r>
    <x v="0"/>
    <x v="0"/>
    <x v="1"/>
    <x v="5"/>
    <s v="Enbridge"/>
    <x v="9"/>
    <x v="2"/>
    <m/>
    <s v="Large Volume "/>
    <m/>
    <x v="8"/>
    <n v="3349951.0109999999"/>
    <n v="21895104.647058822"/>
    <n v="1887000"/>
    <n v="1849260"/>
    <n v="2377068394.8298411"/>
    <n v="614176841.51999986"/>
    <n v="16513"/>
    <n v="3425062807.5999999"/>
    <n v="884953189.29599977"/>
    <n v="3728492"/>
    <n v="3.65391467709558E-4"/>
    <n v="2.3881795275134511E-3"/>
    <n v="5.5093880200178091E-4"/>
    <n v="2.0582202465167215E-4"/>
    <n v="6.2570516532779327E-2"/>
    <n v="4.605440176779925E-2"/>
    <m/>
    <m/>
  </r>
  <r>
    <x v="0"/>
    <x v="0"/>
    <x v="1"/>
    <x v="5"/>
    <s v="Enbridge"/>
    <x v="9"/>
    <x v="1"/>
    <n v="1"/>
    <s v="Home Windproofing "/>
    <m/>
    <x v="3"/>
    <n v="1035066.956"/>
    <n v="1035066.956"/>
    <n v="10637585.1"/>
    <n v="7038698.7000000002"/>
    <n v="0"/>
    <n v="0"/>
    <n v="0"/>
    <n v="3425062807.5999999"/>
    <n v="884953189.29599977"/>
    <n v="3728492"/>
    <n v="1.1289855672176113E-4"/>
    <n v="1.1289855672176113E-4"/>
    <n v="3.1058073085246389E-3"/>
    <n v="1.1602804995688714E-3"/>
    <n v="3.7433395832674989"/>
    <n v="0.2596224790856147"/>
    <m/>
    <m/>
  </r>
  <r>
    <x v="0"/>
    <x v="0"/>
    <x v="1"/>
    <x v="5"/>
    <s v="Enbridge"/>
    <x v="9"/>
    <x v="1"/>
    <n v="1"/>
    <s v="Affordable Housing Multi-Family "/>
    <m/>
    <x v="3"/>
    <n v="1806669.6440000001"/>
    <n v="1806669.6440000001"/>
    <n v="5282806.72"/>
    <n v="4516684.72"/>
    <n v="0"/>
    <n v="0"/>
    <n v="0"/>
    <n v="3425062807.5999999"/>
    <n v="884953189.29599977"/>
    <n v="3728492"/>
    <n v="1.9706009751181545E-4"/>
    <n v="1.9706009751181545E-4"/>
    <n v="1.5423970352537134E-3"/>
    <n v="5.7621514305980883E-4"/>
    <n v="1.8590064680871548"/>
    <n v="0.12893296404054569"/>
    <m/>
    <m/>
  </r>
  <r>
    <x v="0"/>
    <x v="0"/>
    <x v="1"/>
    <x v="5"/>
    <s v="Enbridge"/>
    <x v="9"/>
    <x v="3"/>
    <m/>
    <s v="Overhead"/>
    <m/>
    <x v="4"/>
    <n v="0"/>
    <n v="0"/>
    <n v="13586399.99924727"/>
    <m/>
    <n v="0"/>
    <n v="0"/>
    <n v="0"/>
    <n v="3425062807.5999999"/>
    <n v="884953189.29599977"/>
    <n v="3728492"/>
    <n v="0"/>
    <n v="0"/>
    <n v="3.9667593741930509E-3"/>
    <n v="1.4819185774099363E-3"/>
    <s v=""/>
    <n v="0.33159169270978334"/>
    <m/>
    <m/>
  </r>
  <r>
    <x v="0"/>
    <x v="1"/>
    <x v="2"/>
    <x v="5"/>
    <s v="Enbridge"/>
    <x v="9"/>
    <x v="0"/>
    <m/>
    <s v="Residential "/>
    <m/>
    <x v="6"/>
    <n v="10506139.088"/>
    <n v="11309084.055974165"/>
    <n v="60592700.694780804"/>
    <n v="54351779.961394757"/>
    <n v="1047994412.7701588"/>
    <n v="270776347.77599996"/>
    <n v="3711979"/>
    <n v="3425062807.5999999"/>
    <n v="884953189.29599977"/>
    <n v="3728492"/>
    <n v="1.1459431999810451E-3"/>
    <n v="1.2335233584295428E-3"/>
    <n v="1.7690975056086387E-2"/>
    <n v="6.6090685406001949E-3"/>
    <n v="6.1946864137652922"/>
    <n v="1.4854244387234303"/>
    <m/>
    <m/>
  </r>
  <r>
    <x v="0"/>
    <x v="0"/>
    <x v="2"/>
    <x v="5"/>
    <s v="Enbridge"/>
    <x v="9"/>
    <x v="0"/>
    <m/>
    <s v="Whole Home"/>
    <m/>
    <x v="6"/>
    <n v="7183705.7693794081"/>
    <n v="7561795.5467151664"/>
    <n v="50150927.759999998"/>
    <n v="46526393.441993155"/>
    <n v="1047994412.7701588"/>
    <n v="270776347.77599996"/>
    <n v="3711979"/>
    <n v="3425062807.5999999"/>
    <n v="884953189.29599977"/>
    <n v="3728492"/>
    <n v="7.8355318810575936E-4"/>
    <n v="8.2479282958500982E-4"/>
    <n v="1.4642338134272525E-2"/>
    <n v="5.4701459934938784E-3"/>
    <n v="5.127173195291431"/>
    <n v="1.2294453435011523"/>
    <m/>
    <m/>
  </r>
  <r>
    <x v="0"/>
    <x v="0"/>
    <x v="2"/>
    <x v="5"/>
    <s v="Enbridge"/>
    <x v="9"/>
    <x v="0"/>
    <m/>
    <s v="Single Measure - Residential Air Sealing"/>
    <m/>
    <x v="1"/>
    <n v="85815.902450977082"/>
    <n v="90332.528895765368"/>
    <n v="473630.22024442774"/>
    <n v="364943.20613151032"/>
    <n v="1047994412.7701588"/>
    <n v="270776347.77599996"/>
    <n v="3711979"/>
    <n v="3425062807.5999999"/>
    <n v="884953189.29599977"/>
    <n v="3728492"/>
    <n v="9.3602558504348156E-6"/>
    <n v="9.8529008951945445E-6"/>
    <n v="1.3828365984806817E-4"/>
    <n v="5.1660588694714108E-5"/>
    <n v="4.8421520362262729E-2"/>
    <n v="1.1611000929186738E-2"/>
    <m/>
    <m/>
  </r>
  <r>
    <x v="0"/>
    <x v="0"/>
    <x v="2"/>
    <x v="5"/>
    <s v="Enbridge"/>
    <x v="9"/>
    <x v="0"/>
    <m/>
    <s v="Single Measure - Residential Attic"/>
    <m/>
    <x v="1"/>
    <n v="197935.72103520707"/>
    <n v="295426.44930627925"/>
    <n v="2200736.9884360577"/>
    <n v="1695719.5256619786"/>
    <n v="1047994412.7701588"/>
    <n v="270776347.77599996"/>
    <n v="3711979"/>
    <n v="3425062807.5999999"/>
    <n v="884953189.29599977"/>
    <n v="3728492"/>
    <n v="2.1589576499393162E-5"/>
    <n v="3.2223248506556959E-5"/>
    <n v="6.4253916265499139E-4"/>
    <n v="2.400424709516338E-4"/>
    <n v="0.22499204303844256"/>
    <n v="5.395086319542617E-2"/>
    <m/>
    <m/>
  </r>
  <r>
    <x v="0"/>
    <x v="0"/>
    <x v="2"/>
    <x v="5"/>
    <s v="Enbridge"/>
    <x v="9"/>
    <x v="0"/>
    <m/>
    <s v="Single Measure - Residential Wall"/>
    <m/>
    <x v="1"/>
    <n v="7286.6095387731939"/>
    <n v="10875.53662503462"/>
    <n v="97464.596440729583"/>
    <n v="75098.760148871879"/>
    <n v="1047994412.7701588"/>
    <n v="270776347.77599996"/>
    <n v="3711979"/>
    <n v="3425062807.5999999"/>
    <n v="884953189.29599977"/>
    <n v="3728492"/>
    <n v="7.9477728040089334E-7"/>
    <n v="1.1862347468670051E-6"/>
    <n v="2.8456294647929302E-5"/>
    <n v="1.0630821712394872E-5"/>
    <n v="9.9642795992176351E-3"/>
    <n v="2.389335543775272E-3"/>
    <m/>
    <m/>
  </r>
  <r>
    <x v="0"/>
    <x v="0"/>
    <x v="2"/>
    <x v="5"/>
    <s v="Enbridge"/>
    <x v="9"/>
    <x v="0"/>
    <m/>
    <s v="Single Measure - Residential Basement"/>
    <m/>
    <x v="1"/>
    <n v="74196.585525357761"/>
    <n v="110741.17242590713"/>
    <n v="877410.36866918544"/>
    <n v="676065.2917584395"/>
    <n v="1047994412.7701588"/>
    <n v="270776347.77599996"/>
    <n v="3711979"/>
    <n v="3425062807.5999999"/>
    <n v="884953189.29599977"/>
    <n v="3728492"/>
    <n v="8.0928942528193349E-6"/>
    <n v="1.2078946645999011E-5"/>
    <n v="2.5617351212429355E-4"/>
    <n v="9.5702373359757186E-5"/>
    <n v="8.970192824826459E-2"/>
    <n v="2.1509633824966741E-2"/>
    <m/>
    <m/>
  </r>
  <r>
    <x v="0"/>
    <x v="1"/>
    <x v="2"/>
    <x v="5"/>
    <s v="Enbridge"/>
    <x v="9"/>
    <x v="0"/>
    <m/>
    <s v="Single Measure"/>
    <m/>
    <x v="6"/>
    <m/>
    <m/>
    <n v="3649242.1737903999"/>
    <n v="2811826.7837008"/>
    <n v="1047994412.7701588"/>
    <n v="270776347.77599996"/>
    <n v="3711979"/>
    <n v="3425062807.5999999"/>
    <n v="884953189.29599977"/>
    <n v="3728492"/>
    <n v="0"/>
    <n v="0"/>
    <n v="1.0654526292752822E-3"/>
    <n v="3.9803625471849992E-4"/>
    <n v="0.37307977124818748"/>
    <n v="8.9460833493354902E-2"/>
    <m/>
    <m/>
  </r>
  <r>
    <x v="0"/>
    <x v="0"/>
    <x v="2"/>
    <x v="5"/>
    <s v="Enbridge"/>
    <x v="9"/>
    <x v="0"/>
    <m/>
    <s v="Smart Home "/>
    <m/>
    <x v="6"/>
    <n v="2232458.6060854876"/>
    <n v="2325477.7146723829"/>
    <n v="3143288.5872"/>
    <n v="2201732.952"/>
    <n v="1047994412.7701588"/>
    <n v="270776347.77599996"/>
    <n v="3711979"/>
    <n v="3425062807.5999999"/>
    <n v="884953189.29599977"/>
    <n v="3728492"/>
    <n v="2.4350246436436932E-4"/>
    <n v="2.5364840037955138E-4"/>
    <n v="9.1773166326329528E-4"/>
    <n v="3.4285003766931538E-4"/>
    <n v="0.32135367597748532"/>
    <n v="7.7057428235568021E-2"/>
    <m/>
    <m/>
  </r>
  <r>
    <x v="0"/>
    <x v="1"/>
    <x v="2"/>
    <x v="5"/>
    <s v="Enbridge"/>
    <x v="9"/>
    <x v="2"/>
    <m/>
    <s v="Large Commercial "/>
    <m/>
    <x v="6"/>
    <n v="6067959.3329999996"/>
    <n v="11012630.368421052"/>
    <n v="16607397.51495536"/>
    <n v="13798203.114044165"/>
    <n v="2377068394.8298411"/>
    <n v="614176841.51999986"/>
    <n v="16513"/>
    <n v="3425062807.5999999"/>
    <n v="884953189.29599977"/>
    <n v="3728492"/>
    <n v="6.6185462396506096E-4"/>
    <n v="1.2011880652723428E-3"/>
    <n v="4.8487862698764483E-3"/>
    <n v="1.8114298784966936E-3"/>
    <n v="0.58358424910246742"/>
    <n v="0.40712881006200707"/>
    <m/>
    <m/>
  </r>
  <r>
    <x v="0"/>
    <x v="0"/>
    <x v="2"/>
    <x v="5"/>
    <s v="Enbridge"/>
    <x v="9"/>
    <x v="2"/>
    <m/>
    <s v="Large Custom "/>
    <m/>
    <x v="15"/>
    <n v="6524011.8483126555"/>
    <n v="12838765.113311645"/>
    <n v="7469972.2924800003"/>
    <n v="6919789.0175999999"/>
    <n v="2377068394.8298411"/>
    <n v="614176841.51999986"/>
    <n v="16513"/>
    <n v="3425062807.5999999"/>
    <n v="884953189.29599977"/>
    <n v="3728492"/>
    <n v="7.1159794778548411E-4"/>
    <n v="1.4003712928717846E-3"/>
    <n v="2.1809738133574076E-3"/>
    <n v="8.1477732979868915E-4"/>
    <n v="0.26249496148914792"/>
    <n v="0.18312567805370078"/>
    <m/>
    <m/>
  </r>
  <r>
    <x v="0"/>
    <x v="1"/>
    <x v="2"/>
    <x v="5"/>
    <s v="Enbridge"/>
    <x v="9"/>
    <x v="2"/>
    <m/>
    <s v="Large Prescriptive "/>
    <m/>
    <x v="6"/>
    <n v="5751471.9921074146"/>
    <n v="37566766.767520666"/>
    <n v="1155244.2097008"/>
    <n v="1014784.8022771201"/>
    <n v="2377068394.8298411"/>
    <n v="614176841.51999986"/>
    <n v="16513"/>
    <n v="3425062807.5999999"/>
    <n v="884953189.29599977"/>
    <n v="3728492"/>
    <n v="6.2733418661522751E-4"/>
    <n v="4.0975453077415243E-3"/>
    <n v="3.3729139423002274E-4"/>
    <n v="1.2600673142964473E-4"/>
    <n v="4.0595302427192309E-2"/>
    <n v="2.8320704674104667E-2"/>
    <m/>
    <m/>
  </r>
  <r>
    <x v="0"/>
    <x v="0"/>
    <x v="2"/>
    <x v="5"/>
    <s v="Enbridge"/>
    <x v="9"/>
    <x v="2"/>
    <m/>
    <s v="Direct Install - Air Curtain"/>
    <m/>
    <x v="6"/>
    <n v="514488.4777153639"/>
    <n v="541566.81864775147"/>
    <n v="2075177.6453497489"/>
    <n v="1883760.8517251315"/>
    <n v="2377068394.8298411"/>
    <n v="614176841.51999986"/>
    <n v="16513"/>
    <n v="3425062807.5999999"/>
    <n v="884953189.29599977"/>
    <n v="3728492"/>
    <n v="5.6117148989577591E-5"/>
    <n v="5.907068314692377E-5"/>
    <n v="6.0588017269203346E-4"/>
    <n v="2.2634725197550346E-4"/>
    <n v="7.2921779997443203E-2"/>
    <n v="5.087278754288263E-2"/>
    <m/>
    <m/>
  </r>
  <r>
    <x v="0"/>
    <x v="0"/>
    <x v="2"/>
    <x v="5"/>
    <s v="Enbridge"/>
    <x v="9"/>
    <x v="2"/>
    <m/>
    <s v="Direct Install - Dock Doors Seals"/>
    <m/>
    <x v="6"/>
    <n v="433663.18259031337"/>
    <n v="456487.56062138255"/>
    <n v="658037.78114407614"/>
    <n v="597339.61275703786"/>
    <n v="2377068394.8298411"/>
    <n v="614176841.51999986"/>
    <n v="16513"/>
    <n v="3425062807.5999999"/>
    <n v="884953189.29599977"/>
    <n v="3728492"/>
    <n v="4.7301237020469569E-5"/>
    <n v="4.9790775811020606E-5"/>
    <n v="1.9212429613960116E-4"/>
    <n v="7.1774599052659076E-5"/>
    <n v="2.3123459533271232E-2"/>
    <n v="1.6131735184382455E-2"/>
    <m/>
    <m/>
  </r>
  <r>
    <x v="0"/>
    <x v="0"/>
    <x v="2"/>
    <x v="5"/>
    <s v="Enbridge"/>
    <x v="9"/>
    <x v="2"/>
    <m/>
    <s v="Direct Install - DCKV"/>
    <m/>
    <x v="6"/>
    <n v="25338.046016653876"/>
    <n v="26671.627385951451"/>
    <n v="179694.93254319002"/>
    <n v="163119.66348365264"/>
    <n v="2377068394.8298411"/>
    <n v="614176841.51999986"/>
    <n v="16513"/>
    <n v="3425062807.5999999"/>
    <n v="884953189.29599977"/>
    <n v="3728492"/>
    <n v="2.763713795370926E-6"/>
    <n v="2.909172416179922E-6"/>
    <n v="5.2464711638121855E-5"/>
    <n v="1.9599986664379979E-5"/>
    <n v="6.3144831802394519E-3"/>
    <n v="4.4052046080429019E-3"/>
    <m/>
    <m/>
  </r>
  <r>
    <x v="0"/>
    <x v="0"/>
    <x v="2"/>
    <x v="5"/>
    <s v="Enbridge"/>
    <x v="9"/>
    <x v="2"/>
    <m/>
    <s v="Direct Install - Ozone Laundry"/>
    <m/>
    <x v="6"/>
    <n v="17607.501914991837"/>
    <n v="19138.589038034606"/>
    <n v="97048.584176179749"/>
    <n v="88096.710176167486"/>
    <n v="2377068394.8298411"/>
    <n v="614176841.51999986"/>
    <n v="16513"/>
    <n v="3425062807.5999999"/>
    <n v="884953189.29599977"/>
    <n v="3728492"/>
    <n v="1.9205149407534786E-6"/>
    <n v="2.0875162399494334E-6"/>
    <n v="2.833483344037809E-5"/>
    <n v="1.0585445725871515E-5"/>
    <n v="3.4102890035546726E-3"/>
    <n v="2.3791370416869793E-3"/>
    <m/>
    <m/>
  </r>
  <r>
    <x v="0"/>
    <x v="0"/>
    <x v="2"/>
    <x v="5"/>
    <s v="Enbridge"/>
    <x v="9"/>
    <x v="2"/>
    <m/>
    <s v="Direct Install - DCV"/>
    <m/>
    <x v="6"/>
    <n v="63663.827401153801"/>
    <n v="67014.555159109266"/>
    <n v="184268.33952415083"/>
    <n v="167271.21409863068"/>
    <n v="2377068394.8298411"/>
    <n v="614176841.51999986"/>
    <n v="16513"/>
    <n v="3425062807.5999999"/>
    <n v="884953189.29599977"/>
    <n v="3728492"/>
    <n v="6.9440476167356005E-6"/>
    <n v="7.3095238070901062E-6"/>
    <n v="5.3799988460144706E-5"/>
    <n v="2.0098824970886308E-5"/>
    <n v="6.4751927842831031E-3"/>
    <n v="4.5173212560855047E-3"/>
    <m/>
    <m/>
  </r>
  <r>
    <x v="0"/>
    <x v="0"/>
    <x v="2"/>
    <x v="5"/>
    <s v="Enbridge"/>
    <x v="9"/>
    <x v="2"/>
    <m/>
    <s v="Direct Install - Destratification Fan"/>
    <m/>
    <x v="6"/>
    <n v="20251.056146409344"/>
    <n v="22501.173496010386"/>
    <n v="126026.22363166201"/>
    <n v="114401.4185484683"/>
    <n v="2377068394.8298411"/>
    <n v="614176841.51999986"/>
    <n v="16513"/>
    <n v="3425062807.5999999"/>
    <n v="884953189.29599977"/>
    <n v="3728492"/>
    <n v="2.2088571157332596E-6"/>
    <n v="2.4542856841480666E-6"/>
    <n v="3.6795302950946687E-5"/>
    <n v="1.3746143352979908E-5"/>
    <n v="4.4285637782242732E-3"/>
    <n v="3.0895211858186721E-3"/>
    <m/>
    <m/>
  </r>
  <r>
    <x v="0"/>
    <x v="0"/>
    <x v="2"/>
    <x v="5"/>
    <s v="Enbridge"/>
    <x v="9"/>
    <x v="2"/>
    <m/>
    <s v="Direct Install - ERV Improved Effectiveness"/>
    <m/>
    <x v="12"/>
    <n v="1321.2613320757416"/>
    <n v="1390.8014021849915"/>
    <n v="16408.984629601826"/>
    <n v="14895.400849691439"/>
    <n v="2377068394.8298411"/>
    <n v="614176841.51999986"/>
    <n v="16513"/>
    <n v="3425062807.5999999"/>
    <n v="884953189.29599977"/>
    <n v="3728492"/>
    <n v="1.4411482907355298E-7"/>
    <n v="1.5169982007742424E-7"/>
    <n v="4.7908565627442852E-6"/>
    <n v="1.7897882559315402E-6"/>
    <n v="5.7661201672186576E-4"/>
    <n v="4.0226473657654915E-4"/>
    <m/>
    <m/>
  </r>
  <r>
    <x v="0"/>
    <x v="0"/>
    <x v="2"/>
    <x v="5"/>
    <s v="Enbridge"/>
    <x v="9"/>
    <x v="2"/>
    <m/>
    <s v="Direct Install - ERV"/>
    <m/>
    <x v="6"/>
    <n v="39689.715321721604"/>
    <n v="41778.647707075368"/>
    <n v="263204.45597534464"/>
    <n v="238926.17158681902"/>
    <n v="2377068394.8298411"/>
    <n v="614176841.51999986"/>
    <n v="16513"/>
    <n v="3425062807.5999999"/>
    <n v="884953189.29599977"/>
    <n v="3728492"/>
    <n v="4.3291031083016611E-6"/>
    <n v="4.5569506403175368E-6"/>
    <n v="7.6846607131206599E-5"/>
    <n v="2.8708677279378556E-5"/>
    <n v="9.2490093443281934E-3"/>
    <n v="6.4524328310779297E-3"/>
    <m/>
    <m/>
  </r>
  <r>
    <x v="0"/>
    <x v="0"/>
    <x v="2"/>
    <x v="5"/>
    <s v="Enbridge"/>
    <x v="9"/>
    <x v="2"/>
    <m/>
    <s v="Direct Install - HRV Improved Effectiveness"/>
    <m/>
    <x v="12"/>
    <n v="2832.5648998578122"/>
    <n v="2981.6472630082239"/>
    <n v="9546.2100375891114"/>
    <n v="8665.6565482253263"/>
    <n v="2377068394.8298411"/>
    <n v="614176841.51999986"/>
    <n v="16513"/>
    <n v="3425062807.5999999"/>
    <n v="884953189.29599977"/>
    <n v="3728492"/>
    <n v="3.0895826319342652E-7"/>
    <n v="3.2521922441413324E-7"/>
    <n v="2.7871634985515211E-6"/>
    <n v="1.0412402107507717E-6"/>
    <n v="3.3545399341131229E-4"/>
    <n v="2.3402445384388028E-4"/>
    <m/>
    <m/>
  </r>
  <r>
    <x v="0"/>
    <x v="0"/>
    <x v="2"/>
    <x v="5"/>
    <s v="Enbridge"/>
    <x v="9"/>
    <x v="2"/>
    <m/>
    <s v="Direct Install - HRV"/>
    <m/>
    <x v="6"/>
    <n v="17052.057540787515"/>
    <n v="17949.534253460544"/>
    <n v="143524.02767850726"/>
    <n v="130285.20484911022"/>
    <n v="2377068394.8298411"/>
    <n v="614176841.51999986"/>
    <n v="16513"/>
    <n v="3425062807.5999999"/>
    <n v="884953189.29599977"/>
    <n v="3728492"/>
    <n v="1.8599305816225225E-6"/>
    <n v="1.9578216648658133E-6"/>
    <n v="4.1904057163575635E-5"/>
    <n v="1.5654693144119236E-5"/>
    <n v="5.0434369289647576E-3"/>
    <n v="3.5184782294418568E-3"/>
    <m/>
    <m/>
  </r>
  <r>
    <x v="0"/>
    <x v="0"/>
    <x v="2"/>
    <x v="5"/>
    <s v="Enbridge"/>
    <x v="9"/>
    <x v="2"/>
    <m/>
    <s v="Direct Install - MUA"/>
    <m/>
    <x v="6"/>
    <n v="5960.3284329313947"/>
    <n v="6274.0299294014694"/>
    <n v="13714.013541951113"/>
    <n v="12449.017021866477"/>
    <n v="2377068394.8298411"/>
    <n v="614176841.51999986"/>
    <n v="16513"/>
    <n v="3425062807.5999999"/>
    <n v="884953189.29599977"/>
    <n v="3728492"/>
    <n v="6.5011492615520298E-7"/>
    <n v="6.8433150121600323E-7"/>
    <n v="4.0040181194693938E-6"/>
    <n v="1.4958378554874551E-6"/>
    <n v="4.8191068394993634E-4"/>
    <n v="3.3619777026959517E-4"/>
    <m/>
    <m/>
  </r>
  <r>
    <x v="0"/>
    <x v="0"/>
    <x v="2"/>
    <x v="5"/>
    <s v="Enbridge"/>
    <x v="9"/>
    <x v="2"/>
    <m/>
    <s v="Prescriptive Downstream - Air Curtain"/>
    <m/>
    <x v="6"/>
    <n v="35273.41404848759"/>
    <n v="70546.82809697518"/>
    <n v="125606.71283569503"/>
    <n v="110334.92501352767"/>
    <n v="2377068394.8298411"/>
    <n v="614176841.51999986"/>
    <n v="16513"/>
    <n v="3425062807.5999999"/>
    <n v="884953189.29599977"/>
    <n v="3728492"/>
    <n v="3.8474008986944631E-6"/>
    <n v="7.6948017973889263E-6"/>
    <n v="3.6672820293099909E-5"/>
    <n v="1.3700385768777915E-5"/>
    <n v="4.4138221612650651E-3"/>
    <n v="3.0792369175571097E-3"/>
    <m/>
    <m/>
  </r>
  <r>
    <x v="0"/>
    <x v="0"/>
    <x v="2"/>
    <x v="5"/>
    <s v="Enbridge"/>
    <x v="9"/>
    <x v="2"/>
    <m/>
    <s v="Prescriptive Downstream - DCKV"/>
    <m/>
    <x v="6"/>
    <n v="144706.17938224314"/>
    <n v="233397.063519747"/>
    <n v="348025.18794180232"/>
    <n v="305710.83461604029"/>
    <n v="2377068394.8298411"/>
    <n v="614176841.51999986"/>
    <n v="16513"/>
    <n v="3425062807.5999999"/>
    <n v="884953189.29599977"/>
    <n v="3728492"/>
    <n v="1.578363477480728E-5"/>
    <n v="2.5457475443237548E-5"/>
    <n v="1.0161133021256026E-4"/>
    <n v="3.7960386227853982E-5"/>
    <n v="1.2229611400032038E-2"/>
    <n v="8.5318052097419911E-3"/>
    <m/>
    <m/>
  </r>
  <r>
    <x v="0"/>
    <x v="0"/>
    <x v="2"/>
    <x v="5"/>
    <s v="Enbridge"/>
    <x v="9"/>
    <x v="2"/>
    <m/>
    <s v="Prescriptive Downstream - DCV"/>
    <m/>
    <x v="6"/>
    <n v="9886.5672778434728"/>
    <n v="123582.09097304345"/>
    <n v="93380.387249486346"/>
    <n v="82026.810449085344"/>
    <n v="2377068394.8298411"/>
    <n v="614176841.51999986"/>
    <n v="16513"/>
    <n v="3425062807.5999999"/>
    <n v="884953189.29599977"/>
    <n v="3728492"/>
    <n v="1.0783642257449467E-6"/>
    <n v="1.3479552821811839E-5"/>
    <n v="2.7263846678163425E-5"/>
    <n v="1.0185342006595904E-5"/>
    <n v="3.2813884971931795E-3"/>
    <n v="2.2892115341838965E-3"/>
    <m/>
    <m/>
  </r>
  <r>
    <x v="0"/>
    <x v="0"/>
    <x v="2"/>
    <x v="5"/>
    <s v="Enbridge"/>
    <x v="9"/>
    <x v="2"/>
    <m/>
    <s v="Prescriptive Downstream - Destratification Fan"/>
    <m/>
    <x v="6"/>
    <n v="46448.042142535778"/>
    <n v="51608.935713928629"/>
    <n v="155005.88610944172"/>
    <n v="136159.62423053267"/>
    <n v="2377068394.8298411"/>
    <n v="614176841.51999986"/>
    <n v="16513"/>
    <n v="3425062807.5999999"/>
    <n v="884953189.29599977"/>
    <n v="3728492"/>
    <n v="5.0662586512363037E-6"/>
    <n v="5.6291762791514472E-6"/>
    <n v="4.5256363114128408E-5"/>
    <n v="1.6907061638564809E-5"/>
    <n v="5.4469096419340023E-3"/>
    <n v="3.7999549241543901E-3"/>
    <m/>
    <m/>
  </r>
  <r>
    <x v="0"/>
    <x v="0"/>
    <x v="2"/>
    <x v="5"/>
    <s v="Enbridge"/>
    <x v="9"/>
    <x v="2"/>
    <m/>
    <s v="Prescriptive Downstream - Dock Doors Seals"/>
    <m/>
    <x v="6"/>
    <n v="81387.116229410196"/>
    <n v="162774.23245882039"/>
    <n v="172472.73280841226"/>
    <n v="151502.77888560796"/>
    <n v="2377068394.8298411"/>
    <n v="614176841.51999986"/>
    <n v="16513"/>
    <n v="3425062807.5999999"/>
    <n v="884953189.29599977"/>
    <n v="3728492"/>
    <n v="8.8771918616312525E-6"/>
    <n v="1.7754383723262505E-5"/>
    <n v="5.0356078850789556E-5"/>
    <n v="1.8812234798004392E-5"/>
    <n v="6.0606949509101529E-3"/>
    <n v="4.2281530512651259E-3"/>
    <m/>
    <m/>
  </r>
  <r>
    <x v="0"/>
    <x v="0"/>
    <x v="2"/>
    <x v="5"/>
    <s v="Enbridge"/>
    <x v="9"/>
    <x v="2"/>
    <m/>
    <s v="Prescriptive Downstream - ERV Improved Effectiveness"/>
    <m/>
    <x v="12"/>
    <n v="12967.304158388257"/>
    <n v="43224.347194627524"/>
    <n v="29200.266721597534"/>
    <n v="25649.976552741173"/>
    <n v="2377068394.8298411"/>
    <n v="614176841.51999986"/>
    <n v="16513"/>
    <n v="3425062807.5999999"/>
    <n v="884953189.29599977"/>
    <n v="3728492"/>
    <n v="1.4143915188942865E-6"/>
    <n v="4.7146383963142887E-6"/>
    <n v="8.5254689802487622E-6"/>
    <n v="3.1849804011701375E-6"/>
    <n v="1.0260979008282064E-3"/>
    <n v="7.1584183091610572E-4"/>
    <m/>
    <m/>
  </r>
  <r>
    <x v="0"/>
    <x v="0"/>
    <x v="2"/>
    <x v="5"/>
    <s v="Enbridge"/>
    <x v="9"/>
    <x v="2"/>
    <m/>
    <s v="Prescriptive Downstream - ERV"/>
    <m/>
    <x v="6"/>
    <n v="99458.856545935691"/>
    <n v="331529.52181978559"/>
    <n v="590882.42202689417"/>
    <n v="519040.47366823378"/>
    <n v="2377068394.8298411"/>
    <n v="614176841.51999986"/>
    <n v="16513"/>
    <n v="3425062807.5999999"/>
    <n v="884953189.29599977"/>
    <n v="3728492"/>
    <n v="1.0848342990898092E-5"/>
    <n v="3.6161143302993632E-5"/>
    <n v="1.7251725157149325E-4"/>
    <n v="6.4449717240412901E-5"/>
    <n v="2.0763618999056589E-2"/>
    <n v="1.4485427782994375E-2"/>
    <m/>
    <m/>
  </r>
  <r>
    <x v="0"/>
    <x v="0"/>
    <x v="2"/>
    <x v="5"/>
    <s v="Enbridge"/>
    <x v="9"/>
    <x v="2"/>
    <m/>
    <s v="Prescriptive Downstream - HRV Improved Effectiveness"/>
    <m/>
    <x v="12"/>
    <n v="3585.383552982536"/>
    <n v="3774.0879505079333"/>
    <n v="8579.2098424847754"/>
    <n v="7536.1137416604251"/>
    <n v="2377068394.8298411"/>
    <n v="614176841.51999986"/>
    <n v="16513"/>
    <n v="3425062807.5999999"/>
    <n v="884953189.29599977"/>
    <n v="3728492"/>
    <n v="3.910709602690362E-7"/>
    <n v="4.116536423884593E-7"/>
    <n v="2.504832852538659E-6"/>
    <n v="9.3576594578260193E-7"/>
    <n v="3.014735890623639E-4"/>
    <n v="2.1031853373159137E-4"/>
    <m/>
    <m/>
  </r>
  <r>
    <x v="0"/>
    <x v="0"/>
    <x v="2"/>
    <x v="5"/>
    <s v="Enbridge"/>
    <x v="9"/>
    <x v="2"/>
    <m/>
    <s v="Prescriptive Downstream - HRV"/>
    <m/>
    <x v="6"/>
    <n v="99328.531925095464"/>
    <n v="104556.34939483735"/>
    <n v="201460.87417471947"/>
    <n v="176966.42116814145"/>
    <n v="2377068394.8298411"/>
    <n v="614176841.51999986"/>
    <n v="16513"/>
    <n v="3425062807.5999999"/>
    <n v="884953189.29599977"/>
    <n v="3728492"/>
    <n v="1.083412800556513E-5"/>
    <n v="1.1404345269015931E-5"/>
    <n v="5.881961455646606E-5"/>
    <n v="2.1974077907120578E-5"/>
    <n v="7.079338762916121E-3"/>
    <n v="4.9387946487668413E-3"/>
    <m/>
    <m/>
  </r>
  <r>
    <x v="0"/>
    <x v="0"/>
    <x v="2"/>
    <x v="5"/>
    <s v="Enbridge"/>
    <x v="9"/>
    <x v="2"/>
    <m/>
    <s v="Prescriptive Downstream - MUA"/>
    <m/>
    <x v="6"/>
    <n v="57953.728916388078"/>
    <n v="61003.925175145334"/>
    <n v="77767.304190521463"/>
    <n v="68312.03112201007"/>
    <n v="2377068394.8298411"/>
    <n v="614176841.51999986"/>
    <n v="16513"/>
    <n v="3425062807.5999999"/>
    <n v="884953189.29599977"/>
    <n v="3728492"/>
    <n v="6.3212261906121635E-6"/>
    <n v="6.6539223059075389E-6"/>
    <n v="2.270536587473978E-5"/>
    <n v="8.4823656598810798E-6"/>
    <n v="2.7327444760613133E-3"/>
    <n v="1.9064582508069292E-3"/>
    <m/>
    <m/>
  </r>
  <r>
    <x v="0"/>
    <x v="0"/>
    <x v="2"/>
    <x v="5"/>
    <s v="Enbridge"/>
    <x v="9"/>
    <x v="2"/>
    <m/>
    <s v="Prescriptive Downstream - Ozone Laundry"/>
    <m/>
    <x v="6"/>
    <n v="42674.857630490762"/>
    <n v="46385.714815750827"/>
    <n v="123026.03226694508"/>
    <n v="108068.01434761955"/>
    <n v="2377068394.8298411"/>
    <n v="614176841.51999986"/>
    <n v="16513"/>
    <n v="3425062807.5999999"/>
    <n v="884953189.29599977"/>
    <n v="3728492"/>
    <n v="4.6547035502010967E-6"/>
    <n v="5.0594603806533659E-6"/>
    <n v="3.5919350732476502E-5"/>
    <n v="1.3418901455243552E-5"/>
    <n v="4.3231369993948186E-3"/>
    <n v="3.0159717727227578E-3"/>
    <m/>
    <m/>
  </r>
  <r>
    <x v="0"/>
    <x v="1"/>
    <x v="2"/>
    <x v="5"/>
    <s v="Enbridge"/>
    <x v="9"/>
    <x v="2"/>
    <m/>
    <s v="Large Direct Install "/>
    <m/>
    <x v="6"/>
    <m/>
    <m/>
    <n v="376665.11982319999"/>
    <n v="341921.09216448001"/>
    <n v="2377068394.8298411"/>
    <n v="614176841.51999986"/>
    <n v="16513"/>
    <n v="3425062807.5999999"/>
    <n v="884953189.29599977"/>
    <n v="3728492"/>
    <n v="0"/>
    <n v="0"/>
    <n v="1.0997320077967729E-4"/>
    <n v="4.1084248848794756E-5"/>
    <n v="1.3236019124439193E-2"/>
    <n v="9.2339104840108918E-3"/>
    <m/>
    <m/>
  </r>
  <r>
    <x v="0"/>
    <x v="0"/>
    <x v="2"/>
    <x v="5"/>
    <s v="Enbridge"/>
    <x v="9"/>
    <x v="2"/>
    <m/>
    <s v="Midstream"/>
    <m/>
    <x v="6"/>
    <n v="671133.37741646287"/>
    <n v="831552.08402421605"/>
    <n v="1913457.6785513598"/>
    <n v="411189.27656256"/>
    <n v="2377068394.8298411"/>
    <n v="614176841.51999986"/>
    <n v="16513"/>
    <n v="3425062807.5999999"/>
    <n v="884953189.29599977"/>
    <n v="3728492"/>
    <n v="7.3202983863895717E-5"/>
    <n v="9.0700441726116347E-5"/>
    <n v="5.5866352999586375E-4"/>
    <n v="2.0870786088220952E-4"/>
    <n v="6.7238937438642232E-2"/>
    <n v="4.6908237553240716E-2"/>
    <m/>
    <m/>
  </r>
  <r>
    <x v="0"/>
    <x v="1"/>
    <x v="2"/>
    <x v="5"/>
    <s v="Enbridge"/>
    <x v="9"/>
    <x v="2"/>
    <m/>
    <s v="Small Commercial "/>
    <m/>
    <x v="6"/>
    <n v="2820921.8480000002"/>
    <n v="5119640.377495463"/>
    <n v="7558408.1008370873"/>
    <n v="5812711.7066484476"/>
    <n v="2377068394.8298411"/>
    <n v="614176841.51999986"/>
    <n v="16513"/>
    <n v="3425062807.5999999"/>
    <n v="884953189.29599977"/>
    <n v="3728492"/>
    <n v="3.0768831273953183E-4"/>
    <n v="5.5841799045287083E-4"/>
    <n v="2.2067940138398201E-3"/>
    <n v="8.2442334841435576E-4"/>
    <n v="0.265602597394615"/>
    <n v="0.18529367369485222"/>
    <m/>
    <m/>
  </r>
  <r>
    <x v="0"/>
    <x v="0"/>
    <x v="2"/>
    <x v="5"/>
    <s v="Enbridge"/>
    <x v="9"/>
    <x v="2"/>
    <m/>
    <s v="Small Custom "/>
    <m/>
    <x v="15"/>
    <m/>
    <m/>
    <n v="1867493.0731200001"/>
    <n v="1729947.2544"/>
    <n v="2377068394.8298411"/>
    <n v="614176841.51999986"/>
    <n v="16513"/>
    <n v="3425062807.5999999"/>
    <n v="884953189.29599977"/>
    <n v="3728492"/>
    <n v="0"/>
    <n v="0"/>
    <n v="5.4524345333935189E-4"/>
    <n v="2.0369433244967229E-4"/>
    <n v="6.5623740372286979E-2"/>
    <n v="4.5781419513425195E-2"/>
    <m/>
    <m/>
  </r>
  <r>
    <x v="0"/>
    <x v="1"/>
    <x v="2"/>
    <x v="5"/>
    <s v="Enbridge"/>
    <x v="9"/>
    <x v="2"/>
    <m/>
    <s v="Small Prescriptive "/>
    <m/>
    <x v="6"/>
    <m/>
    <m/>
    <n v="770162.80646720005"/>
    <n v="676523.20151807996"/>
    <n v="2377068394.8298411"/>
    <n v="614176841.51999986"/>
    <n v="16513"/>
    <n v="3425062807.5999999"/>
    <n v="884953189.29599977"/>
    <n v="3728492"/>
    <n v="0"/>
    <n v="0"/>
    <n v="2.2486092948668183E-4"/>
    <n v="8.4004487619763148E-5"/>
    <n v="2.7063534951461538E-2"/>
    <n v="1.8880469782736446E-2"/>
    <m/>
    <m/>
  </r>
  <r>
    <x v="0"/>
    <x v="1"/>
    <x v="2"/>
    <x v="5"/>
    <s v="Enbridge"/>
    <x v="9"/>
    <x v="2"/>
    <m/>
    <s v="Small Direct Install"/>
    <m/>
    <x v="6"/>
    <m/>
    <m/>
    <n v="3389986.0784088001"/>
    <n v="3077289.8294803197"/>
    <n v="2377068394.8298411"/>
    <n v="614176841.51999986"/>
    <n v="16513"/>
    <n v="3425062807.5999999"/>
    <n v="884953189.29599977"/>
    <n v="3728492"/>
    <n v="0"/>
    <n v="0"/>
    <n v="9.897588070170956E-4"/>
    <n v="3.6975823963915285E-4"/>
    <n v="0.11912417211995276"/>
    <n v="8.3105194356098033E-2"/>
    <m/>
    <m/>
  </r>
  <r>
    <x v="0"/>
    <x v="1"/>
    <x v="2"/>
    <x v="5"/>
    <s v="Enbridge"/>
    <x v="9"/>
    <x v="2"/>
    <m/>
    <s v="Small Midstream "/>
    <m/>
    <x v="6"/>
    <m/>
    <m/>
    <n v="1530766.1428410879"/>
    <n v="328951.42125004798"/>
    <n v="2377068394.8298411"/>
    <n v="614176841.51999986"/>
    <n v="16513"/>
    <n v="3425062807.5999999"/>
    <n v="884953189.29599977"/>
    <n v="3728492"/>
    <n v="0"/>
    <n v="0"/>
    <n v="4.4693082399669098E-4"/>
    <n v="1.669662887057676E-4"/>
    <n v="5.3791149950913782E-2"/>
    <n v="3.7526590042592574E-2"/>
    <m/>
    <m/>
  </r>
  <r>
    <x v="0"/>
    <x v="0"/>
    <x v="2"/>
    <x v="5"/>
    <s v="Enbridge"/>
    <x v="9"/>
    <x v="2"/>
    <m/>
    <s v="Industrial Custom "/>
    <m/>
    <x v="15"/>
    <n v="14834654.911"/>
    <n v="33946578.743707091"/>
    <n v="10963319.039999999"/>
    <n v="10640868.48"/>
    <n v="2377068394.8298411"/>
    <n v="614176841.51999986"/>
    <n v="16513"/>
    <n v="3425062807.5999999"/>
    <n v="884953189.29599977"/>
    <n v="3728492"/>
    <n v="1.6180703279231009E-3"/>
    <n v="3.702678095933869E-3"/>
    <n v="3.2009103645261865E-3"/>
    <n v="1.1958094974642429E-3"/>
    <n v="0.38525122939145723"/>
    <n v="0.26876474962834312"/>
    <m/>
    <m/>
  </r>
  <r>
    <x v="0"/>
    <x v="0"/>
    <x v="2"/>
    <x v="5"/>
    <s v="Enbridge"/>
    <x v="9"/>
    <x v="2"/>
    <m/>
    <s v="Energy Performance- Commercial Whole Building P4P"/>
    <m/>
    <x v="4"/>
    <n v="0"/>
    <n v="0"/>
    <n v="866643.6"/>
    <n v="494394"/>
    <n v="2377068394.8298411"/>
    <n v="614176841.51999986"/>
    <n v="16513"/>
    <n v="3425062807.5999999"/>
    <n v="884953189.29599977"/>
    <n v="3728492"/>
    <n v="0"/>
    <n v="0"/>
    <n v="2.5302998767700615E-4"/>
    <n v="9.4528002333552663E-5"/>
    <n v="3.0453871781536541E-2"/>
    <n v="2.1245687489452644E-2"/>
    <m/>
    <m/>
  </r>
  <r>
    <x v="0"/>
    <x v="0"/>
    <x v="2"/>
    <x v="5"/>
    <s v="Enbridge"/>
    <x v="9"/>
    <x v="2"/>
    <m/>
    <s v="Large Volume "/>
    <m/>
    <x v="15"/>
    <n v="4652245.3909999998"/>
    <n v="30406832.620915033"/>
    <n v="2015316"/>
    <n v="1975009.68"/>
    <n v="2377068394.8298411"/>
    <n v="614176841.51999986"/>
    <n v="16513"/>
    <n v="3425062807.5999999"/>
    <n v="884953189.29599977"/>
    <n v="3728492"/>
    <n v="5.0743750161739802E-4"/>
    <n v="3.3165849778914905E-3"/>
    <n v="5.8840264053790193E-4"/>
    <n v="2.1981792232798588E-4"/>
    <n v="7.0818240696959051E-2"/>
    <n v="4.9405284858151315E-2"/>
    <m/>
    <m/>
  </r>
  <r>
    <x v="0"/>
    <x v="0"/>
    <x v="2"/>
    <x v="5"/>
    <s v="Enbridge"/>
    <x v="9"/>
    <x v="1"/>
    <n v="1"/>
    <s v="Home Windproofing "/>
    <m/>
    <x v="1"/>
    <n v="978538.951"/>
    <n v="978538.951"/>
    <n v="11360940.664799999"/>
    <n v="7517330.2116"/>
    <n v="0"/>
    <n v="0"/>
    <n v="0"/>
    <n v="3425062807.5999999"/>
    <n v="884953189.29599977"/>
    <n v="3728492"/>
    <n v="1.067328394781894E-4"/>
    <n v="1.067328394781894E-4"/>
    <n v="3.317002140687985E-3"/>
    <n v="1.2391795493251988E-3"/>
    <n v="4.4508656979974912"/>
    <n v="0.278512406888547"/>
    <m/>
    <m/>
  </r>
  <r>
    <x v="0"/>
    <x v="0"/>
    <x v="2"/>
    <x v="5"/>
    <s v="Enbridge"/>
    <x v="9"/>
    <x v="1"/>
    <n v="1"/>
    <s v="Affordable Housing Multi-Family "/>
    <m/>
    <x v="6"/>
    <n v="1573984.858"/>
    <n v="1573984.858"/>
    <n v="5642037.9022639999"/>
    <n v="4823819.2658639997"/>
    <n v="0"/>
    <n v="0"/>
    <n v="0"/>
    <n v="3425062807.5999999"/>
    <n v="884953189.29599977"/>
    <n v="3728492"/>
    <n v="1.7168031279524889E-4"/>
    <n v="1.7168031279524889E-4"/>
    <n v="1.6472801286284945E-3"/>
    <n v="6.1539780826997857E-4"/>
    <n v="2.2103762097617325"/>
    <n v="0.13831403598335915"/>
    <m/>
    <m/>
  </r>
  <r>
    <x v="0"/>
    <x v="0"/>
    <x v="2"/>
    <x v="5"/>
    <s v="Enbridge"/>
    <x v="9"/>
    <x v="4"/>
    <m/>
    <s v="Overhead"/>
    <m/>
    <x v="4"/>
    <n v="0"/>
    <n v="0"/>
    <n v="14510275.199196139"/>
    <m/>
    <n v="0"/>
    <n v="0"/>
    <n v="0"/>
    <n v="3425062807.5999999"/>
    <n v="884953189.29599977"/>
    <n v="3728492"/>
    <n v="0"/>
    <n v="0"/>
    <n v="4.2364990116381942E-3"/>
    <n v="1.582689040673818E-3"/>
    <s v=""/>
    <n v="0.3557180509589829"/>
    <m/>
    <m/>
  </r>
  <r>
    <x v="0"/>
    <x v="0"/>
    <x v="3"/>
    <x v="5"/>
    <s v="Enbridge"/>
    <x v="9"/>
    <x v="0"/>
    <m/>
    <s v="Residential "/>
    <m/>
    <x v="2"/>
    <n v="11076978.901000001"/>
    <n v="11923551.023681378"/>
    <n v="60037420.338843442"/>
    <n v="54525844.888681039"/>
    <n v="1047994412.7701588"/>
    <n v="270776347.77599996"/>
    <n v="3711979"/>
    <n v="3425062807.5999999"/>
    <n v="884953189.29599977"/>
    <n v="3728492"/>
    <n v="1.2082067961990855E-3"/>
    <n v="1.3005455287395968E-3"/>
    <n v="1.7528852377721123E-2"/>
    <n v="6.5485020715443758E-3"/>
    <n v="5.420017576581591"/>
    <n v="1.4085405217428699"/>
    <m/>
    <m/>
  </r>
  <r>
    <x v="0"/>
    <x v="0"/>
    <x v="3"/>
    <x v="5"/>
    <s v="Enbridge"/>
    <x v="9"/>
    <x v="0"/>
    <m/>
    <s v="Whole Home"/>
    <m/>
    <x v="8"/>
    <m/>
    <m/>
    <n v="53109038.962633237"/>
    <n v="49412013.958266221"/>
    <n v="1047994412.7701588"/>
    <n v="270776347.77599996"/>
    <n v="3711979"/>
    <n v="3425062807.5999999"/>
    <n v="884953189.29599977"/>
    <n v="3728492"/>
    <n v="0"/>
    <n v="0"/>
    <n v="1.5506004399331775E-2"/>
    <n v="5.7927980533088045E-3"/>
    <n v="4.7945418545338834"/>
    <n v="1.2459934658666729"/>
    <m/>
    <m/>
  </r>
  <r>
    <x v="0"/>
    <x v="0"/>
    <x v="3"/>
    <x v="5"/>
    <s v="Enbridge"/>
    <x v="9"/>
    <x v="0"/>
    <m/>
    <s v="Single Measure"/>
    <m/>
    <x v="8"/>
    <m/>
    <m/>
    <n v="3722227.0172662083"/>
    <n v="2868063.319374816"/>
    <n v="1047994412.7701588"/>
    <n v="270776347.77599996"/>
    <n v="3711979"/>
    <n v="3425062807.5999999"/>
    <n v="884953189.29599977"/>
    <n v="3728492"/>
    <n v="0"/>
    <n v="0"/>
    <n v="1.086761681860788E-3"/>
    <n v="4.0599697981286994E-4"/>
    <n v="0.33603269000811903"/>
    <n v="8.7327329444790575E-2"/>
    <m/>
    <m/>
  </r>
  <r>
    <x v="0"/>
    <x v="0"/>
    <x v="3"/>
    <x v="5"/>
    <s v="Enbridge"/>
    <x v="9"/>
    <x v="0"/>
    <m/>
    <s v="Smart Home "/>
    <m/>
    <x v="8"/>
    <m/>
    <m/>
    <n v="3206154.3589440002"/>
    <n v="2245767.6110399999"/>
    <n v="1047994412.7701588"/>
    <n v="270776347.77599996"/>
    <n v="3711979"/>
    <n v="3425062807.5999999"/>
    <n v="884953189.29599977"/>
    <n v="3728492"/>
    <n v="0"/>
    <n v="0"/>
    <n v="9.3608629652856129E-4"/>
    <n v="3.497070384227017E-4"/>
    <n v="0.28944303203958954"/>
    <n v="7.5219726431406397E-2"/>
    <m/>
    <m/>
  </r>
  <r>
    <x v="0"/>
    <x v="0"/>
    <x v="3"/>
    <x v="5"/>
    <s v="Enbridge"/>
    <x v="9"/>
    <x v="2"/>
    <m/>
    <s v="Large Commercial "/>
    <m/>
    <x v="2"/>
    <n v="6189318.5199999996"/>
    <n v="11232882.976406531"/>
    <n v="9572264.6208685581"/>
    <n v="8525907.422701193"/>
    <n v="2377068394.8298411"/>
    <n v="614176841.51999986"/>
    <n v="16513"/>
    <n v="3425062807.5999999"/>
    <n v="884953189.29599977"/>
    <n v="3728492"/>
    <n v="6.7509171648144726E-4"/>
    <n v="1.2252118266450945E-3"/>
    <n v="2.7947705366536059E-3"/>
    <n v="1.0440820798986422E-3"/>
    <n v="0.33072474720128331"/>
    <n v="0.22457531531573374"/>
    <m/>
    <m/>
  </r>
  <r>
    <x v="0"/>
    <x v="0"/>
    <x v="3"/>
    <x v="5"/>
    <s v="Enbridge"/>
    <x v="9"/>
    <x v="2"/>
    <m/>
    <s v="Large Custom "/>
    <m/>
    <x v="8"/>
    <m/>
    <m/>
    <n v="7619371.7383296005"/>
    <n v="7058184.7979520001"/>
    <n v="2377068394.8298411"/>
    <n v="614176841.51999986"/>
    <n v="16513"/>
    <n v="3425062807.5999999"/>
    <n v="884953189.29599977"/>
    <n v="3728492"/>
    <n v="0"/>
    <n v="0"/>
    <n v="2.2245932896245556E-3"/>
    <n v="8.3107287639466298E-4"/>
    <n v="0.26325168513394176"/>
    <n v="0.17875841072265494"/>
    <m/>
    <m/>
  </r>
  <r>
    <x v="0"/>
    <x v="0"/>
    <x v="3"/>
    <x v="5"/>
    <s v="Enbridge"/>
    <x v="9"/>
    <x v="2"/>
    <m/>
    <s v="Large Prescriptive "/>
    <m/>
    <x v="8"/>
    <m/>
    <m/>
    <n v="1178349.093894816"/>
    <n v="1035080.4983226624"/>
    <n v="2377068394.8298411"/>
    <n v="614176841.51999986"/>
    <n v="16513"/>
    <n v="3425062807.5999999"/>
    <n v="884953189.29599977"/>
    <n v="3728492"/>
    <n v="0"/>
    <n v="0"/>
    <n v="3.4403722211462319E-4"/>
    <n v="1.2852686605823759E-4"/>
    <n v="4.0712331055246492E-2"/>
    <n v="2.7645299184115735E-2"/>
    <m/>
    <m/>
  </r>
  <r>
    <x v="0"/>
    <x v="0"/>
    <x v="3"/>
    <x v="5"/>
    <s v="Enbridge"/>
    <x v="9"/>
    <x v="2"/>
    <m/>
    <s v="Large Direct Install "/>
    <m/>
    <x v="8"/>
    <m/>
    <m/>
    <n v="384198.42221966397"/>
    <n v="348759.51400776958"/>
    <n v="2377068394.8298411"/>
    <n v="614176841.51999986"/>
    <n v="16513"/>
    <n v="3425062807.5999999"/>
    <n v="884953189.29599977"/>
    <n v="3728492"/>
    <n v="0"/>
    <n v="0"/>
    <n v="1.1217266479527083E-4"/>
    <n v="4.1905933825770657E-5"/>
    <n v="1.3274176080205449E-2"/>
    <n v="9.0136958422237529E-3"/>
    <m/>
    <m/>
  </r>
  <r>
    <x v="0"/>
    <x v="0"/>
    <x v="3"/>
    <x v="5"/>
    <s v="Enbridge"/>
    <x v="9"/>
    <x v="2"/>
    <m/>
    <s v="Large Midstream "/>
    <m/>
    <x v="8"/>
    <m/>
    <m/>
    <n v="390345.36642447743"/>
    <n v="83882.612418762248"/>
    <n v="2377068394.8298411"/>
    <n v="614176841.51999986"/>
    <n v="16513"/>
    <n v="3425062807.5999999"/>
    <n v="884953189.29599977"/>
    <n v="3728492"/>
    <n v="0"/>
    <n v="0"/>
    <n v="1.139673601191562E-4"/>
    <n v="4.2576403619970739E-5"/>
    <n v="1.3486554931889645E-2"/>
    <n v="9.1579095667393366E-3"/>
    <m/>
    <m/>
  </r>
  <r>
    <x v="0"/>
    <x v="0"/>
    <x v="3"/>
    <x v="5"/>
    <s v="Enbridge"/>
    <x v="9"/>
    <x v="2"/>
    <m/>
    <s v="Small Commercial "/>
    <m/>
    <x v="2"/>
    <n v="2877340.2850000001"/>
    <n v="5222033.1851179674"/>
    <n v="7709576.2628538273"/>
    <n v="316673692.92170405"/>
    <n v="2377068394.8298411"/>
    <n v="614176841.51999986"/>
    <n v="16513"/>
    <n v="3425062807.5999999"/>
    <n v="884953189.29599977"/>
    <n v="3728492"/>
    <n v="3.1384207899868546E-4"/>
    <n v="5.6958635026984651E-4"/>
    <n v="2.2509298941166159E-3"/>
    <n v="8.4091181538264266E-4"/>
    <n v="0.26636827976972394"/>
    <n v="0.18087470298371194"/>
    <m/>
    <m/>
  </r>
  <r>
    <x v="0"/>
    <x v="0"/>
    <x v="3"/>
    <x v="5"/>
    <s v="Enbridge"/>
    <x v="9"/>
    <x v="2"/>
    <m/>
    <s v="Small Custom "/>
    <m/>
    <x v="8"/>
    <m/>
    <m/>
    <n v="1904842.9345824001"/>
    <n v="1764546.199488"/>
    <n v="2377068394.8298411"/>
    <n v="614176841.51999986"/>
    <n v="16513"/>
    <n v="3425062807.5999999"/>
    <n v="884953189.29599977"/>
    <n v="3728492"/>
    <n v="0"/>
    <n v="0"/>
    <n v="5.5614832240613891E-4"/>
    <n v="2.0776821909866574E-4"/>
    <n v="6.581292128348544E-2"/>
    <n v="4.4689602680663736E-2"/>
    <m/>
    <m/>
  </r>
  <r>
    <x v="0"/>
    <x v="0"/>
    <x v="3"/>
    <x v="5"/>
    <s v="Enbridge"/>
    <x v="9"/>
    <x v="2"/>
    <m/>
    <s v="Small Prescriptive "/>
    <m/>
    <x v="8"/>
    <m/>
    <m/>
    <n v="785566.06259654392"/>
    <n v="690053.66554844158"/>
    <n v="2377068394.8298411"/>
    <n v="614176841.51999986"/>
    <n v="16513"/>
    <n v="3425062807.5999999"/>
    <n v="884953189.29599977"/>
    <n v="3728492"/>
    <n v="0"/>
    <n v="0"/>
    <n v="2.2935814807641542E-4"/>
    <n v="8.5684577372158386E-5"/>
    <n v="2.7141554036830991E-2"/>
    <n v="1.8430199456077156E-2"/>
    <m/>
    <m/>
  </r>
  <r>
    <x v="0"/>
    <x v="0"/>
    <x v="3"/>
    <x v="5"/>
    <s v="Enbridge"/>
    <x v="9"/>
    <x v="2"/>
    <m/>
    <s v="Small Direct Install"/>
    <m/>
    <x v="8"/>
    <m/>
    <m/>
    <n v="3457785.7999769761"/>
    <n v="313883562.6069926"/>
    <n v="2377068394.8298411"/>
    <n v="614176841.51999986"/>
    <n v="16513"/>
    <n v="3425062807.5999999"/>
    <n v="884953189.29599977"/>
    <n v="3728492"/>
    <n v="0"/>
    <n v="0"/>
    <n v="1.0095539831574375E-3"/>
    <n v="3.7715340443193588E-4"/>
    <n v="0.11946758472184904"/>
    <n v="8.1123262580013775E-2"/>
    <m/>
    <m/>
  </r>
  <r>
    <x v="0"/>
    <x v="0"/>
    <x v="3"/>
    <x v="5"/>
    <s v="Enbridge"/>
    <x v="9"/>
    <x v="2"/>
    <m/>
    <s v="Small Midstream "/>
    <m/>
    <x v="8"/>
    <m/>
    <m/>
    <n v="1561381.4656979067"/>
    <n v="335530.44967504899"/>
    <n v="2377068394.8298411"/>
    <n v="614176841.51999986"/>
    <n v="16513"/>
    <n v="3425062807.5999999"/>
    <n v="884953189.29599977"/>
    <n v="3728492"/>
    <n v="0"/>
    <n v="0"/>
    <n v="4.5586944047662395E-4"/>
    <n v="1.7030561447988266E-4"/>
    <n v="5.3946219727558475E-2"/>
    <n v="3.663163826695727E-2"/>
    <m/>
    <m/>
  </r>
  <r>
    <x v="0"/>
    <x v="0"/>
    <x v="3"/>
    <x v="5"/>
    <s v="Enbridge"/>
    <x v="9"/>
    <x v="2"/>
    <m/>
    <s v="Industrial Custom "/>
    <m/>
    <x v="15"/>
    <n v="15131348.009"/>
    <n v="34625510.318077795"/>
    <n v="11182585.4208"/>
    <n v="10853685.849599998"/>
    <n v="2377068394.8298411"/>
    <n v="614176841.51999986"/>
    <n v="16513"/>
    <n v="3425062807.5999999"/>
    <n v="884953189.29599977"/>
    <n v="3728492"/>
    <n v="1.6504317344575665E-3"/>
    <n v="3.7767316577976347E-3"/>
    <n v="3.2649285718167106E-3"/>
    <n v="1.2197256874135279E-3"/>
    <n v="0.38636183628772885"/>
    <n v="0.26235512142511336"/>
    <m/>
    <m/>
  </r>
  <r>
    <x v="0"/>
    <x v="0"/>
    <x v="3"/>
    <x v="5"/>
    <s v="Enbridge"/>
    <x v="9"/>
    <x v="2"/>
    <m/>
    <s v="Energy Performance- Commercial Whole Building P4P"/>
    <m/>
    <x v="4"/>
    <m/>
    <m/>
    <n v="883976.47200000007"/>
    <n v="504281.88"/>
    <n v="2377068394.8298411"/>
    <n v="614176841.51999986"/>
    <n v="16513"/>
    <n v="3425062807.5999999"/>
    <n v="884953189.29599977"/>
    <n v="3728492"/>
    <n v="0"/>
    <n v="0"/>
    <n v="2.5809058743054625E-4"/>
    <n v="9.641856238022374E-5"/>
    <n v="3.0541664570860466E-2"/>
    <n v="2.073901033808621E-2"/>
    <m/>
    <m/>
  </r>
  <r>
    <x v="0"/>
    <x v="0"/>
    <x v="3"/>
    <x v="5"/>
    <s v="Enbridge"/>
    <x v="9"/>
    <x v="2"/>
    <m/>
    <s v="Large Volume "/>
    <m/>
    <x v="8"/>
    <n v="4745290.2989999996"/>
    <n v="31014969.274509802"/>
    <n v="2055622.32"/>
    <n v="2014509.8736"/>
    <n v="2377068394.8298411"/>
    <n v="614176841.51999986"/>
    <n v="16513"/>
    <n v="3425062807.5999999"/>
    <n v="884953189.29599977"/>
    <n v="3728492"/>
    <n v="5.1758625166937924E-4"/>
    <n v="3.3829166775776421E-3"/>
    <n v="6.0017069334865997E-4"/>
    <n v="2.242142807745456E-4"/>
    <n v="7.1022396376420743E-2"/>
    <n v="4.8227044379616425E-2"/>
    <m/>
    <m/>
  </r>
  <r>
    <x v="0"/>
    <x v="0"/>
    <x v="3"/>
    <x v="5"/>
    <s v="Enbridge"/>
    <x v="9"/>
    <x v="1"/>
    <n v="1"/>
    <s v="Home Windproofing "/>
    <m/>
    <x v="3"/>
    <n v="998109.73"/>
    <n v="998109.73"/>
    <n v="11588159.478095999"/>
    <n v="7667676.8158319993"/>
    <n v="0"/>
    <n v="0"/>
    <n v="0"/>
    <n v="3425062807.5999999"/>
    <n v="884953189.29599977"/>
    <n v="3728492"/>
    <n v="1.0886749626557171E-4"/>
    <n v="1.0886749626557171E-4"/>
    <n v="3.3833421835017443E-3"/>
    <n v="1.2639631403117027E-3"/>
    <n v="4.4508656983052042"/>
    <n v="0.27187031196869299"/>
    <m/>
    <m/>
  </r>
  <r>
    <x v="0"/>
    <x v="0"/>
    <x v="3"/>
    <x v="5"/>
    <s v="Enbridge"/>
    <x v="9"/>
    <x v="1"/>
    <n v="1"/>
    <s v="Affordable Housing Multi-Family "/>
    <m/>
    <x v="3"/>
    <n v="1605464.5549999999"/>
    <n v="1605464.5549999999"/>
    <n v="5754878.6603092803"/>
    <n v="4920295.6511812806"/>
    <n v="0"/>
    <n v="0"/>
    <n v="0"/>
    <n v="3425062807.5999999"/>
    <n v="884953189.29599977"/>
    <n v="3728492"/>
    <n v="1.751139190337021E-4"/>
    <n v="1.751139190337021E-4"/>
    <n v="1.6802257312010644E-3"/>
    <n v="6.2770576443537817E-4"/>
    <n v="2.2103762099145481"/>
    <n v="0.13501545777633081"/>
    <m/>
    <m/>
  </r>
  <r>
    <x v="0"/>
    <x v="0"/>
    <x v="3"/>
    <x v="5"/>
    <s v="Enbridge"/>
    <x v="9"/>
    <x v="3"/>
    <m/>
    <s v="Overhead"/>
    <m/>
    <x v="4"/>
    <n v="0"/>
    <n v="0"/>
    <n v="14800480.703180006"/>
    <m/>
    <n v="0"/>
    <n v="0"/>
    <n v="0"/>
    <n v="3425062807.5999999"/>
    <n v="884953189.29599977"/>
    <n v="3728492"/>
    <n v="0"/>
    <n v="0"/>
    <n v="4.321228991870942E-3"/>
    <n v="1.6143428214872883E-3"/>
    <s v=""/>
    <n v="0.34723471951400037"/>
    <m/>
    <m/>
  </r>
  <r>
    <x v="0"/>
    <x v="0"/>
    <x v="2"/>
    <x v="5"/>
    <s v="FortisBC"/>
    <x v="8"/>
    <x v="0"/>
    <m/>
    <s v="Home Renovation - Attic Insulation "/>
    <m/>
    <x v="1"/>
    <n v="133731.97554499167"/>
    <n v="148591.0839388796"/>
    <n v="643532.08557695732"/>
    <n v="0"/>
    <n v="874680000"/>
    <n v="82460085.7641761"/>
    <n v="976170"/>
    <n v="1429680000"/>
    <n v="158285451.98410821"/>
    <n v="1074614"/>
    <n v="8.1551978947933736E-5"/>
    <n v="9.0613309942148574E-5"/>
    <n v="4.501231643283513E-4"/>
    <n v="3.9243654990825697E-4"/>
    <n v="0.39446831427459123"/>
    <n v="7.8938274491177809E-2"/>
    <m/>
    <m/>
  </r>
  <r>
    <x v="0"/>
    <x v="0"/>
    <x v="2"/>
    <x v="5"/>
    <s v="FortisBC"/>
    <x v="8"/>
    <x v="0"/>
    <m/>
    <s v="Home Renovation - Wall Insulation "/>
    <m/>
    <x v="1"/>
    <n v="48493.102830134005"/>
    <n v="53881.225366815546"/>
    <n v="158806.49580020041"/>
    <n v="0"/>
    <n v="874680000"/>
    <n v="82460085.7641761"/>
    <n v="976170"/>
    <n v="1429680000"/>
    <n v="158285451.98410821"/>
    <n v="1074614"/>
    <n v="2.9571899203661921E-5"/>
    <n v="3.2857665781846565E-5"/>
    <n v="1.1107835026033827E-4"/>
    <n v="9.6842837694683943E-5"/>
    <n v="9.7344222763961402E-2"/>
    <n v="1.9479853510674997E-2"/>
    <m/>
    <m/>
  </r>
  <r>
    <x v="0"/>
    <x v="0"/>
    <x v="2"/>
    <x v="5"/>
    <s v="FortisBC"/>
    <x v="8"/>
    <x v="0"/>
    <m/>
    <s v="Home Renovation - Crawlspace and Basement Insulation "/>
    <m/>
    <x v="1"/>
    <n v="13360.900361345606"/>
    <n v="14845.444845939561"/>
    <n v="119833.82031019624"/>
    <n v="0"/>
    <n v="874680000"/>
    <n v="82460085.7641761"/>
    <n v="976170"/>
    <n v="1429680000"/>
    <n v="158285451.98410821"/>
    <n v="1074614"/>
    <n v="8.1476988622464394E-6"/>
    <n v="9.0529987358293754E-6"/>
    <n v="8.381863095951279E-5"/>
    <n v="7.3076653144182093E-5"/>
    <n v="7.3454993387729817E-2"/>
    <n v="1.4699305928921751E-2"/>
    <m/>
    <m/>
  </r>
  <r>
    <x v="0"/>
    <x v="0"/>
    <x v="2"/>
    <x v="5"/>
    <s v="FortisBC"/>
    <x v="8"/>
    <x v="0"/>
    <m/>
    <s v="Home Renovation - Other Insulation "/>
    <m/>
    <x v="1"/>
    <n v="8232.0924453705229"/>
    <n v="9146.7693837450242"/>
    <n v="42898.104840941218"/>
    <n v="0"/>
    <n v="874680000"/>
    <n v="82460085.7641761"/>
    <n v="976170"/>
    <n v="1429680000"/>
    <n v="158285451.98410821"/>
    <n v="1074614"/>
    <n v="5.0200666449920206E-6"/>
    <n v="5.5778518277689114E-6"/>
    <n v="3.0005389206634503E-5"/>
    <n v="2.6159976539924152E-5"/>
    <n v="2.6295414760880851E-2"/>
    <n v="5.2620567815970807E-3"/>
    <m/>
    <m/>
  </r>
  <r>
    <x v="0"/>
    <x v="0"/>
    <x v="2"/>
    <x v="5"/>
    <s v="FortisBC"/>
    <x v="8"/>
    <x v="0"/>
    <m/>
    <s v="Home Renovation - Drain Water Heat Recovery "/>
    <m/>
    <x v="6"/>
    <n v="7553.9900800455071"/>
    <n v="8393.3223111616735"/>
    <n v="23274.216476562651"/>
    <n v="0"/>
    <n v="874680000"/>
    <n v="82460085.7641761"/>
    <n v="976170"/>
    <n v="1429680000"/>
    <n v="158285451.98410821"/>
    <n v="1074614"/>
    <n v="4.6065485645466677E-6"/>
    <n v="5.1183872939407414E-6"/>
    <n v="1.6279318782218855E-5"/>
    <n v="1.4193003613318513E-5"/>
    <n v="1.4266485145554836E-2"/>
    <n v="2.8549104698436818E-3"/>
    <m/>
    <m/>
  </r>
  <r>
    <x v="0"/>
    <x v="0"/>
    <x v="2"/>
    <x v="5"/>
    <s v="FortisBC"/>
    <x v="8"/>
    <x v="0"/>
    <m/>
    <s v="Home Renovation - Bonus Offers "/>
    <m/>
    <x v="6"/>
    <n v="0"/>
    <n v="0"/>
    <n v="142438.20483656341"/>
    <n v="0"/>
    <n v="874680000"/>
    <n v="82460085.7641761"/>
    <n v="976170"/>
    <n v="1429680000"/>
    <n v="158285451.98410821"/>
    <n v="1074614"/>
    <n v="0"/>
    <n v="0"/>
    <n v="9.9629430947179381E-5"/>
    <n v="8.6861182113509298E-5"/>
    <n v="8.7310889090795582E-2"/>
    <n v="1.747205207544333E-2"/>
    <m/>
    <m/>
  </r>
  <r>
    <x v="0"/>
    <x v="0"/>
    <x v="2"/>
    <x v="5"/>
    <s v="FortisBC"/>
    <x v="8"/>
    <x v="0"/>
    <m/>
    <s v="Home Renovation - Appliance Maintenance"/>
    <m/>
    <x v="6"/>
    <n v="456752.88856089121"/>
    <n v="507503.20951210125"/>
    <n v="651678.06134375418"/>
    <n v="0"/>
    <n v="874680000"/>
    <n v="82460085.7641761"/>
    <n v="976170"/>
    <n v="1429680000"/>
    <n v="158285451.98410821"/>
    <n v="1074614"/>
    <n v="2.7853549460049625E-4"/>
    <n v="3.094838828894402E-4"/>
    <n v="4.5582092590212787E-4"/>
    <n v="3.9740410117291837E-4"/>
    <n v="0.39946158407553534"/>
    <n v="7.9937493155623082E-2"/>
    <m/>
    <m/>
  </r>
  <r>
    <x v="0"/>
    <x v="0"/>
    <x v="2"/>
    <x v="5"/>
    <s v="FortisBC"/>
    <x v="8"/>
    <x v="0"/>
    <m/>
    <s v="Home Renovation - Air Sealing "/>
    <m/>
    <x v="1"/>
    <n v="28810.566816917744"/>
    <n v="32011.740907686377"/>
    <n v="8378717.931562555"/>
    <n v="0"/>
    <n v="874680000"/>
    <n v="82460085.7641761"/>
    <n v="976170"/>
    <n v="1429680000"/>
    <n v="158285451.98410821"/>
    <n v="1074614"/>
    <n v="1.756916196710822E-5"/>
    <n v="1.9521291074564687E-5"/>
    <n v="5.860554761598788E-3"/>
    <n v="5.1094813007946651E-3"/>
    <n v="5.1359346523997411"/>
    <n v="1.0277677691437255"/>
    <m/>
    <m/>
  </r>
  <r>
    <x v="0"/>
    <x v="0"/>
    <x v="2"/>
    <x v="5"/>
    <s v="FortisBC"/>
    <x v="8"/>
    <x v="0"/>
    <m/>
    <s v="Home Renovation - Draft Proofing "/>
    <m/>
    <x v="1"/>
    <n v="31621.353823446312"/>
    <n v="35134.837581607011"/>
    <n v="50272.307589375327"/>
    <n v="0"/>
    <n v="874680000"/>
    <n v="82460085.7641761"/>
    <n v="976170"/>
    <n v="1429680000"/>
    <n v="158285451.98410821"/>
    <n v="1074614"/>
    <n v="1.9283226549265125E-5"/>
    <n v="2.1425807276961247E-5"/>
    <n v="3.5163328569592726E-5"/>
    <n v="3.0656887804767988E-5"/>
    <n v="3.0815607914398444E-2"/>
    <n v="6.1666066148623527E-3"/>
    <m/>
    <m/>
  </r>
  <r>
    <x v="0"/>
    <x v="0"/>
    <x v="2"/>
    <x v="5"/>
    <s v="FortisBC"/>
    <x v="8"/>
    <x v="0"/>
    <m/>
    <s v="Home Renovation - ENERGY STAR Washer ($25) "/>
    <m/>
    <x v="6"/>
    <n v="4391.8546977008764"/>
    <n v="4879.8385530009737"/>
    <n v="11637.108238281326"/>
    <n v="0"/>
    <n v="874680000"/>
    <n v="82460085.7641761"/>
    <n v="976170"/>
    <n v="1429680000"/>
    <n v="158285451.98410821"/>
    <n v="1074614"/>
    <n v="2.6782259096201559E-6"/>
    <n v="2.9758065662446179E-6"/>
    <n v="8.1396593911094273E-6"/>
    <n v="7.0965018066592565E-6"/>
    <n v="7.1332425727774181E-3"/>
    <n v="1.4274552349218409E-3"/>
    <m/>
    <m/>
  </r>
  <r>
    <x v="0"/>
    <x v="0"/>
    <x v="2"/>
    <x v="5"/>
    <s v="FortisBC"/>
    <x v="8"/>
    <x v="0"/>
    <m/>
    <s v="Home Renovation - ENERGY STAR Dryer "/>
    <m/>
    <x v="6"/>
    <n v="153.71491441953069"/>
    <n v="170.79434935503406"/>
    <n v="1163.7108238281328"/>
    <n v="0"/>
    <n v="874680000"/>
    <n v="82460085.7641761"/>
    <n v="976170"/>
    <n v="1429680000"/>
    <n v="158285451.98410821"/>
    <n v="1074614"/>
    <n v="9.3737906836705477E-8"/>
    <n v="1.0415322981856161E-7"/>
    <n v="8.1396593911094285E-7"/>
    <n v="7.0965018066592584E-7"/>
    <n v="7.1332425727774196E-4"/>
    <n v="1.4274552349218412E-4"/>
    <m/>
    <m/>
  </r>
  <r>
    <x v="0"/>
    <x v="0"/>
    <x v="2"/>
    <x v="5"/>
    <s v="FortisBC"/>
    <x v="8"/>
    <x v="0"/>
    <m/>
    <s v="Home Renovation - Showerheads and Aerators "/>
    <m/>
    <x v="6"/>
    <n v="167724.9309051965"/>
    <n v="186361.03433910717"/>
    <n v="37424.94009431274"/>
    <n v="0"/>
    <n v="874680000"/>
    <n v="82460085.7641761"/>
    <n v="976170"/>
    <n v="1429680000"/>
    <n v="158285451.98410821"/>
    <n v="1074614"/>
    <n v="1.0228144748839377E-4"/>
    <n v="1.1364605276488194E-4"/>
    <n v="2.6177144601807914E-5"/>
    <n v="2.282234981021617E-5"/>
    <n v="2.2940508114052172E-2"/>
    <n v="4.5906960355086403E-3"/>
    <m/>
    <m/>
  </r>
  <r>
    <x v="0"/>
    <x v="0"/>
    <x v="2"/>
    <x v="5"/>
    <s v="FortisBC"/>
    <x v="8"/>
    <x v="0"/>
    <m/>
    <s v="Home Renovation - High Performance Windows and Doors "/>
    <m/>
    <x v="1"/>
    <n v="24664.655982288121"/>
    <n v="27405.173313653468"/>
    <n v="435693.33244125283"/>
    <n v="0"/>
    <n v="874680000"/>
    <n v="82460085.7641761"/>
    <n v="976170"/>
    <n v="1429680000"/>
    <n v="158285451.98410821"/>
    <n v="1074614"/>
    <n v="1.5040916708426797E-5"/>
    <n v="1.6712129676029773E-5"/>
    <n v="3.0474884760313696E-4"/>
    <n v="2.6569302764132256E-4"/>
    <n v="0.26706860192478654"/>
    <n v="5.3443923995473722E-2"/>
    <m/>
    <m/>
  </r>
  <r>
    <x v="0"/>
    <x v="0"/>
    <x v="2"/>
    <x v="5"/>
    <s v="FortisBC"/>
    <x v="8"/>
    <x v="0"/>
    <m/>
    <s v="Home Renovation - Dual Fuel Hybrid Systems "/>
    <m/>
    <x v="6"/>
    <n v="351348.37581607013"/>
    <n v="390387.08424007788"/>
    <n v="9495880.322437562"/>
    <n v="0"/>
    <n v="874680000"/>
    <n v="82460085.7641761"/>
    <n v="976170"/>
    <n v="1429680000"/>
    <n v="158285451.98410821"/>
    <n v="1074614"/>
    <n v="2.1425807276961251E-4"/>
    <n v="2.3806452529956943E-4"/>
    <n v="6.6419620631452923E-3"/>
    <n v="5.7907454742339541E-3"/>
    <n v="5.8207259393863735"/>
    <n v="1.1648034716962223"/>
    <m/>
    <m/>
  </r>
  <r>
    <x v="0"/>
    <x v="0"/>
    <x v="2"/>
    <x v="5"/>
    <s v="FortisBC"/>
    <x v="8"/>
    <x v="0"/>
    <m/>
    <s v="Home Renovation - High Efficiency Heat Recovery Ventilator "/>
    <m/>
    <x v="6"/>
    <n v="0"/>
    <n v="0"/>
    <n v="0"/>
    <n v="0"/>
    <n v="874680000"/>
    <n v="82460085.7641761"/>
    <n v="976170"/>
    <n v="1429680000"/>
    <n v="158285451.98410821"/>
    <n v="1074614"/>
    <n v="0"/>
    <n v="0"/>
    <n v="0"/>
    <n v="0"/>
    <n v="0"/>
    <n v="0"/>
    <m/>
    <m/>
  </r>
  <r>
    <x v="0"/>
    <x v="0"/>
    <x v="2"/>
    <x v="5"/>
    <s v="FortisBC"/>
    <x v="8"/>
    <x v="0"/>
    <m/>
    <s v="Home Renovation - Whole Home Performance "/>
    <m/>
    <x v="6"/>
    <n v="0"/>
    <n v="0"/>
    <n v="0"/>
    <n v="0"/>
    <n v="874680000"/>
    <n v="82460085.7641761"/>
    <n v="976170"/>
    <n v="1429680000"/>
    <n v="158285451.98410821"/>
    <n v="1074614"/>
    <n v="0"/>
    <n v="0"/>
    <n v="0"/>
    <n v="0"/>
    <n v="0"/>
    <n v="0"/>
    <m/>
    <m/>
  </r>
  <r>
    <x v="0"/>
    <x v="0"/>
    <x v="2"/>
    <x v="5"/>
    <s v="FortisBC"/>
    <x v="8"/>
    <x v="0"/>
    <m/>
    <s v="Home Renovation - HVAC Optimization – Contractor Rebate "/>
    <m/>
    <x v="6"/>
    <n v="28986.241004825788"/>
    <n v="32206.934449806424"/>
    <n v="199692.77736890755"/>
    <n v="0"/>
    <n v="874680000"/>
    <n v="82460085.7641761"/>
    <n v="976170"/>
    <n v="1429680000"/>
    <n v="158285451.98410821"/>
    <n v="1074614"/>
    <n v="1.7676291003493029E-5"/>
    <n v="1.9640323337214474E-5"/>
    <n v="1.3967655515143777E-4"/>
    <n v="1.2177597100227284E-4"/>
    <n v="0.12240644254886049"/>
    <n v="2.4495131831258791E-2"/>
    <m/>
    <m/>
  </r>
  <r>
    <x v="0"/>
    <x v="0"/>
    <x v="2"/>
    <x v="5"/>
    <s v="FortisBC"/>
    <x v="8"/>
    <x v="0"/>
    <m/>
    <s v="Home Renovation - Whole Home Performance Support "/>
    <m/>
    <x v="6"/>
    <n v="0"/>
    <n v="0"/>
    <n v="0"/>
    <n v="0"/>
    <n v="874680000"/>
    <n v="82460085.7641761"/>
    <n v="976170"/>
    <n v="1429680000"/>
    <n v="158285451.98410821"/>
    <n v="1074614"/>
    <n v="0"/>
    <n v="0"/>
    <n v="0"/>
    <n v="0"/>
    <n v="0"/>
    <n v="0"/>
    <m/>
    <m/>
  </r>
  <r>
    <x v="0"/>
    <x v="0"/>
    <x v="2"/>
    <x v="5"/>
    <s v="FortisBC"/>
    <x v="8"/>
    <x v="0"/>
    <m/>
    <s v="Home Renovation - Space and Water Heating Controls "/>
    <m/>
    <x v="6"/>
    <n v="182701.15542435646"/>
    <n v="203001.28380484047"/>
    <n v="458036.58025875298"/>
    <n v="0"/>
    <n v="874680000"/>
    <n v="82460085.7641761"/>
    <n v="976170"/>
    <n v="1429680000"/>
    <n v="158285451.98410821"/>
    <n v="1074614"/>
    <n v="1.1141419784019849E-4"/>
    <n v="1.2379355315577607E-4"/>
    <n v="3.2037699363406704E-4"/>
    <n v="2.7931831111010835E-4"/>
    <n v="0.28076442766451915"/>
    <n v="5.6184638046523662E-2"/>
    <m/>
    <m/>
  </r>
  <r>
    <x v="0"/>
    <x v="0"/>
    <x v="2"/>
    <x v="5"/>
    <s v="FortisBC"/>
    <x v="8"/>
    <x v="0"/>
    <m/>
    <s v="New Homes - Drain Water Heat Recovery "/>
    <m/>
    <x v="0"/>
    <n v="422.98759688189972"/>
    <n v="469.98621875766634"/>
    <n v="3401.0422947712982"/>
    <n v="0"/>
    <n v="874680000"/>
    <n v="82460085.7641761"/>
    <n v="976170"/>
    <n v="1429680000"/>
    <n v="158285451.98410821"/>
    <n v="1074614"/>
    <n v="2.5794485915258466E-7"/>
    <n v="2.8660539905842736E-7"/>
    <n v="2.3788835926719953E-6"/>
    <n v="2.0740120565324924E-6"/>
    <n v="2.0847498529808495E-3"/>
    <n v="4.171857413761485E-4"/>
    <m/>
    <m/>
  </r>
  <r>
    <x v="0"/>
    <x v="0"/>
    <x v="2"/>
    <x v="5"/>
    <s v="FortisBC"/>
    <x v="8"/>
    <x v="0"/>
    <m/>
    <s v="New Homes - Communicating Thermostat "/>
    <m/>
    <x v="0"/>
    <n v="15094.851496569752"/>
    <n v="16772.057218410835"/>
    <n v="63486.122835730894"/>
    <n v="0"/>
    <n v="874680000"/>
    <n v="82460085.7641761"/>
    <n v="976170"/>
    <n v="1429680000"/>
    <n v="158285451.98410821"/>
    <n v="1074614"/>
    <n v="9.2050910521118417E-6"/>
    <n v="1.0227878946790935E-5"/>
    <n v="4.4405827063210574E-5"/>
    <n v="3.8714891721939855E-5"/>
    <n v="3.8915330588975859E-2"/>
    <n v="7.7874671723547721E-3"/>
    <m/>
    <m/>
  </r>
  <r>
    <x v="0"/>
    <x v="0"/>
    <x v="2"/>
    <x v="5"/>
    <s v="FortisBC"/>
    <x v="8"/>
    <x v="0"/>
    <m/>
    <s v="New Homes - ENERGY STAR Dryers "/>
    <m/>
    <x v="0"/>
    <n v="203.19992399228514"/>
    <n v="225.77769332476123"/>
    <n v="3174.3061417865451"/>
    <n v="0"/>
    <n v="874680000"/>
    <n v="82460085.7641761"/>
    <n v="976170"/>
    <n v="1429680000"/>
    <n v="158285451.98410821"/>
    <n v="1074614"/>
    <n v="1.2391468723996712E-7"/>
    <n v="1.3768298582218566E-7"/>
    <n v="2.2202913531605289E-6"/>
    <n v="1.935744586096993E-6"/>
    <n v="1.945766529448793E-3"/>
    <n v="3.8937335861773863E-4"/>
    <m/>
    <m/>
  </r>
  <r>
    <x v="0"/>
    <x v="0"/>
    <x v="2"/>
    <x v="5"/>
    <s v="FortisBC"/>
    <x v="8"/>
    <x v="0"/>
    <m/>
    <s v="New Homes - STEP 4 (Detached Home) – Dual Fuel Hybrid System "/>
    <m/>
    <x v="0"/>
    <n v="63448.139532284949"/>
    <n v="70497.932813649939"/>
    <n v="2040625.3768627788"/>
    <n v="0"/>
    <n v="874680000"/>
    <n v="82460085.7641761"/>
    <n v="976170"/>
    <n v="1429680000"/>
    <n v="158285451.98410821"/>
    <n v="1074614"/>
    <n v="3.869172887288769E-5"/>
    <n v="4.2990809858764096E-5"/>
    <n v="1.4273301556031971E-3"/>
    <n v="1.2444072339194954E-3"/>
    <n v="1.2508499117885097"/>
    <n v="0.25031144482568912"/>
    <m/>
    <m/>
  </r>
  <r>
    <x v="0"/>
    <x v="0"/>
    <x v="2"/>
    <x v="5"/>
    <s v="FortisBC"/>
    <x v="8"/>
    <x v="0"/>
    <m/>
    <s v="New Homes - STEP 4 (Row Home) – Dual Fuel Hybrid System "/>
    <m/>
    <x v="0"/>
    <n v="7816.9766678664801"/>
    <n v="8685.5296309627538"/>
    <n v="340104.22947712982"/>
    <n v="0"/>
    <n v="874680000"/>
    <n v="82460085.7641761"/>
    <n v="976170"/>
    <n v="1429680000"/>
    <n v="158285451.98410821"/>
    <n v="1074614"/>
    <n v="4.7669221519864906E-6"/>
    <n v="5.2965801688738774E-6"/>
    <n v="2.3788835926719952E-4"/>
    <n v="2.0740120565324925E-4"/>
    <n v="0.20847498529808497"/>
    <n v="4.1718574137614851E-2"/>
    <m/>
    <m/>
  </r>
  <r>
    <x v="0"/>
    <x v="0"/>
    <x v="2"/>
    <x v="5"/>
    <s v="FortisBC"/>
    <x v="8"/>
    <x v="0"/>
    <m/>
    <s v="New Homes - STEP 5 (Detached Home) – Dual Fuel Hybrid System "/>
    <m/>
    <x v="0"/>
    <n v="3436.9815715266518"/>
    <n v="3818.868412807391"/>
    <n v="145111.13791024205"/>
    <n v="0"/>
    <n v="874680000"/>
    <n v="82460085.7641761"/>
    <n v="976170"/>
    <n v="1429680000"/>
    <n v="158285451.98410821"/>
    <n v="1074614"/>
    <n v="2.0959284241731584E-6"/>
    <n v="2.3288093601923981E-6"/>
    <n v="1.0149903328733846E-4"/>
    <n v="8.8491181078719677E-5"/>
    <n v="8.8949327060516239E-2"/>
    <n v="1.7799924965382335E-2"/>
    <m/>
    <m/>
  </r>
  <r>
    <x v="0"/>
    <x v="0"/>
    <x v="2"/>
    <x v="5"/>
    <s v="FortisBC"/>
    <x v="8"/>
    <x v="0"/>
    <m/>
    <s v="New Homes - STEP 5 (Row Home) – Dual Fuel Hybrid System "/>
    <m/>
    <x v="0"/>
    <n v="633.65200787798312"/>
    <n v="704.05778653109235"/>
    <n v="36277.784477560512"/>
    <n v="0"/>
    <n v="874680000"/>
    <n v="82460085.7641761"/>
    <n v="976170"/>
    <n v="1429680000"/>
    <n v="158285451.98410821"/>
    <n v="1074614"/>
    <n v="3.8641151449524446E-7"/>
    <n v="4.2934612721693826E-7"/>
    <n v="2.5374758321834615E-5"/>
    <n v="2.2122795269679919E-5"/>
    <n v="2.223733176512906E-2"/>
    <n v="4.4499812413455837E-3"/>
    <m/>
    <m/>
  </r>
  <r>
    <x v="0"/>
    <x v="0"/>
    <x v="2"/>
    <x v="5"/>
    <s v="FortisBC"/>
    <x v="8"/>
    <x v="2"/>
    <m/>
    <s v="Prescriptive - Condensing Boiler Plant Optimization "/>
    <m/>
    <x v="17"/>
    <n v="29165.97201612169"/>
    <n v="32406.635573468546"/>
    <n v="212364.60705274172"/>
    <n v="0"/>
    <n v="555000000"/>
    <n v="75825366.219932109"/>
    <n v="98444"/>
    <n v="1429680000"/>
    <n v="158285451.98410821"/>
    <n v="1074614"/>
    <n v="1.7785893958132424E-5"/>
    <n v="1.9762104397924917E-5"/>
    <n v="1.4853995792956585E-4"/>
    <n v="1.2950346312520325E-4"/>
    <n v="3.5919759912346437E-2"/>
    <n v="2.6049510225602791E-2"/>
    <m/>
    <m/>
  </r>
  <r>
    <x v="0"/>
    <x v="0"/>
    <x v="2"/>
    <x v="5"/>
    <s v="FortisBC"/>
    <x v="8"/>
    <x v="2"/>
    <m/>
    <s v="Prescriptive - Domestic Hot Water System Optimization "/>
    <m/>
    <x v="6"/>
    <n v="4860.9953360202808"/>
    <n v="5401.1059289114237"/>
    <n v="141576.40470182782"/>
    <n v="0"/>
    <n v="555000000"/>
    <n v="75825366.219932109"/>
    <n v="98444"/>
    <n v="1429680000"/>
    <n v="158285451.98410821"/>
    <n v="1074614"/>
    <n v="2.9643156596887368E-6"/>
    <n v="3.2936840663208192E-6"/>
    <n v="9.9026638619710577E-5"/>
    <n v="8.6335642083468851E-5"/>
    <n v="2.3946506608230958E-2"/>
    <n v="1.7366340150401862E-2"/>
    <m/>
    <m/>
  </r>
  <r>
    <x v="0"/>
    <x v="0"/>
    <x v="2"/>
    <x v="5"/>
    <s v="FortisBC"/>
    <x v="8"/>
    <x v="2"/>
    <m/>
    <s v="Prescriptive - Food Services Efficiency Measures "/>
    <m/>
    <x v="6"/>
    <n v="224577.98452413699"/>
    <n v="249531.09391570778"/>
    <n v="485399.42273370671"/>
    <n v="0"/>
    <n v="555000000"/>
    <n v="75825366.219932109"/>
    <n v="98444"/>
    <n v="1429680000"/>
    <n v="158285451.98410821"/>
    <n v="1074614"/>
    <n v="1.3695138347761968E-4"/>
    <n v="1.5216820386402185E-4"/>
    <n v="3.3951613139563167E-4"/>
    <n v="2.9600462673790907E-4"/>
    <n v="8.2101396123206771E-2"/>
    <n v="5.9541076083657794E-2"/>
    <m/>
    <m/>
  </r>
  <r>
    <x v="0"/>
    <x v="0"/>
    <x v="2"/>
    <x v="5"/>
    <s v="FortisBC"/>
    <x v="8"/>
    <x v="2"/>
    <m/>
    <s v="Prescriptive - Low Flow Spray Valves "/>
    <m/>
    <x v="6"/>
    <n v="769.65759486987781"/>
    <n v="855.17510541097533"/>
    <n v="566.30561880731125"/>
    <n v="0"/>
    <n v="555000000"/>
    <n v="75825366.219932109"/>
    <n v="98444"/>
    <n v="1429680000"/>
    <n v="158285451.98410821"/>
    <n v="1074614"/>
    <n v="4.6934997945071669E-7"/>
    <n v="5.2149997716746299E-7"/>
    <n v="3.9610655447884229E-7"/>
    <n v="3.4534256833387539E-7"/>
    <n v="9.5786026432923823E-5"/>
    <n v="6.9465360601607439E-5"/>
    <m/>
    <m/>
  </r>
  <r>
    <x v="0"/>
    <x v="0"/>
    <x v="2"/>
    <x v="5"/>
    <s v="FortisBC"/>
    <x v="8"/>
    <x v="2"/>
    <m/>
    <s v="Prescriptive - Vortex Deaerators "/>
    <m/>
    <x v="6"/>
    <n v="16041.284608866928"/>
    <n v="17823.649565407701"/>
    <n v="47192.134900609271"/>
    <n v="0"/>
    <n v="555000000"/>
    <n v="75825366.219932109"/>
    <n v="98444"/>
    <n v="1429680000"/>
    <n v="158285451.98410821"/>
    <n v="1074614"/>
    <n v="9.7822416769728344E-6"/>
    <n v="1.0869157418858705E-5"/>
    <n v="3.3008879539903528E-5"/>
    <n v="2.8778547361156279E-5"/>
    <n v="7.9821688694103193E-3"/>
    <n v="5.7887800501339537E-3"/>
    <m/>
    <m/>
  </r>
  <r>
    <x v="0"/>
    <x v="0"/>
    <x v="2"/>
    <x v="5"/>
    <s v="FortisBC"/>
    <x v="8"/>
    <x v="2"/>
    <m/>
    <s v="Prescriptive - Air Curtains "/>
    <m/>
    <x v="6"/>
    <n v="30000.442882138501"/>
    <n v="33333.825424598341"/>
    <n v="33034.494430426486"/>
    <n v="0"/>
    <n v="555000000"/>
    <n v="75825366.219932109"/>
    <n v="98444"/>
    <n v="1429680000"/>
    <n v="158285451.98410821"/>
    <n v="1074614"/>
    <n v="1.8294768146378988E-5"/>
    <n v="2.0327520162643326E-5"/>
    <n v="2.3106215677932465E-5"/>
    <n v="2.0144983152809393E-5"/>
    <n v="5.5875182085872227E-3"/>
    <n v="4.0521460350937668E-3"/>
    <m/>
    <m/>
  </r>
  <r>
    <x v="0"/>
    <x v="0"/>
    <x v="2"/>
    <x v="5"/>
    <s v="FortisBC"/>
    <x v="8"/>
    <x v="2"/>
    <m/>
    <s v="Prescriptive - Pipe and Tank Insulation "/>
    <m/>
    <x v="6"/>
    <n v="4860.9953360202808"/>
    <n v="5401.1059289114237"/>
    <n v="47192.134900609271"/>
    <n v="0"/>
    <n v="555000000"/>
    <n v="75825366.219932109"/>
    <n v="98444"/>
    <n v="1429680000"/>
    <n v="158285451.98410821"/>
    <n v="1074614"/>
    <n v="2.9643156596887368E-6"/>
    <n v="3.2936840663208192E-6"/>
    <n v="3.3008879539903528E-5"/>
    <n v="2.8778547361156279E-5"/>
    <n v="7.9821688694103193E-3"/>
    <n v="5.7887800501339537E-3"/>
    <m/>
    <m/>
  </r>
  <r>
    <x v="0"/>
    <x v="0"/>
    <x v="2"/>
    <x v="5"/>
    <s v="FortisBC"/>
    <x v="8"/>
    <x v="2"/>
    <m/>
    <s v="Prescriptive - Steam Boiler Plant Optimization "/>
    <m/>
    <x v="17"/>
    <n v="35096.386326066429"/>
    <n v="38995.984806740489"/>
    <n v="56630.561880731126"/>
    <n v="0"/>
    <n v="555000000"/>
    <n v="75825366.219932109"/>
    <n v="98444"/>
    <n v="1429680000"/>
    <n v="158285451.98410821"/>
    <n v="1074614"/>
    <n v="2.1402359062952683E-5"/>
    <n v="2.3780398958836321E-5"/>
    <n v="3.9610655447884229E-5"/>
    <n v="3.4534256833387536E-5"/>
    <n v="9.5786026432923832E-3"/>
    <n v="6.9465360601607441E-3"/>
    <m/>
    <m/>
  </r>
  <r>
    <x v="0"/>
    <x v="0"/>
    <x v="2"/>
    <x v="5"/>
    <s v="FortisBC"/>
    <x v="8"/>
    <x v="2"/>
    <m/>
    <s v="Prescriptive - Hybrid Dual Fuel RTUs "/>
    <m/>
    <x v="6"/>
    <n v="24304.976680101405"/>
    <n v="27005.529644557118"/>
    <n v="235960.67450304635"/>
    <n v="0"/>
    <n v="555000000"/>
    <n v="75825366.219932109"/>
    <n v="98444"/>
    <n v="1429680000"/>
    <n v="158285451.98410821"/>
    <n v="1074614"/>
    <n v="1.4821578298443687E-5"/>
    <n v="1.6468420331604096E-5"/>
    <n v="1.6504439769951762E-4"/>
    <n v="1.4389273680578141E-4"/>
    <n v="3.9910844347051597E-2"/>
    <n v="2.8943900250669768E-2"/>
    <m/>
    <m/>
  </r>
  <r>
    <x v="0"/>
    <x v="0"/>
    <x v="2"/>
    <x v="5"/>
    <s v="FortisBC"/>
    <x v="8"/>
    <x v="2"/>
    <m/>
    <s v="Prescriptive - Hybrid Dual Fuel Hydronic Systems "/>
    <m/>
    <x v="6"/>
    <n v="64748.45787579014"/>
    <n v="71942.730973100173"/>
    <n v="141576.40470182782"/>
    <n v="0"/>
    <n v="555000000"/>
    <n v="75825366.219932109"/>
    <n v="98444"/>
    <n v="1429680000"/>
    <n v="158285451.98410821"/>
    <n v="1074614"/>
    <n v="3.948468458705398E-5"/>
    <n v="4.3871871763393319E-5"/>
    <n v="9.9026638619710577E-5"/>
    <n v="8.6335642083468851E-5"/>
    <n v="2.3946506608230958E-2"/>
    <n v="1.7366340150401862E-2"/>
    <m/>
    <m/>
  </r>
  <r>
    <x v="0"/>
    <x v="0"/>
    <x v="2"/>
    <x v="5"/>
    <s v="FortisBC"/>
    <x v="8"/>
    <x v="2"/>
    <m/>
    <s v="Prescriptive - Gas Heat Pumps "/>
    <m/>
    <x v="6"/>
    <n v="24385.993269035076"/>
    <n v="27095.548076705643"/>
    <n v="424729.21410548344"/>
    <n v="0"/>
    <n v="555000000"/>
    <n v="75825366.219932109"/>
    <n v="98444"/>
    <n v="1429680000"/>
    <n v="158285451.98410821"/>
    <n v="1074614"/>
    <n v="1.4870983559438499E-5"/>
    <n v="1.6523315066042775E-5"/>
    <n v="2.970799158591317E-4"/>
    <n v="2.590069262504065E-4"/>
    <n v="7.1839519824692874E-2"/>
    <n v="5.2099020451205583E-2"/>
    <m/>
    <m/>
  </r>
  <r>
    <x v="0"/>
    <x v="0"/>
    <x v="2"/>
    <x v="5"/>
    <s v="FortisBC"/>
    <x v="8"/>
    <x v="2"/>
    <m/>
    <s v="Prescriptive - Connected Thermostats "/>
    <m/>
    <x v="6"/>
    <n v="405.08294466835673"/>
    <n v="450.0921607426186"/>
    <n v="943.84269801218534"/>
    <n v="0"/>
    <n v="555000000"/>
    <n v="75825366.219932109"/>
    <n v="98444"/>
    <n v="1429680000"/>
    <n v="158285451.98410821"/>
    <n v="1074614"/>
    <n v="2.4702630497406142E-7"/>
    <n v="2.7447367219340158E-7"/>
    <n v="6.6017759079807039E-7"/>
    <n v="5.7557094722312564E-7"/>
    <n v="1.5964337738820635E-4"/>
    <n v="1.1577560100267906E-4"/>
    <m/>
    <m/>
  </r>
  <r>
    <x v="0"/>
    <x v="0"/>
    <x v="2"/>
    <x v="5"/>
    <s v="FortisBC"/>
    <x v="8"/>
    <x v="2"/>
    <m/>
    <s v="Prescriptive - Hydronic Additives "/>
    <m/>
    <x v="6"/>
    <n v="10548.359879164011"/>
    <n v="11720.399865737791"/>
    <n v="13213.797772170596"/>
    <n v="0"/>
    <n v="555000000"/>
    <n v="75825366.219932109"/>
    <n v="98444"/>
    <n v="1429680000"/>
    <n v="158285451.98410821"/>
    <n v="1074614"/>
    <n v="6.4325649815245607E-6"/>
    <n v="7.1472944239161787E-6"/>
    <n v="9.2424862711729869E-6"/>
    <n v="8.0579932611237581E-6"/>
    <n v="2.2350072834348891E-3"/>
    <n v="1.6208584140375069E-3"/>
    <m/>
    <m/>
  </r>
  <r>
    <x v="0"/>
    <x v="0"/>
    <x v="2"/>
    <x v="5"/>
    <s v="FortisBC"/>
    <x v="8"/>
    <x v="2"/>
    <m/>
    <s v="Performance Existing Buildings - Studies "/>
    <m/>
    <x v="6"/>
    <n v="0"/>
    <n v="0"/>
    <n v="861293.23308270669"/>
    <n v="0"/>
    <n v="555000000"/>
    <n v="75825366.219932109"/>
    <n v="98444"/>
    <n v="1429680000"/>
    <n v="158285451.98410821"/>
    <n v="1074614"/>
    <n v="0"/>
    <n v="0"/>
    <n v="6.0243777144725161E-4"/>
    <n v="5.2523091299677737E-4"/>
    <n v="0.14568080140951173"/>
    <n v="0.10564974641399782"/>
    <m/>
    <m/>
  </r>
  <r>
    <x v="0"/>
    <x v="0"/>
    <x v="2"/>
    <x v="5"/>
    <s v="FortisBC"/>
    <x v="8"/>
    <x v="2"/>
    <m/>
    <s v="Performance Existing Buildings - Capital Upgrades "/>
    <m/>
    <x v="6"/>
    <n v="69551.233900379564"/>
    <n v="77279.148778199509"/>
    <n v="574195.48872180446"/>
    <n v="0"/>
    <n v="555000000"/>
    <n v="75825366.219932109"/>
    <n v="98444"/>
    <n v="1429680000"/>
    <n v="158285451.98410821"/>
    <n v="1074614"/>
    <n v="4.2413497144056738E-5"/>
    <n v="4.7126107937840817E-5"/>
    <n v="4.0162518096483439E-4"/>
    <n v="3.501539419978516E-4"/>
    <n v="9.7120534273007819E-2"/>
    <n v="7.043316427599855E-2"/>
    <m/>
    <m/>
  </r>
  <r>
    <x v="0"/>
    <x v="0"/>
    <x v="2"/>
    <x v="5"/>
    <s v="FortisBC"/>
    <x v="8"/>
    <x v="2"/>
    <m/>
    <s v="Performance Existing Buildings - Recommissioning "/>
    <m/>
    <x v="12"/>
    <n v="92982.933021897814"/>
    <n v="103314.3700243309"/>
    <n v="287097.74436090223"/>
    <n v="0"/>
    <n v="555000000"/>
    <n v="75825366.219932109"/>
    <n v="98444"/>
    <n v="1429680000"/>
    <n v="158285451.98410821"/>
    <n v="1074614"/>
    <n v="5.6702536288845906E-5"/>
    <n v="6.300281809871768E-5"/>
    <n v="2.0081259048241719E-4"/>
    <n v="1.750769709989258E-4"/>
    <n v="4.856026713650391E-2"/>
    <n v="3.5216582137999275E-2"/>
    <m/>
    <m/>
  </r>
  <r>
    <x v="0"/>
    <x v="0"/>
    <x v="2"/>
    <x v="5"/>
    <s v="FortisBC"/>
    <x v="8"/>
    <x v="2"/>
    <m/>
    <s v="Performance Existing Buildings - Commercial Energy Assessments "/>
    <m/>
    <x v="6"/>
    <n v="28979.680791824816"/>
    <n v="32199.645324249792"/>
    <n v="538308.27067669167"/>
    <n v="0"/>
    <n v="555000000"/>
    <n v="75825366.219932109"/>
    <n v="98444"/>
    <n v="1429680000"/>
    <n v="158285451.98410821"/>
    <n v="1074614"/>
    <n v="1.7672290476690305E-5"/>
    <n v="1.963587830743367E-5"/>
    <n v="3.7652360715453224E-4"/>
    <n v="3.2826932062298585E-4"/>
    <n v="9.1050500880944837E-2"/>
    <n v="6.6031091508748641E-2"/>
    <m/>
    <m/>
  </r>
  <r>
    <x v="0"/>
    <x v="0"/>
    <x v="2"/>
    <x v="5"/>
    <s v="FortisBC"/>
    <x v="8"/>
    <x v="2"/>
    <m/>
    <s v="Performance Existing Buildings - Commercial Strategic Energy Management (SEM) "/>
    <m/>
    <x v="14"/>
    <n v="92982.933021897814"/>
    <n v="103314.3700243309"/>
    <n v="125605.26315789473"/>
    <n v="0"/>
    <n v="555000000"/>
    <n v="75825366.219932109"/>
    <n v="98444"/>
    <n v="1429680000"/>
    <n v="158285451.98410821"/>
    <n v="1074614"/>
    <n v="5.6702536288845906E-5"/>
    <n v="6.300281809871768E-5"/>
    <n v="8.7855508336057538E-5"/>
    <n v="7.6596174812030042E-5"/>
    <n v="2.1245116872220464E-2"/>
    <n v="1.5407254685374683E-2"/>
    <m/>
    <m/>
  </r>
  <r>
    <x v="0"/>
    <x v="0"/>
    <x v="2"/>
    <x v="5"/>
    <s v="FortisBC"/>
    <x v="8"/>
    <x v="2"/>
    <m/>
    <s v="Performance New Construction - Step Code – Whole Building "/>
    <m/>
    <x v="0"/>
    <n v="0"/>
    <n v="0"/>
    <n v="0"/>
    <n v="0"/>
    <n v="555000000"/>
    <n v="75825366.219932109"/>
    <n v="98444"/>
    <n v="1429680000"/>
    <n v="158285451.98410821"/>
    <n v="1074614"/>
    <n v="0"/>
    <n v="0"/>
    <n v="0"/>
    <n v="0"/>
    <n v="0"/>
    <n v="0"/>
    <m/>
    <m/>
  </r>
  <r>
    <x v="0"/>
    <x v="0"/>
    <x v="2"/>
    <x v="5"/>
    <s v="FortisBC"/>
    <x v="8"/>
    <x v="2"/>
    <m/>
    <s v="Performance New Construction - Non-Step Code – Whole Building "/>
    <m/>
    <x v="0"/>
    <n v="0"/>
    <n v="0"/>
    <n v="0"/>
    <n v="0"/>
    <n v="555000000"/>
    <n v="75825366.219932109"/>
    <n v="98444"/>
    <n v="1429680000"/>
    <n v="158285451.98410821"/>
    <n v="1074614"/>
    <n v="0"/>
    <n v="0"/>
    <n v="0"/>
    <n v="0"/>
    <n v="0"/>
    <n v="0"/>
    <m/>
    <m/>
  </r>
  <r>
    <x v="0"/>
    <x v="0"/>
    <x v="2"/>
    <x v="5"/>
    <s v="FortisBC"/>
    <x v="8"/>
    <x v="2"/>
    <m/>
    <s v="RAP - Energy Assessments "/>
    <m/>
    <x v="6"/>
    <n v="43385.159871959273"/>
    <n v="48205.733191065854"/>
    <n v="231325.20325203252"/>
    <n v="0"/>
    <n v="555000000"/>
    <n v="75825366.219932109"/>
    <n v="98444"/>
    <n v="1429680000"/>
    <n v="158285451.98410821"/>
    <n v="1074614"/>
    <n v="2.6456990784080788E-5"/>
    <n v="2.9396656426756428E-5"/>
    <n v="1.6180208385934791E-4"/>
    <n v="1.4106594947735186E-4"/>
    <n v="3.9126791784207873E-2"/>
    <n v="2.8375294410790886E-2"/>
    <m/>
    <m/>
  </r>
  <r>
    <x v="0"/>
    <x v="0"/>
    <x v="2"/>
    <x v="5"/>
    <s v="FortisBC"/>
    <x v="8"/>
    <x v="2"/>
    <m/>
    <s v="RAP - Implementation Support "/>
    <m/>
    <x v="6"/>
    <n v="0"/>
    <n v="0"/>
    <n v="42409.620596205961"/>
    <n v="0"/>
    <n v="555000000"/>
    <n v="75825366.219932109"/>
    <n v="98444"/>
    <n v="1429680000"/>
    <n v="158285451.98410821"/>
    <n v="1074614"/>
    <n v="0"/>
    <n v="0"/>
    <n v="2.9663715374213782E-5"/>
    <n v="2.5862090737514505E-5"/>
    <n v="7.1732451604381107E-3"/>
    <n v="5.2021373086449958E-3"/>
    <m/>
    <m/>
  </r>
  <r>
    <x v="0"/>
    <x v="0"/>
    <x v="2"/>
    <x v="5"/>
    <s v="FortisBC"/>
    <x v="8"/>
    <x v="2"/>
    <m/>
    <s v="RAP - Recirculation Controls "/>
    <m/>
    <x v="6"/>
    <n v="2317.5833264935509"/>
    <n v="2575.0925849928344"/>
    <n v="32385.528455284551"/>
    <n v="0"/>
    <n v="555000000"/>
    <n v="75825366.219932109"/>
    <n v="98444"/>
    <n v="1429680000"/>
    <n v="158285451.98410821"/>
    <n v="1074614"/>
    <n v="1.4133007897479056E-6"/>
    <n v="1.5703342108310063E-6"/>
    <n v="2.2652291740308705E-5"/>
    <n v="1.974923292682926E-5"/>
    <n v="5.4777508497891028E-3"/>
    <n v="3.9725412175107243E-3"/>
    <m/>
    <m/>
  </r>
  <r>
    <x v="0"/>
    <x v="0"/>
    <x v="2"/>
    <x v="5"/>
    <s v="FortisBC"/>
    <x v="8"/>
    <x v="2"/>
    <m/>
    <s v="RAP - Pipe Insulation "/>
    <m/>
    <x v="6"/>
    <n v="4635.1666529871018"/>
    <n v="5150.1851699856688"/>
    <n v="17734.932249322494"/>
    <n v="0"/>
    <n v="555000000"/>
    <n v="75825366.219932109"/>
    <n v="98444"/>
    <n v="1429680000"/>
    <n v="158285451.98410821"/>
    <n v="1074614"/>
    <n v="2.8266015794958112E-6"/>
    <n v="3.1406684216620125E-6"/>
    <n v="1.2404826429216673E-5"/>
    <n v="1.0815056126596977E-5"/>
    <n v="2.9997207034559372E-3"/>
    <n v="2.1754392381606348E-3"/>
    <m/>
    <m/>
  </r>
  <r>
    <x v="0"/>
    <x v="0"/>
    <x v="2"/>
    <x v="5"/>
    <s v="FortisBC"/>
    <x v="8"/>
    <x v="2"/>
    <m/>
    <s v="RAP - Door/Window Seal "/>
    <m/>
    <x v="6"/>
    <n v="2781.0999917922609"/>
    <n v="3090.1111019914006"/>
    <n v="161927.64227642276"/>
    <n v="0"/>
    <n v="555000000"/>
    <n v="75825366.219932109"/>
    <n v="98444"/>
    <n v="1429680000"/>
    <n v="158285451.98410821"/>
    <n v="1074614"/>
    <n v="1.6959609476974866E-6"/>
    <n v="1.8844010529972069E-6"/>
    <n v="1.1326145870154353E-4"/>
    <n v="9.8746164634146288E-5"/>
    <n v="2.7388754248945515E-2"/>
    <n v="1.9862706087553621E-2"/>
    <m/>
    <m/>
  </r>
  <r>
    <x v="0"/>
    <x v="0"/>
    <x v="2"/>
    <x v="5"/>
    <s v="FortisBC"/>
    <x v="8"/>
    <x v="2"/>
    <m/>
    <s v="RAP - Showerheads and Aerators "/>
    <m/>
    <x v="6"/>
    <n v="83432.999753767828"/>
    <n v="92703.333059742014"/>
    <n v="83277.073170731703"/>
    <n v="0"/>
    <n v="555000000"/>
    <n v="75825366.219932109"/>
    <n v="98444"/>
    <n v="1429680000"/>
    <n v="158285451.98410821"/>
    <n v="1074614"/>
    <n v="5.0878828430924591E-5"/>
    <n v="5.653203158991621E-5"/>
    <n v="5.8248750189365247E-5"/>
    <n v="5.0783741811846662E-5"/>
    <n v="1.4085645042314835E-2"/>
    <n v="1.0215105987884719E-2"/>
    <m/>
    <m/>
  </r>
  <r>
    <x v="0"/>
    <x v="0"/>
    <x v="2"/>
    <x v="5"/>
    <s v="FortisBC"/>
    <x v="8"/>
    <x v="2"/>
    <m/>
    <s v="Industrial Prescriptive - Process Boiler (Hot Water and Steam) "/>
    <m/>
    <x v="17"/>
    <n v="20403.193769823094"/>
    <n v="22670.21529980344"/>
    <n v="346349.35328238539"/>
    <n v="0"/>
    <n v="555000000"/>
    <n v="75825366.219932109"/>
    <n v="98444"/>
    <n v="1429680000"/>
    <n v="158285451.98410821"/>
    <n v="1074614"/>
    <n v="1.2442206301120783E-5"/>
    <n v="1.3824673667911984E-5"/>
    <n v="2.4225655621005077E-4"/>
    <n v="2.1120958583321675E-4"/>
    <n v="5.8582198739971836E-2"/>
    <n v="4.2484626535342115E-2"/>
    <m/>
    <m/>
  </r>
  <r>
    <x v="0"/>
    <x v="0"/>
    <x v="2"/>
    <x v="5"/>
    <s v="FortisBC"/>
    <x v="8"/>
    <x v="2"/>
    <m/>
    <s v="Industrial Prescriptive - Air Curtains "/>
    <m/>
    <x v="6"/>
    <n v="10216.511500240365"/>
    <n v="11351.679444711517"/>
    <n v="19972.5812994917"/>
    <n v="0"/>
    <n v="555000000"/>
    <n v="75825366.219932109"/>
    <n v="98444"/>
    <n v="1429680000"/>
    <n v="158285451.98410821"/>
    <n v="1074614"/>
    <n v="6.2301983306050701E-6"/>
    <n v="6.92244258956119E-6"/>
    <n v="1.3969966215860682E-5"/>
    <n v="1.2179611667548132E-5"/>
    <n v="3.3782009868028053E-3"/>
    <n v="2.4499184116097989E-3"/>
    <m/>
    <m/>
  </r>
  <r>
    <x v="0"/>
    <x v="0"/>
    <x v="2"/>
    <x v="5"/>
    <s v="FortisBC"/>
    <x v="8"/>
    <x v="2"/>
    <m/>
    <s v="Industrial Prescriptive - Direct Contact Water Heater "/>
    <m/>
    <x v="6"/>
    <n v="700.98692045444841"/>
    <n v="778.87435606049826"/>
    <n v="10786.112181325492"/>
    <n v="0"/>
    <n v="555000000"/>
    <n v="75825366.219932109"/>
    <n v="98444"/>
    <n v="1429680000"/>
    <n v="158285451.98410821"/>
    <n v="1074614"/>
    <n v="4.2747346209990999E-7"/>
    <n v="4.7497051344434436E-7"/>
    <n v="7.5444240538620475E-6"/>
    <n v="6.5775502826216258E-6"/>
    <n v="1.8243838524591145E-3"/>
    <n v="1.3230685821962618E-3"/>
    <m/>
    <m/>
  </r>
  <r>
    <x v="0"/>
    <x v="0"/>
    <x v="2"/>
    <x v="5"/>
    <s v="FortisBC"/>
    <x v="8"/>
    <x v="2"/>
    <m/>
    <s v="Industrial Prescriptive - Steam Traps Survey "/>
    <m/>
    <x v="6"/>
    <n v="0"/>
    <n v="0"/>
    <n v="10528.993893332037"/>
    <n v="0"/>
    <n v="555000000"/>
    <n v="75825366.219932109"/>
    <n v="98444"/>
    <n v="1429680000"/>
    <n v="158285451.98410821"/>
    <n v="1074614"/>
    <n v="0"/>
    <n v="0"/>
    <n v="7.3645808106233826E-6"/>
    <n v="6.4207552818439949E-6"/>
    <n v="1.7808943684910787E-3"/>
    <n v="1.2915294026445035E-3"/>
    <m/>
    <m/>
  </r>
  <r>
    <x v="0"/>
    <x v="0"/>
    <x v="2"/>
    <x v="5"/>
    <s v="FortisBC"/>
    <x v="8"/>
    <x v="2"/>
    <m/>
    <s v="Industrial Prescriptive - Steam Traps Replacement "/>
    <m/>
    <x v="6"/>
    <n v="15086.133405099457"/>
    <n v="16762.370450110509"/>
    <n v="56154.634097770861"/>
    <n v="0"/>
    <n v="555000000"/>
    <n v="75825366.219932109"/>
    <n v="98444"/>
    <n v="1429680000"/>
    <n v="158285451.98410821"/>
    <n v="1074614"/>
    <n v="9.1997746151927418E-6"/>
    <n v="1.0221971794658603E-5"/>
    <n v="3.92777643233247E-5"/>
    <n v="3.4244028169834635E-5"/>
    <n v="9.4981032986190851E-3"/>
    <n v="6.8881568141040189E-3"/>
    <m/>
    <m/>
  </r>
  <r>
    <x v="0"/>
    <x v="0"/>
    <x v="2"/>
    <x v="5"/>
    <s v="FortisBC"/>
    <x v="8"/>
    <x v="2"/>
    <m/>
    <s v="Industrial Prescriptive - 1” Insulation 0.5-1” HW Pipe "/>
    <m/>
    <x v="6"/>
    <n v="1498.9188405462144"/>
    <n v="1665.4653783846825"/>
    <n v="19650.265159899904"/>
    <n v="0"/>
    <n v="555000000"/>
    <n v="75825366.219932109"/>
    <n v="98444"/>
    <n v="1429680000"/>
    <n v="158285451.98410821"/>
    <n v="1074614"/>
    <n v="9.1406559449023311E-7"/>
    <n v="1.0156284383224812E-6"/>
    <n v="1.3744519864515069E-5"/>
    <n v="1.198305793443046E-5"/>
    <n v="3.32368381225716E-3"/>
    <n v="2.4103817972431305E-3"/>
    <m/>
    <m/>
  </r>
  <r>
    <x v="0"/>
    <x v="0"/>
    <x v="2"/>
    <x v="5"/>
    <s v="FortisBC"/>
    <x v="8"/>
    <x v="2"/>
    <m/>
    <s v="Industrial Prescriptive - 1” Insulation ≥ 1” HW Pipe"/>
    <m/>
    <x v="6"/>
    <n v="2930.7219121127473"/>
    <n v="3256.3576801252748"/>
    <n v="19650.265159899904"/>
    <n v="0"/>
    <n v="555000000"/>
    <n v="75825366.219932109"/>
    <n v="98444"/>
    <n v="1429680000"/>
    <n v="158285451.98410821"/>
    <n v="1074614"/>
    <n v="1.7872028787794108E-6"/>
    <n v="1.9857809764215676E-6"/>
    <n v="1.3744519864515069E-5"/>
    <n v="1.198305793443046E-5"/>
    <n v="3.32368381225716E-3"/>
    <n v="2.4103817972431305E-3"/>
    <m/>
    <m/>
  </r>
  <r>
    <x v="0"/>
    <x v="0"/>
    <x v="2"/>
    <x v="5"/>
    <s v="FortisBC"/>
    <x v="8"/>
    <x v="2"/>
    <m/>
    <s v="Industrial Prescriptive - 1” Insulation 0.5-1” LPS Pipe"/>
    <m/>
    <x v="6"/>
    <n v="3378.1603719772884"/>
    <n v="3753.5115244192098"/>
    <n v="19650.265159899904"/>
    <n v="0"/>
    <n v="555000000"/>
    <n v="75825366.219932109"/>
    <n v="98444"/>
    <n v="1429680000"/>
    <n v="158285451.98410821"/>
    <n v="1074614"/>
    <n v="2.0600582801197783E-6"/>
    <n v="2.2889536445775321E-6"/>
    <n v="1.3744519864515069E-5"/>
    <n v="1.198305793443046E-5"/>
    <n v="3.32368381225716E-3"/>
    <n v="2.4103817972431305E-3"/>
    <m/>
    <m/>
  </r>
  <r>
    <x v="0"/>
    <x v="0"/>
    <x v="2"/>
    <x v="5"/>
    <s v="FortisBC"/>
    <x v="8"/>
    <x v="2"/>
    <m/>
    <s v="Industrial Prescriptive - 1” Insulation ≥ 1” LPS Pipe"/>
    <m/>
    <x v="6"/>
    <n v="6577.3453600087605"/>
    <n v="7308.1615111208457"/>
    <n v="19650.265159899904"/>
    <n v="0"/>
    <n v="555000000"/>
    <n v="75825366.219932109"/>
    <n v="98444"/>
    <n v="1429680000"/>
    <n v="158285451.98410821"/>
    <n v="1074614"/>
    <n v="4.0109743997034103E-6"/>
    <n v="4.456638221892679E-6"/>
    <n v="1.3744519864515069E-5"/>
    <n v="1.198305793443046E-5"/>
    <n v="3.32368381225716E-3"/>
    <n v="2.4103817972431305E-3"/>
    <m/>
    <m/>
  </r>
  <r>
    <x v="0"/>
    <x v="0"/>
    <x v="2"/>
    <x v="5"/>
    <s v="FortisBC"/>
    <x v="8"/>
    <x v="2"/>
    <m/>
    <s v="Industrial Prescriptive - 1” Insulation 0.5-1” HPS Pipe"/>
    <m/>
    <x v="6"/>
    <n v="5883.8157472187213"/>
    <n v="6537.5730524652463"/>
    <n v="19650.265159899904"/>
    <n v="0"/>
    <n v="555000000"/>
    <n v="75825366.219932109"/>
    <n v="98444"/>
    <n v="1429680000"/>
    <n v="158285451.98410821"/>
    <n v="1074614"/>
    <n v="3.5880485276258402E-6"/>
    <n v="3.9867205862509337E-6"/>
    <n v="1.3744519864515069E-5"/>
    <n v="1.198305793443046E-5"/>
    <n v="3.32368381225716E-3"/>
    <n v="2.4103817972431305E-3"/>
    <m/>
    <m/>
  </r>
  <r>
    <x v="0"/>
    <x v="0"/>
    <x v="2"/>
    <x v="5"/>
    <s v="FortisBC"/>
    <x v="8"/>
    <x v="2"/>
    <m/>
    <s v="Industrial Prescriptive - 1” Insulation ≥ 1” HPS Pipe"/>
    <m/>
    <x v="6"/>
    <n v="11409.68072654581"/>
    <n v="12677.423029495343"/>
    <n v="19650.265159899904"/>
    <n v="0"/>
    <n v="555000000"/>
    <n v="75825366.219932109"/>
    <n v="98444"/>
    <n v="1429680000"/>
    <n v="158285451.98410821"/>
    <n v="1074614"/>
    <n v="6.957812734179385E-6"/>
    <n v="7.7309030379770939E-6"/>
    <n v="1.3744519864515069E-5"/>
    <n v="1.198305793443046E-5"/>
    <n v="3.32368381225716E-3"/>
    <n v="2.4103817972431305E-3"/>
    <m/>
    <m/>
  </r>
  <r>
    <x v="0"/>
    <x v="0"/>
    <x v="2"/>
    <x v="5"/>
    <s v="FortisBC"/>
    <x v="8"/>
    <x v="2"/>
    <m/>
    <s v="Industrial Prescriptive - Tank Insulation 1” Low Temp"/>
    <m/>
    <x v="6"/>
    <n v="81277.196234393952"/>
    <n v="90307.995815993301"/>
    <n v="97311.92576872342"/>
    <n v="0"/>
    <n v="555000000"/>
    <n v="75825366.219932109"/>
    <n v="98444"/>
    <n v="1429680000"/>
    <n v="158285451.98410821"/>
    <n v="1074614"/>
    <n v="4.9564183653477844E-5"/>
    <n v="5.5071315170530951E-5"/>
    <n v="6.8065529187456923E-5"/>
    <n v="5.9342427937168308E-5"/>
    <n v="1.6459527125216866E-2"/>
    <n v="1.1936678340924763E-2"/>
    <m/>
    <m/>
  </r>
  <r>
    <x v="0"/>
    <x v="0"/>
    <x v="2"/>
    <x v="5"/>
    <s v="FortisBC"/>
    <x v="8"/>
    <x v="2"/>
    <m/>
    <s v="Industrial Prescriptive - Tank Insulation 1” High Temp "/>
    <m/>
    <x v="6"/>
    <n v="143873.83676944333"/>
    <n v="159859.8186327148"/>
    <n v="97311.92576872342"/>
    <n v="0"/>
    <n v="555000000"/>
    <n v="75825366.219932109"/>
    <n v="98444"/>
    <n v="1429680000"/>
    <n v="158285451.98410821"/>
    <n v="1074614"/>
    <n v="8.7736654300995344E-5"/>
    <n v="9.7485171445550376E-5"/>
    <n v="6.8065529187456923E-5"/>
    <n v="5.9342427937168308E-5"/>
    <n v="1.6459527125216866E-2"/>
    <n v="1.1936678340924763E-2"/>
    <m/>
    <m/>
  </r>
  <r>
    <x v="0"/>
    <x v="0"/>
    <x v="2"/>
    <x v="5"/>
    <s v="FortisBC"/>
    <x v="8"/>
    <x v="2"/>
    <m/>
    <s v="Industrial Prescriptive - Tank Insulation 2” High Temp "/>
    <m/>
    <x v="6"/>
    <n v="139063.87332589951"/>
    <n v="154515.414806555"/>
    <n v="194623.85153744684"/>
    <n v="0"/>
    <n v="555000000"/>
    <n v="75825366.219932109"/>
    <n v="98444"/>
    <n v="1429680000"/>
    <n v="158285451.98410821"/>
    <n v="1074614"/>
    <n v="8.4803458736586391E-5"/>
    <n v="9.4226065262873761E-5"/>
    <n v="1.3613105837491385E-4"/>
    <n v="1.1868485587433662E-4"/>
    <n v="3.2919054250433732E-2"/>
    <n v="2.3873356681849527E-2"/>
    <m/>
    <m/>
  </r>
  <r>
    <x v="0"/>
    <x v="0"/>
    <x v="2"/>
    <x v="5"/>
    <s v="FortisBC"/>
    <x v="8"/>
    <x v="2"/>
    <m/>
    <s v="Industrial Prescriptive - Thermal Curtains "/>
    <m/>
    <x v="6"/>
    <n v="264734.42208652041"/>
    <n v="294149.35787391162"/>
    <n v="99862.906497458491"/>
    <n v="0"/>
    <n v="555000000"/>
    <n v="75825366.219932109"/>
    <n v="98444"/>
    <n v="1429680000"/>
    <n v="158285451.98410821"/>
    <n v="1074614"/>
    <n v="1.6143944579305108E-4"/>
    <n v="1.7937716199227903E-4"/>
    <n v="6.98498310793034E-5"/>
    <n v="6.0898058337740663E-5"/>
    <n v="1.6891004934014024E-2"/>
    <n v="1.2249592058048995E-2"/>
    <m/>
    <m/>
  </r>
  <r>
    <x v="0"/>
    <x v="0"/>
    <x v="2"/>
    <x v="5"/>
    <s v="FortisBC"/>
    <x v="8"/>
    <x v="2"/>
    <m/>
    <s v="Industrial Prescriptive - Single Stage Infrared Heater "/>
    <m/>
    <x v="6"/>
    <n v="1677.8942244920306"/>
    <n v="1864.3269161022567"/>
    <n v="4793.4195118780081"/>
    <n v="0"/>
    <n v="555000000"/>
    <n v="75825366.219932109"/>
    <n v="98444"/>
    <n v="1429680000"/>
    <n v="158285451.98410821"/>
    <n v="1074614"/>
    <n v="1.0232077550263801E-6"/>
    <n v="1.136897505584867E-6"/>
    <n v="3.3527918918065636E-6"/>
    <n v="2.9231068002115521E-6"/>
    <n v="8.1076823683267328E-4"/>
    <n v="5.8798041878635173E-4"/>
    <m/>
    <m/>
  </r>
  <r>
    <x v="0"/>
    <x v="0"/>
    <x v="2"/>
    <x v="5"/>
    <s v="FortisBC"/>
    <x v="8"/>
    <x v="2"/>
    <m/>
    <s v="Industrial Prescriptive - Two Stage Infrared Heater "/>
    <m/>
    <x v="6"/>
    <n v="3915.0865238147389"/>
    <n v="4350.0961375719326"/>
    <n v="15382.101579208527"/>
    <n v="0"/>
    <n v="555000000"/>
    <n v="75825366.219932109"/>
    <n v="98444"/>
    <n v="1429680000"/>
    <n v="158285451.98410821"/>
    <n v="1074614"/>
    <n v="2.3874847617282206E-6"/>
    <n v="2.6527608463646899E-6"/>
    <n v="1.0759122026753209E-5"/>
    <n v="9.3802609215217831E-6"/>
    <n v="2.6017583783877604E-3"/>
    <n v="1.8868314166839422E-3"/>
    <m/>
    <m/>
  </r>
  <r>
    <x v="0"/>
    <x v="0"/>
    <x v="2"/>
    <x v="5"/>
    <s v="FortisBC"/>
    <x v="8"/>
    <x v="2"/>
    <m/>
    <s v="Industrial Prescriptive - Condensing Infrared Heater "/>
    <m/>
    <x v="6"/>
    <n v="7457.3076644090261"/>
    <n v="8285.8974048989185"/>
    <n v="44940.603622856259"/>
    <n v="0"/>
    <n v="555000000"/>
    <n v="75825366.219932109"/>
    <n v="98444"/>
    <n v="1429680000"/>
    <n v="158285451.98410821"/>
    <n v="1074614"/>
    <n v="4.5475900223394678E-6"/>
    <n v="5.0528778025994089E-6"/>
    <n v="3.1434029728929731E-5"/>
    <n v="2.7405526207347382E-5"/>
    <n v="7.6013405192703106E-3"/>
    <n v="5.5125980259394733E-3"/>
    <m/>
    <m/>
  </r>
  <r>
    <x v="0"/>
    <x v="0"/>
    <x v="2"/>
    <x v="5"/>
    <s v="FortisBC"/>
    <x v="8"/>
    <x v="2"/>
    <m/>
    <s v="Industrial Performance - Technology Implementation "/>
    <m/>
    <x v="6"/>
    <n v="993304.0878610207"/>
    <n v="1103671.2087344674"/>
    <n v="2242545.7119748653"/>
    <n v="0"/>
    <n v="555000000"/>
    <n v="75825366.219932109"/>
    <n v="98444"/>
    <n v="1429680000"/>
    <n v="158285451.98410821"/>
    <n v="1074614"/>
    <n v="6.057333239265992E-4"/>
    <n v="6.7303702658511023E-4"/>
    <n v="1.5685647921037332E-3"/>
    <n v="1.3675416066161778E-3"/>
    <n v="0.37930851418472844"/>
    <n v="0.27507981798945791"/>
    <m/>
    <m/>
  </r>
  <r>
    <x v="0"/>
    <x v="0"/>
    <x v="2"/>
    <x v="5"/>
    <s v="FortisBC"/>
    <x v="8"/>
    <x v="2"/>
    <m/>
    <s v="Industrial Performance - Feasibility Study "/>
    <m/>
    <x v="6"/>
    <n v="0"/>
    <n v="0"/>
    <n v="504572.78519434476"/>
    <n v="0"/>
    <n v="555000000"/>
    <n v="75825366.219932109"/>
    <n v="98444"/>
    <n v="1429680000"/>
    <n v="158285451.98410821"/>
    <n v="1074614"/>
    <n v="0"/>
    <n v="0"/>
    <n v="3.5292707822334003E-4"/>
    <n v="3.0769686148864007E-4"/>
    <n v="8.534441569156391E-2"/>
    <n v="6.1892959047628038E-2"/>
    <m/>
    <m/>
  </r>
  <r>
    <x v="0"/>
    <x v="0"/>
    <x v="2"/>
    <x v="5"/>
    <s v="FortisBC"/>
    <x v="8"/>
    <x v="2"/>
    <m/>
    <s v="Industrial Performance - Plant Wide Audit "/>
    <m/>
    <x v="6"/>
    <n v="12912.953142193268"/>
    <n v="14347.725713548074"/>
    <n v="74751.523732495523"/>
    <n v="0"/>
    <n v="555000000"/>
    <n v="75825366.219932109"/>
    <n v="98444"/>
    <n v="1429680000"/>
    <n v="158285451.98410821"/>
    <n v="1074614"/>
    <n v="7.8745332110457898E-6"/>
    <n v="8.7494813456064318E-6"/>
    <n v="5.2285493070124449E-5"/>
    <n v="4.5584720220539264E-5"/>
    <n v="1.2643617139490949E-2"/>
    <n v="9.1693272663152664E-3"/>
    <m/>
    <m/>
  </r>
  <r>
    <x v="0"/>
    <x v="0"/>
    <x v="2"/>
    <x v="5"/>
    <s v="FortisBC"/>
    <x v="8"/>
    <x v="2"/>
    <m/>
    <s v="Industrial Performance - SEM – Individual, Large Customer "/>
    <m/>
    <x v="14"/>
    <n v="1241630.1098262758"/>
    <n v="1379589.0109180838"/>
    <n v="524755.69660211855"/>
    <n v="0"/>
    <n v="555000000"/>
    <n v="75825366.219932109"/>
    <n v="98444"/>
    <n v="1429680000"/>
    <n v="158285451.98410821"/>
    <n v="1074614"/>
    <n v="7.5716665490824903E-4"/>
    <n v="8.4129628323138762E-4"/>
    <n v="3.6704416135227363E-4"/>
    <n v="3.2000473594818562E-4"/>
    <n v="8.8758192319226464E-2"/>
    <n v="6.4368677409533157E-2"/>
    <m/>
    <m/>
  </r>
  <r>
    <x v="0"/>
    <x v="0"/>
    <x v="2"/>
    <x v="5"/>
    <s v="FortisBC"/>
    <x v="8"/>
    <x v="2"/>
    <m/>
    <s v="Industrial Performance - SEM – Cohort, Medium Customers "/>
    <m/>
    <x v="14"/>
    <n v="496652.04393051035"/>
    <n v="551835.6043672337"/>
    <n v="655294.28249617538"/>
    <n v="0"/>
    <n v="555000000"/>
    <n v="75825366.219932109"/>
    <n v="98444"/>
    <n v="1429680000"/>
    <n v="158285451.98410821"/>
    <n v="1074614"/>
    <n v="3.028666619632996E-4"/>
    <n v="3.3651851329255511E-4"/>
    <n v="4.5835031790063187E-4"/>
    <n v="3.9960933286931332E-4"/>
    <n v="0.11083774092991949"/>
    <n v="8.0381073614699497E-2"/>
    <m/>
    <m/>
  </r>
  <r>
    <x v="0"/>
    <x v="0"/>
    <x v="2"/>
    <x v="5"/>
    <s v="FortisBC"/>
    <x v="8"/>
    <x v="1"/>
    <n v="1"/>
    <s v="Low Income Self Install - Energy Savings Kit (ESK) "/>
    <m/>
    <x v="13"/>
    <n v="245871.99762782609"/>
    <n v="273191.10847536236"/>
    <n v="432196.77018633543"/>
    <n v="0"/>
    <n v="0"/>
    <n v="0"/>
    <n v="0"/>
    <n v="1429680000"/>
    <n v="158285451.98410821"/>
    <n v="1074614"/>
    <n v="1.4993682619819656E-4"/>
    <n v="1.6659647355355176E-4"/>
    <n v="3.0230315188457238E-4"/>
    <n v="2.6356076592724039E-4"/>
    <n v="0.70996260060561234"/>
    <n v="5.301502138558023E-2"/>
    <m/>
    <m/>
  </r>
  <r>
    <x v="0"/>
    <x v="0"/>
    <x v="2"/>
    <x v="5"/>
    <s v="FortisBC"/>
    <x v="8"/>
    <x v="1"/>
    <n v="1"/>
    <s v="Low Income Self Install - Re-Engagement Kit "/>
    <m/>
    <x v="13"/>
    <n v="11175.999892173912"/>
    <n v="12417.777657971012"/>
    <n v="51023.229813664599"/>
    <n v="0"/>
    <n v="0"/>
    <n v="0"/>
    <n v="0"/>
    <n v="1429680000"/>
    <n v="158285451.98410821"/>
    <n v="1074614"/>
    <n v="6.8153102817362056E-6"/>
    <n v="7.5725669797068955E-6"/>
    <n v="3.5688566541928681E-5"/>
    <n v="3.1114812644188101E-5"/>
    <n v="8.3815029238162572E-2"/>
    <n v="6.2587178024643324E-3"/>
    <m/>
    <m/>
  </r>
  <r>
    <x v="0"/>
    <x v="0"/>
    <x v="2"/>
    <x v="5"/>
    <s v="FortisBC"/>
    <x v="8"/>
    <x v="1"/>
    <n v="1"/>
    <s v="Low Income Direct Install - Energy Conservation Assistance Program (ECAP)"/>
    <m/>
    <x v="13"/>
    <n v="139660.84968499999"/>
    <n v="155178.7218722222"/>
    <n v="3700000"/>
    <n v="0"/>
    <n v="0"/>
    <n v="0"/>
    <n v="0"/>
    <n v="1429680000"/>
    <n v="158285451.98410821"/>
    <n v="1074614"/>
    <n v="8.516750483155638E-5"/>
    <n v="9.4630560923951527E-5"/>
    <n v="2.587991718426501E-3"/>
    <n v="2.2563214285714274E-3"/>
    <n v="6.0779297844086901"/>
    <n v="0.45385711476297519"/>
    <m/>
    <m/>
  </r>
  <r>
    <x v="0"/>
    <x v="0"/>
    <x v="2"/>
    <x v="5"/>
    <s v="FortisBC"/>
    <x v="8"/>
    <x v="1"/>
    <n v="1"/>
    <s v="Low Income Prescriptive - Residential – Communicating Thermostat "/>
    <m/>
    <x v="6"/>
    <n v="3205.2130900351094"/>
    <n v="3561.3478778167882"/>
    <n v="19445.667369919422"/>
    <n v="0"/>
    <n v="0"/>
    <n v="0"/>
    <n v="0"/>
    <n v="1429680000"/>
    <n v="158285451.98410821"/>
    <n v="1074614"/>
    <n v="1.9545921562659076E-6"/>
    <n v="2.1717690625176755E-6"/>
    <n v="1.3601412462872405E-5"/>
    <n v="1.1858290805303077E-5"/>
    <n v="3.1943081320361472E-2"/>
    <n v="2.385284996527611E-3"/>
    <m/>
    <m/>
  </r>
  <r>
    <x v="0"/>
    <x v="0"/>
    <x v="2"/>
    <x v="5"/>
    <s v="FortisBC"/>
    <x v="8"/>
    <x v="1"/>
    <n v="1"/>
    <s v="Low Income Prescriptive - Residential – Condensing Tankless Water Heater "/>
    <m/>
    <x v="6"/>
    <n v="12731.818663195019"/>
    <n v="14146.465181327798"/>
    <n v="315992.09476119059"/>
    <n v="0"/>
    <n v="0"/>
    <n v="0"/>
    <n v="0"/>
    <n v="1429680000"/>
    <n v="158285451.98410821"/>
    <n v="1074614"/>
    <n v="7.7640743985006884E-6"/>
    <n v="8.6267493316674317E-6"/>
    <n v="2.2102295252167658E-4"/>
    <n v="1.9269722558617501E-4"/>
    <n v="0.51907507145587384"/>
    <n v="3.8760881193573675E-2"/>
    <m/>
    <m/>
  </r>
  <r>
    <x v="0"/>
    <x v="0"/>
    <x v="2"/>
    <x v="5"/>
    <s v="FortisBC"/>
    <x v="8"/>
    <x v="1"/>
    <n v="1"/>
    <s v="Low Income Prescriptive - Residential – Condensing Storage Tank Water Heater "/>
    <m/>
    <x v="6"/>
    <n v="1335.5054541812958"/>
    <n v="1483.8949490903285"/>
    <n v="36460.626318598916"/>
    <n v="0"/>
    <n v="0"/>
    <n v="0"/>
    <n v="0"/>
    <n v="1429680000"/>
    <n v="158285451.98410821"/>
    <n v="1074614"/>
    <n v="8.1441339844412827E-7"/>
    <n v="9.049037760490314E-7"/>
    <n v="2.5502648367885762E-5"/>
    <n v="2.2234295259943273E-5"/>
    <n v="5.9893277475677756E-2"/>
    <n v="4.4724093684892705E-3"/>
    <m/>
    <m/>
  </r>
  <r>
    <x v="0"/>
    <x v="0"/>
    <x v="2"/>
    <x v="5"/>
    <s v="FortisBC"/>
    <x v="8"/>
    <x v="1"/>
    <n v="1"/>
    <s v="Low Income Prescriptive - Residential – Bonus Offers "/>
    <m/>
    <x v="6"/>
    <n v="0"/>
    <n v="0"/>
    <n v="18432.872194402786"/>
    <n v="0"/>
    <n v="0"/>
    <n v="0"/>
    <n v="0"/>
    <n v="1429680000"/>
    <n v="158285451.98410821"/>
    <n v="1074614"/>
    <n v="0"/>
    <n v="0"/>
    <n v="1.2893005563764469E-5"/>
    <n v="1.1240671492526875E-5"/>
    <n v="3.0279379168259311E-2"/>
    <n v="2.2610514029584648E-3"/>
    <m/>
    <m/>
  </r>
  <r>
    <x v="0"/>
    <x v="0"/>
    <x v="2"/>
    <x v="5"/>
    <s v="FortisBC"/>
    <x v="8"/>
    <x v="1"/>
    <n v="1"/>
    <s v="Low Income Prescriptive - Residential – Attic Insulation "/>
    <m/>
    <x v="1"/>
    <n v="2003.2581812719438"/>
    <n v="2225.8424236354927"/>
    <n v="24307.084212399273"/>
    <n v="0"/>
    <n v="0"/>
    <n v="0"/>
    <n v="0"/>
    <n v="1429680000"/>
    <n v="158285451.98410821"/>
    <n v="1074614"/>
    <n v="1.2216200976661925E-6"/>
    <n v="1.3573556640735468E-6"/>
    <n v="1.7001765578590505E-5"/>
    <n v="1.4822863506628844E-5"/>
    <n v="3.9928851650451833E-2"/>
    <n v="2.9816062456595135E-3"/>
    <m/>
    <m/>
  </r>
  <r>
    <x v="0"/>
    <x v="0"/>
    <x v="2"/>
    <x v="5"/>
    <s v="FortisBC"/>
    <x v="8"/>
    <x v="1"/>
    <n v="1"/>
    <s v="Low Income Prescriptive - Residential – Wall Insulation "/>
    <m/>
    <x v="1"/>
    <n v="934.85381792690714"/>
    <n v="1038.72646436323"/>
    <n v="8102.361404133092"/>
    <n v="0"/>
    <n v="0"/>
    <n v="0"/>
    <n v="0"/>
    <n v="1429680000"/>
    <n v="158285451.98410821"/>
    <n v="1074614"/>
    <n v="5.7008937891088987E-7"/>
    <n v="6.334326432343219E-7"/>
    <n v="5.6672551928635027E-6"/>
    <n v="4.9409545022096154E-6"/>
    <n v="1.3309617216817279E-2"/>
    <n v="9.9386874855317124E-4"/>
    <m/>
    <m/>
  </r>
  <r>
    <x v="0"/>
    <x v="0"/>
    <x v="2"/>
    <x v="5"/>
    <s v="FortisBC"/>
    <x v="8"/>
    <x v="1"/>
    <n v="1"/>
    <s v="Low Income Prescriptive - Residential – Ventilation "/>
    <m/>
    <x v="1"/>
    <n v="0"/>
    <n v="0"/>
    <n v="25927.556493225897"/>
    <n v="0"/>
    <n v="0"/>
    <n v="0"/>
    <n v="0"/>
    <n v="1429680000"/>
    <n v="158285451.98410821"/>
    <n v="1074614"/>
    <n v="0"/>
    <n v="0"/>
    <n v="1.8135216617163211E-5"/>
    <n v="1.5811054407070769E-5"/>
    <n v="4.25907750938153E-2"/>
    <n v="3.180379995370148E-3"/>
    <m/>
    <m/>
  </r>
  <r>
    <x v="0"/>
    <x v="0"/>
    <x v="2"/>
    <x v="5"/>
    <s v="FortisBC"/>
    <x v="8"/>
    <x v="1"/>
    <n v="1"/>
    <s v="Low Income Prescriptive - Residential – Crawlspace and Basement Insulation "/>
    <m/>
    <x v="1"/>
    <n v="890.33696945419706"/>
    <n v="989.26329939355219"/>
    <n v="1620.4722808266185"/>
    <n v="0"/>
    <n v="0"/>
    <n v="0"/>
    <n v="0"/>
    <n v="1429680000"/>
    <n v="158285451.98410821"/>
    <n v="1074614"/>
    <n v="5.4294226562941888E-7"/>
    <n v="6.0326918403268746E-7"/>
    <n v="1.1334510385727007E-6"/>
    <n v="9.8819090044192307E-7"/>
    <n v="2.6619234433634563E-3"/>
    <n v="1.9877374971063425E-4"/>
    <m/>
    <m/>
  </r>
  <r>
    <x v="0"/>
    <x v="0"/>
    <x v="2"/>
    <x v="5"/>
    <s v="FortisBC"/>
    <x v="8"/>
    <x v="1"/>
    <n v="1"/>
    <s v="Low Income Prescriptive - Residential – Other Insulation "/>
    <m/>
    <x v="1"/>
    <n v="311.61793930896903"/>
    <n v="346.24215478774329"/>
    <n v="4861.4168424798554"/>
    <n v="0"/>
    <n v="0"/>
    <n v="0"/>
    <n v="0"/>
    <n v="1429680000"/>
    <n v="158285451.98410821"/>
    <n v="1074614"/>
    <n v="1.9002979297029662E-7"/>
    <n v="2.1114421441144063E-7"/>
    <n v="3.4003531157181014E-6"/>
    <n v="2.9645727013257692E-6"/>
    <n v="7.9857703300903679E-3"/>
    <n v="5.9632124913190274E-4"/>
    <m/>
    <m/>
  </r>
  <r>
    <x v="0"/>
    <x v="0"/>
    <x v="2"/>
    <x v="5"/>
    <s v="FortisBC"/>
    <x v="8"/>
    <x v="1"/>
    <n v="1"/>
    <s v="Low Income Prescriptive - Residential – Appliance Maintenance "/>
    <m/>
    <x v="6"/>
    <n v="0"/>
    <n v="0"/>
    <n v="6076.7710530998183"/>
    <n v="0"/>
    <n v="0"/>
    <n v="0"/>
    <n v="0"/>
    <n v="1429680000"/>
    <n v="158285451.98410821"/>
    <n v="1074614"/>
    <n v="0"/>
    <n v="0"/>
    <n v="4.2504413946476262E-6"/>
    <n v="3.7057158766572111E-6"/>
    <n v="9.9822129126129582E-3"/>
    <n v="7.4540156141487837E-4"/>
    <m/>
    <m/>
  </r>
  <r>
    <x v="0"/>
    <x v="0"/>
    <x v="2"/>
    <x v="5"/>
    <s v="FortisBC"/>
    <x v="8"/>
    <x v="1"/>
    <n v="1"/>
    <s v="Low Income Prescriptive - Commercial – NonProfit Bundled Measures "/>
    <m/>
    <x v="6"/>
    <n v="8191.1001189786139"/>
    <n v="9101.2223544206809"/>
    <n v="211990.18377773822"/>
    <n v="0"/>
    <n v="0"/>
    <n v="0"/>
    <n v="0"/>
    <n v="1429680000"/>
    <n v="158285451.98410821"/>
    <n v="1074614"/>
    <n v="4.9950688437906532E-6"/>
    <n v="5.5500764931007255E-6"/>
    <n v="1.4827806486608067E-4"/>
    <n v="1.2927513359581238E-4"/>
    <n v="0.34823282486080731"/>
    <n v="2.6003581937145172E-2"/>
    <m/>
    <m/>
  </r>
  <r>
    <x v="0"/>
    <x v="0"/>
    <x v="2"/>
    <x v="5"/>
    <s v="FortisBC"/>
    <x v="8"/>
    <x v="1"/>
    <n v="1"/>
    <s v="Low Income Prescriptive - Commercial – Gas Heat Pumps "/>
    <m/>
    <x v="6"/>
    <n v="8938.983173320139"/>
    <n v="9932.2035259112654"/>
    <n v="145842.50527439566"/>
    <n v="0"/>
    <n v="0"/>
    <n v="0"/>
    <n v="0"/>
    <n v="1429680000"/>
    <n v="158285451.98410821"/>
    <n v="1074614"/>
    <n v="5.4511403469193643E-6"/>
    <n v="6.0568226076881826E-6"/>
    <n v="1.0201059347154305E-4"/>
    <n v="8.893718103977309E-5"/>
    <n v="0.23957310990271102"/>
    <n v="1.7889637473957082E-2"/>
    <m/>
    <m/>
  </r>
  <r>
    <x v="0"/>
    <x v="0"/>
    <x v="2"/>
    <x v="5"/>
    <s v="FortisBC"/>
    <x v="8"/>
    <x v="1"/>
    <n v="1"/>
    <s v="Low Income Prescriptive - Residential – High Performance Windows and Doors "/>
    <m/>
    <x v="1"/>
    <n v="0"/>
    <n v="0"/>
    <n v="5063.9758775831824"/>
    <n v="0"/>
    <n v="0"/>
    <n v="0"/>
    <n v="0"/>
    <n v="1429680000"/>
    <n v="158285451.98410821"/>
    <n v="1074614"/>
    <n v="0"/>
    <n v="0"/>
    <n v="3.5420344955396888E-6"/>
    <n v="3.0880965638810096E-6"/>
    <n v="8.3185107605107996E-3"/>
    <n v="6.21167967845732E-4"/>
    <m/>
    <m/>
  </r>
  <r>
    <x v="0"/>
    <x v="0"/>
    <x v="2"/>
    <x v="5"/>
    <s v="FortisBC"/>
    <x v="8"/>
    <x v="1"/>
    <n v="1"/>
    <s v="Low Income Prescriptive - Residential – HVAC Optimization (Contractor Rebate) "/>
    <m/>
    <x v="6"/>
    <n v="267.10109083625912"/>
    <n v="296.77898981806567"/>
    <n v="3646.0626318598916"/>
    <n v="0"/>
    <n v="0"/>
    <n v="0"/>
    <n v="0"/>
    <n v="1429680000"/>
    <n v="158285451.98410821"/>
    <n v="1074614"/>
    <n v="1.6288267968882563E-7"/>
    <n v="1.8098075520980626E-7"/>
    <n v="2.5502648367885761E-6"/>
    <n v="2.2234295259943269E-6"/>
    <n v="5.9893277475677759E-3"/>
    <n v="4.4724093684892706E-4"/>
    <m/>
    <m/>
  </r>
  <r>
    <x v="0"/>
    <x v="0"/>
    <x v="2"/>
    <x v="5"/>
    <s v="FortisBC"/>
    <x v="8"/>
    <x v="1"/>
    <n v="1"/>
    <s v="Low Income Prescriptive - Residential – Dual Fuel Hybrid Systems "/>
    <m/>
    <x v="6"/>
    <n v="0"/>
    <n v="0"/>
    <n v="0"/>
    <n v="0"/>
    <n v="0"/>
    <n v="0"/>
    <n v="0"/>
    <n v="1429680000"/>
    <n v="158285451.98410821"/>
    <n v="1074614"/>
    <n v="0"/>
    <n v="0"/>
    <n v="0"/>
    <n v="0"/>
    <n v="0"/>
    <n v="0"/>
    <m/>
    <m/>
  </r>
  <r>
    <x v="0"/>
    <x v="0"/>
    <x v="2"/>
    <x v="5"/>
    <s v="FortisBC"/>
    <x v="8"/>
    <x v="1"/>
    <n v="1"/>
    <s v="Low Income Prescriptive - Commercial – Condensing Boiler Heating Plant Optimization "/>
    <m/>
    <x v="17"/>
    <n v="17806.739389083945"/>
    <n v="19785.265987871051"/>
    <n v="121535.42106199639"/>
    <n v="0"/>
    <n v="0"/>
    <n v="0"/>
    <n v="0"/>
    <n v="1429680000"/>
    <n v="158285451.98410821"/>
    <n v="1074614"/>
    <n v="1.0858845312588378E-5"/>
    <n v="1.2065383680653753E-5"/>
    <n v="8.500882789295254E-5"/>
    <n v="7.4114317533144231E-5"/>
    <n v="0.1996442582522592"/>
    <n v="1.4908031228297569E-2"/>
    <m/>
    <m/>
  </r>
  <r>
    <x v="0"/>
    <x v="0"/>
    <x v="2"/>
    <x v="5"/>
    <s v="FortisBC"/>
    <x v="8"/>
    <x v="1"/>
    <n v="1"/>
    <s v="Low Income Prescriptive - Commercial – Domestic Water Heater System Optimization "/>
    <m/>
    <x v="6"/>
    <n v="4451.6848472709862"/>
    <n v="4946.3164969677628"/>
    <n v="121535.42106199639"/>
    <n v="0"/>
    <n v="0"/>
    <n v="0"/>
    <n v="0"/>
    <n v="1429680000"/>
    <n v="158285451.98410821"/>
    <n v="1074614"/>
    <n v="2.7147113281470945E-6"/>
    <n v="3.0163459201634383E-6"/>
    <n v="8.500882789295254E-5"/>
    <n v="7.4114317533144231E-5"/>
    <n v="0.1996442582522592"/>
    <n v="1.4908031228297569E-2"/>
    <m/>
    <m/>
  </r>
  <r>
    <x v="0"/>
    <x v="0"/>
    <x v="2"/>
    <x v="5"/>
    <s v="FortisBC"/>
    <x v="8"/>
    <x v="1"/>
    <n v="1"/>
    <s v="Low Income Prescriptive - Commercial – Dual Fuel Hybrid Systems "/>
    <m/>
    <x v="6"/>
    <n v="22258.424236354931"/>
    <n v="24731.582484838807"/>
    <n v="202559.03510332727"/>
    <n v="0"/>
    <n v="0"/>
    <n v="0"/>
    <n v="0"/>
    <n v="1429680000"/>
    <n v="158285451.98410821"/>
    <n v="1074614"/>
    <n v="1.3573556640735472E-5"/>
    <n v="1.5081729600817187E-5"/>
    <n v="1.4168137982158754E-4"/>
    <n v="1.2352386255524037E-4"/>
    <n v="0.33274043042043194"/>
    <n v="2.4846718713829277E-2"/>
    <m/>
    <m/>
  </r>
  <r>
    <x v="0"/>
    <x v="0"/>
    <x v="2"/>
    <x v="5"/>
    <s v="FortisBC"/>
    <x v="8"/>
    <x v="1"/>
    <n v="1"/>
    <s v="Low Income Prescriptive - Commercial – Connected Thermostats  "/>
    <m/>
    <x v="6"/>
    <n v="356.13478778167882"/>
    <n v="395.70531975742091"/>
    <n v="1620.4722808266185"/>
    <n v="0"/>
    <n v="0"/>
    <n v="0"/>
    <n v="0"/>
    <n v="1429680000"/>
    <n v="158285451.98410821"/>
    <n v="1074614"/>
    <n v="2.1717690625176751E-7"/>
    <n v="2.4130767361307499E-7"/>
    <n v="1.1334510385727007E-6"/>
    <n v="9.8819090044192307E-7"/>
    <n v="2.6619234433634563E-3"/>
    <n v="1.9877374971063425E-4"/>
    <m/>
    <m/>
  </r>
  <r>
    <x v="0"/>
    <x v="0"/>
    <x v="2"/>
    <x v="5"/>
    <s v="FortisBC"/>
    <x v="8"/>
    <x v="1"/>
    <m/>
    <s v="Indigenous Direct Install - Energy Conservation Assistance Program (ECAP) "/>
    <m/>
    <x v="13"/>
    <n v="1914.5905419999999"/>
    <n v="2127.3228244444444"/>
    <n v="56980"/>
    <n v="0"/>
    <n v="0"/>
    <n v="0"/>
    <n v="0"/>
    <n v="1429680000"/>
    <n v="158285451.98410821"/>
    <n v="1074614"/>
    <n v="1.1675490991499415E-6"/>
    <n v="1.2972767768332685E-6"/>
    <n v="3.9855072463768117E-5"/>
    <n v="3.4747349999999988E-5"/>
    <n v="9.3600118679893818E-2"/>
    <n v="6.9893995673498176E-3"/>
    <m/>
    <m/>
  </r>
  <r>
    <x v="0"/>
    <x v="0"/>
    <x v="2"/>
    <x v="5"/>
    <s v="FortisBC"/>
    <x v="8"/>
    <x v="0"/>
    <m/>
    <s v="Indigenous Prescriptive - Residential – Communicating Thermostat "/>
    <m/>
    <x v="6"/>
    <n v="97.479520121986013"/>
    <n v="108.31057791331779"/>
    <n v="95.244463017133313"/>
    <n v="0"/>
    <n v="874680000"/>
    <n v="82460085.7641761"/>
    <n v="976170"/>
    <n v="1429680000"/>
    <n v="158285451.98410821"/>
    <n v="1074614"/>
    <n v="5.9444629756242356E-8"/>
    <n v="6.6049588618047053E-8"/>
    <n v="6.661942743630275E-8"/>
    <n v="5.8081654826577504E-8"/>
    <n v="5.8382361365359265E-5"/>
    <n v="1.1683074914082438E-5"/>
    <m/>
    <m/>
  </r>
  <r>
    <x v="0"/>
    <x v="0"/>
    <x v="2"/>
    <x v="5"/>
    <s v="FortisBC"/>
    <x v="8"/>
    <x v="0"/>
    <m/>
    <s v="Indigenous Prescriptive - Residential – Condensing Tankless Water Heater "/>
    <m/>
    <x v="6"/>
    <n v="427.41020361178488"/>
    <n v="474.90022623531644"/>
    <n v="1428.6669452569997"/>
    <n v="0"/>
    <n v="874680000"/>
    <n v="82460085.7641761"/>
    <n v="976170"/>
    <n v="1429680000"/>
    <n v="158285451.98410821"/>
    <n v="1074614"/>
    <n v="2.6064183816198577E-7"/>
    <n v="2.8960204240220634E-7"/>
    <n v="9.9929141154454116E-7"/>
    <n v="8.7122482239866247E-7"/>
    <n v="8.75735420480389E-4"/>
    <n v="1.7524612371123656E-4"/>
    <m/>
    <m/>
  </r>
  <r>
    <x v="0"/>
    <x v="0"/>
    <x v="2"/>
    <x v="5"/>
    <s v="FortisBC"/>
    <x v="8"/>
    <x v="0"/>
    <m/>
    <s v="Indigenous Prescriptive - Residential – Two Upgrade Bonus "/>
    <m/>
    <x v="6"/>
    <n v="0"/>
    <n v="0"/>
    <n v="142.86669452569996"/>
    <n v="0"/>
    <n v="874680000"/>
    <n v="82460085.7641761"/>
    <n v="976170"/>
    <n v="1429680000"/>
    <n v="158285451.98410821"/>
    <n v="1074614"/>
    <n v="0"/>
    <n v="0"/>
    <n v="9.9929141154454118E-8"/>
    <n v="8.7122482239866237E-8"/>
    <n v="8.7573542048038883E-5"/>
    <n v="1.7524612371123655E-5"/>
    <m/>
    <m/>
  </r>
  <r>
    <x v="0"/>
    <x v="0"/>
    <x v="2"/>
    <x v="5"/>
    <s v="FortisBC"/>
    <x v="8"/>
    <x v="0"/>
    <m/>
    <s v="Indigenous Prescriptive - Residential – Attic Insulation "/>
    <m/>
    <x v="1"/>
    <n v="326.18147117741478"/>
    <n v="362.42385686379407"/>
    <n v="857.20016715419979"/>
    <n v="0"/>
    <n v="874680000"/>
    <n v="82460085.7641761"/>
    <n v="976170"/>
    <n v="1429680000"/>
    <n v="158285451.98410821"/>
    <n v="1074614"/>
    <n v="1.9891087649204176E-7"/>
    <n v="2.2101208499115741E-7"/>
    <n v="5.9957484692672474E-7"/>
    <n v="5.2273489343919742E-7"/>
    <n v="5.2544125228823335E-4"/>
    <n v="1.0514767422674193E-4"/>
    <m/>
    <m/>
  </r>
  <r>
    <x v="0"/>
    <x v="0"/>
    <x v="2"/>
    <x v="5"/>
    <s v="FortisBC"/>
    <x v="8"/>
    <x v="0"/>
    <m/>
    <s v="Indigenous Prescriptive - Residential – Wall Insulation "/>
    <m/>
    <x v="1"/>
    <n v="772.33773635112004"/>
    <n v="858.15304039013313"/>
    <n v="952.44463017133307"/>
    <n v="0"/>
    <n v="874680000"/>
    <n v="82460085.7641761"/>
    <n v="976170"/>
    <n v="1429680000"/>
    <n v="158285451.98410821"/>
    <n v="1074614"/>
    <n v="4.7098437422253566E-7"/>
    <n v="5.233159713583727E-7"/>
    <n v="6.6619427436302747E-7"/>
    <n v="5.8081654826577502E-7"/>
    <n v="5.8382361365359259E-4"/>
    <n v="1.1683074914082437E-4"/>
    <m/>
    <m/>
  </r>
  <r>
    <x v="0"/>
    <x v="0"/>
    <x v="2"/>
    <x v="5"/>
    <s v="FortisBC"/>
    <x v="8"/>
    <x v="0"/>
    <m/>
    <s v="Indigenous Prescriptive - Residential – Ventilation "/>
    <m/>
    <x v="1"/>
    <n v="0"/>
    <n v="0"/>
    <n v="571.46677810279982"/>
    <n v="0"/>
    <n v="874680000"/>
    <n v="82460085.7641761"/>
    <n v="976170"/>
    <n v="1429680000"/>
    <n v="158285451.98410821"/>
    <n v="1074614"/>
    <n v="0"/>
    <n v="0"/>
    <n v="3.9971656461781647E-7"/>
    <n v="3.4848992895946495E-7"/>
    <n v="3.5029416819215553E-4"/>
    <n v="7.009844948449462E-5"/>
    <m/>
    <m/>
  </r>
  <r>
    <x v="0"/>
    <x v="0"/>
    <x v="2"/>
    <x v="5"/>
    <s v="FortisBC"/>
    <x v="8"/>
    <x v="0"/>
    <m/>
    <s v="Indigenous Prescriptive - Residential – Crawlspace and Basement Insulation "/>
    <m/>
    <x v="1"/>
    <n v="198.70825255635614"/>
    <n v="220.7869472848401"/>
    <n v="952.44463017133307"/>
    <n v="0"/>
    <n v="874680000"/>
    <n v="82460085.7641761"/>
    <n v="976170"/>
    <n v="1429680000"/>
    <n v="158285451.98410821"/>
    <n v="1074614"/>
    <n v="1.2117559142618637E-7"/>
    <n v="1.3463954602909591E-7"/>
    <n v="6.6619427436302747E-7"/>
    <n v="5.8081654826577502E-7"/>
    <n v="5.8382361365359259E-4"/>
    <n v="1.1683074914082437E-4"/>
    <m/>
    <m/>
  </r>
  <r>
    <x v="0"/>
    <x v="0"/>
    <x v="2"/>
    <x v="5"/>
    <s v="FortisBC"/>
    <x v="8"/>
    <x v="0"/>
    <m/>
    <s v="Indigenous Prescriptive - Residential – Other Insulation "/>
    <m/>
    <x v="1"/>
    <n v="247.44801261734918"/>
    <n v="274.94223624149902"/>
    <n v="714.33347262849986"/>
    <n v="0"/>
    <n v="874680000"/>
    <n v="82460085.7641761"/>
    <n v="976170"/>
    <n v="1429680000"/>
    <n v="158285451.98410821"/>
    <n v="1074614"/>
    <n v="1.5089790630430755E-7"/>
    <n v="1.6766434033811949E-7"/>
    <n v="4.9964570577227058E-7"/>
    <n v="4.3561241119933124E-7"/>
    <n v="4.378677102401945E-4"/>
    <n v="8.7623061855618281E-5"/>
    <m/>
    <m/>
  </r>
  <r>
    <x v="0"/>
    <x v="0"/>
    <x v="2"/>
    <x v="5"/>
    <s v="FortisBC"/>
    <x v="8"/>
    <x v="0"/>
    <m/>
    <s v="Indigenous Prescriptive - Residential – Appliance Maintenance "/>
    <m/>
    <x v="6"/>
    <n v="0"/>
    <n v="0"/>
    <n v="119.05557877141663"/>
    <n v="0"/>
    <n v="874680000"/>
    <n v="82460085.7641761"/>
    <n v="976170"/>
    <n v="1429680000"/>
    <n v="158285451.98410821"/>
    <n v="1074614"/>
    <n v="0"/>
    <n v="0"/>
    <n v="8.3274284295378434E-8"/>
    <n v="7.2602068533221877E-8"/>
    <n v="7.2977951706699074E-5"/>
    <n v="1.4603843642603046E-5"/>
    <m/>
    <m/>
  </r>
  <r>
    <x v="0"/>
    <x v="0"/>
    <x v="2"/>
    <x v="5"/>
    <s v="FortisBC"/>
    <x v="8"/>
    <x v="2"/>
    <m/>
    <s v="Indigenous Prescriptive - Commercial – Gas Heat Pumps "/>
    <m/>
    <x v="6"/>
    <n v="18821.045808168074"/>
    <n v="20912.273120186739"/>
    <n v="14286.669452569997"/>
    <n v="0"/>
    <n v="555000000"/>
    <n v="75825366.219932109"/>
    <n v="98444"/>
    <n v="1429680000"/>
    <n v="158285451.98410821"/>
    <n v="1074614"/>
    <n v="1.147738620678218E-5"/>
    <n v="1.2752651340869084E-5"/>
    <n v="9.9929141154454124E-6"/>
    <n v="8.7122482239866252E-6"/>
    <n v="2.4164748721801797E-3"/>
    <n v="1.7524612371123656E-3"/>
    <m/>
    <m/>
  </r>
  <r>
    <x v="0"/>
    <x v="0"/>
    <x v="2"/>
    <x v="5"/>
    <s v="FortisBC"/>
    <x v="8"/>
    <x v="1"/>
    <m/>
    <s v="Indigenous Prescriptive - Energy Evaluations "/>
    <m/>
    <x v="6"/>
    <n v="0"/>
    <n v="0"/>
    <n v="238.11115754283327"/>
    <n v="0"/>
    <n v="0"/>
    <n v="0"/>
    <n v="0"/>
    <n v="1429680000"/>
    <n v="158285451.98410821"/>
    <n v="1074614"/>
    <n v="0"/>
    <n v="0"/>
    <n v="1.6654856859075687E-7"/>
    <n v="1.4520413706644375E-7"/>
    <n v="3.9114132335935575E-4"/>
    <n v="2.9207687285206093E-5"/>
    <m/>
    <m/>
  </r>
  <r>
    <x v="0"/>
    <x v="0"/>
    <x v="2"/>
    <x v="5"/>
    <s v="FortisBC"/>
    <x v="8"/>
    <x v="1"/>
    <m/>
    <s v="Indigenous Prescriptive - Health &amp; Safety "/>
    <m/>
    <x v="6"/>
    <n v="0"/>
    <n v="0"/>
    <n v="714.33347262849986"/>
    <n v="0"/>
    <n v="0"/>
    <n v="0"/>
    <n v="0"/>
    <n v="1429680000"/>
    <n v="158285451.98410821"/>
    <n v="1074614"/>
    <n v="0"/>
    <n v="0"/>
    <n v="4.9964570577227058E-7"/>
    <n v="4.3561241119933124E-7"/>
    <n v="1.1734239700780672E-3"/>
    <n v="8.7623061855618281E-5"/>
    <m/>
    <m/>
  </r>
  <r>
    <x v="0"/>
    <x v="0"/>
    <x v="2"/>
    <x v="5"/>
    <s v="FortisBC"/>
    <x v="8"/>
    <x v="0"/>
    <m/>
    <s v="Indigenous Prescriptive - Residential – High Performance Windows and Doors "/>
    <m/>
    <x v="1"/>
    <n v="11.247636937152235"/>
    <n v="12.497374374613591"/>
    <n v="95.244463017133313"/>
    <n v="0"/>
    <n v="874680000"/>
    <n v="82460085.7641761"/>
    <n v="976170"/>
    <n v="1429680000"/>
    <n v="158285451.98410821"/>
    <n v="1074614"/>
    <n v="6.8589957411048892E-9"/>
    <n v="7.6211063790054298E-9"/>
    <n v="6.661942743630275E-8"/>
    <n v="5.8081654826577504E-8"/>
    <n v="5.8382361365359265E-5"/>
    <n v="1.1683074914082438E-5"/>
    <m/>
    <m/>
  </r>
  <r>
    <x v="0"/>
    <x v="0"/>
    <x v="2"/>
    <x v="5"/>
    <s v="FortisBC"/>
    <x v="8"/>
    <x v="0"/>
    <m/>
    <s v="Indigenous Prescriptive - Residential – Quality Installation (Contractor Rebate) "/>
    <m/>
    <x v="6"/>
    <n v="37.492123123840777"/>
    <n v="41.657914582045301"/>
    <n v="142.86669452569996"/>
    <n v="0"/>
    <n v="874680000"/>
    <n v="82460085.7641761"/>
    <n v="976170"/>
    <n v="1429680000"/>
    <n v="158285451.98410821"/>
    <n v="1074614"/>
    <n v="2.2863319137016291E-8"/>
    <n v="2.5403687930018098E-8"/>
    <n v="9.9929141154454118E-8"/>
    <n v="8.7122482239866237E-8"/>
    <n v="8.7573542048038883E-5"/>
    <n v="1.7524612371123655E-5"/>
    <m/>
    <m/>
  </r>
  <r>
    <x v="0"/>
    <x v="0"/>
    <x v="2"/>
    <x v="5"/>
    <s v="FortisBC"/>
    <x v="8"/>
    <x v="1"/>
    <m/>
    <s v="Indigenous Prescriptive - Deep Retrofit Lite / Whole Home"/>
    <m/>
    <x v="6"/>
    <n v="1619.6597189499216"/>
    <n v="1799.621909944357"/>
    <n v="5714.6677810279989"/>
    <n v="0"/>
    <n v="0"/>
    <n v="0"/>
    <n v="0"/>
    <n v="1429680000"/>
    <n v="158285451.98410821"/>
    <n v="1074614"/>
    <n v="9.8769538671910395E-7"/>
    <n v="1.097439318576782E-6"/>
    <n v="3.9971656461781646E-6"/>
    <n v="3.4848992895946499E-6"/>
    <n v="9.3873917606245375E-3"/>
    <n v="7.0098449484494625E-4"/>
    <m/>
    <m/>
  </r>
  <r>
    <x v="0"/>
    <x v="0"/>
    <x v="2"/>
    <x v="5"/>
    <s v="FortisBC"/>
    <x v="8"/>
    <x v="0"/>
    <m/>
    <s v="Indigenous Prescriptive - Residential – Gas Heat Pumps "/>
    <m/>
    <x v="6"/>
    <n v="1173.5034537762165"/>
    <n v="1303.8927264180177"/>
    <n v="14286.669452569997"/>
    <n v="0"/>
    <n v="874680000"/>
    <n v="82460085.7641761"/>
    <n v="976170"/>
    <n v="1429680000"/>
    <n v="158285451.98410821"/>
    <n v="1074614"/>
    <n v="7.1562188898861002E-7"/>
    <n v="7.9513543220956634E-7"/>
    <n v="9.9929141154454124E-6"/>
    <n v="8.7122482239866252E-6"/>
    <n v="8.7573542048038893E-3"/>
    <n v="1.7524612371123656E-3"/>
    <m/>
    <m/>
  </r>
  <r>
    <x v="0"/>
    <x v="0"/>
    <x v="2"/>
    <x v="5"/>
    <s v="FortisBC"/>
    <x v="8"/>
    <x v="0"/>
    <m/>
    <s v="Indigenous Prescriptive - Residential – Dual Fuel Hybrid Systems "/>
    <m/>
    <x v="6"/>
    <n v="749.84246247681551"/>
    <n v="833.15829164090587"/>
    <n v="4762.2231508566656"/>
    <n v="0"/>
    <n v="874680000"/>
    <n v="82460085.7641761"/>
    <n v="976170"/>
    <n v="1429680000"/>
    <n v="158285451.98410821"/>
    <n v="1074614"/>
    <n v="4.5726638274032577E-7"/>
    <n v="5.0807375860036186E-7"/>
    <n v="3.3309713718151375E-6"/>
    <n v="2.9040827413288748E-6"/>
    <n v="2.919118068267963E-3"/>
    <n v="5.8415374570412184E-4"/>
    <m/>
    <m/>
  </r>
  <r>
    <x v="0"/>
    <x v="0"/>
    <x v="2"/>
    <x v="5"/>
    <s v="FortisBC"/>
    <x v="8"/>
    <x v="2"/>
    <m/>
    <s v="Indigenous Prescriptive - Commercial – Condensing Boiler Heating Plant Optimization "/>
    <m/>
    <x v="17"/>
    <n v="7430.9388031452436"/>
    <n v="8256.5986701613783"/>
    <n v="3095.4450480568325"/>
    <n v="0"/>
    <n v="555000000"/>
    <n v="75825366.219932109"/>
    <n v="98444"/>
    <n v="1429680000"/>
    <n v="158285451.98410821"/>
    <n v="1074614"/>
    <n v="4.53150985295663E-6"/>
    <n v="5.0350109477295868E-6"/>
    <n v="2.1651313916798391E-6"/>
    <n v="1.8876537818637687E-6"/>
    <n v="5.2356955563903889E-4"/>
    <n v="3.796999347076792E-4"/>
    <m/>
    <m/>
  </r>
  <r>
    <x v="0"/>
    <x v="0"/>
    <x v="2"/>
    <x v="5"/>
    <s v="FortisBC"/>
    <x v="8"/>
    <x v="2"/>
    <m/>
    <s v="Indigenous Prescriptive - Commercial – Domestic Water Heater System Optimization "/>
    <m/>
    <x v="6"/>
    <n v="1747.1329375709804"/>
    <n v="1941.2588195233111"/>
    <n v="571.46677810279982"/>
    <n v="0"/>
    <n v="555000000"/>
    <n v="75825366.219932109"/>
    <n v="98444"/>
    <n v="1429680000"/>
    <n v="158285451.98410821"/>
    <n v="1074614"/>
    <n v="1.0654306717849594E-6"/>
    <n v="1.1838118575388435E-6"/>
    <n v="3.9971656461781647E-7"/>
    <n v="3.4848992895946495E-7"/>
    <n v="9.6658994887207186E-5"/>
    <n v="7.009844948449462E-5"/>
    <m/>
    <m/>
  </r>
  <r>
    <x v="0"/>
    <x v="0"/>
    <x v="2"/>
    <x v="5"/>
    <s v="FortisBC"/>
    <x v="8"/>
    <x v="2"/>
    <m/>
    <s v="Indigenous Prescriptive - Commercial – Dual Fuel Hybrid Systems "/>
    <m/>
    <x v="6"/>
    <n v="18746.061561920393"/>
    <n v="20828.957291022652"/>
    <n v="7143.3347262849984"/>
    <n v="0"/>
    <n v="555000000"/>
    <n v="75825366.219932109"/>
    <n v="98444"/>
    <n v="1429680000"/>
    <n v="158285451.98410821"/>
    <n v="1074614"/>
    <n v="1.1431659568508149E-5"/>
    <n v="1.270184396500905E-5"/>
    <n v="4.9964570577227062E-6"/>
    <n v="4.3561241119933126E-6"/>
    <n v="1.2082374360900898E-3"/>
    <n v="8.7623061855618281E-4"/>
    <m/>
    <m/>
  </r>
  <r>
    <x v="0"/>
    <x v="0"/>
    <x v="2"/>
    <x v="5"/>
    <s v="FortisBC"/>
    <x v="8"/>
    <x v="2"/>
    <m/>
    <s v="Indigenous Prescriptive - Commercial – Connected Thermostats "/>
    <m/>
    <x v="6"/>
    <n v="149.96849249536311"/>
    <n v="166.6316583281812"/>
    <n v="95.244463017133313"/>
    <n v="0"/>
    <n v="555000000"/>
    <n v="75825366.219932109"/>
    <n v="98444"/>
    <n v="1429680000"/>
    <n v="158285451.98410821"/>
    <n v="1074614"/>
    <n v="9.1453276548065165E-8"/>
    <n v="1.0161475172007239E-7"/>
    <n v="6.661942743630275E-8"/>
    <n v="5.8081654826577504E-8"/>
    <n v="1.61098324812012E-5"/>
    <n v="1.1683074914082438E-5"/>
    <m/>
    <m/>
  </r>
  <r>
    <x v="0"/>
    <x v="0"/>
    <x v="2"/>
    <x v="5"/>
    <s v="FortisBC"/>
    <x v="8"/>
    <x v="1"/>
    <m/>
    <s v="Indigenous Performance - Bundled Residential New Home Measures "/>
    <m/>
    <x v="0"/>
    <n v="0"/>
    <n v="0"/>
    <n v="5469.2825768667644"/>
    <n v="0"/>
    <n v="0"/>
    <n v="0"/>
    <n v="0"/>
    <n v="1429680000"/>
    <n v="158285451.98410821"/>
    <n v="1074614"/>
    <n v="0"/>
    <n v="0"/>
    <n v="3.8255291931528483E-6"/>
    <n v="3.3352593181342802E-6"/>
    <n v="8.9843014792664912E-3"/>
    <n v="6.7088454328652965E-4"/>
    <m/>
    <m/>
  </r>
  <r>
    <x v="0"/>
    <x v="0"/>
    <x v="2"/>
    <x v="5"/>
    <s v="FortisBC"/>
    <x v="8"/>
    <x v="2"/>
    <m/>
    <s v="Indigenous Performance - Commercial – Non-Profit New Construction Bonus (Part 3/9) "/>
    <m/>
    <x v="0"/>
    <n v="0"/>
    <n v="0"/>
    <n v="68366.032210834557"/>
    <n v="0"/>
    <n v="555000000"/>
    <n v="75825366.219932109"/>
    <n v="98444"/>
    <n v="1429680000"/>
    <n v="158285451.98410821"/>
    <n v="1074614"/>
    <n v="0"/>
    <n v="0"/>
    <n v="4.7819114914410606E-5"/>
    <n v="4.1690741476678507E-5"/>
    <n v="1.1563562767137736E-2"/>
    <n v="8.3860567910816215E-3"/>
    <m/>
    <m/>
  </r>
  <r>
    <x v="0"/>
    <x v="0"/>
    <x v="2"/>
    <x v="5"/>
    <s v="FortisBC"/>
    <x v="8"/>
    <x v="0"/>
    <m/>
    <s v="Indigenous Performance - Residential – Non-Profit New Construction Bonus (Part 9) "/>
    <m/>
    <x v="0"/>
    <n v="0"/>
    <n v="0"/>
    <n v="17091.508052708639"/>
    <n v="0"/>
    <n v="874680000"/>
    <n v="82460085.7641761"/>
    <n v="976170"/>
    <n v="1429680000"/>
    <n v="158285451.98410821"/>
    <n v="1074614"/>
    <n v="0"/>
    <n v="0"/>
    <n v="1.1954778728602651E-5"/>
    <n v="1.0422685369169627E-5"/>
    <n v="1.0476646807622654E-2"/>
    <n v="2.0965141977704054E-3"/>
    <m/>
    <m/>
  </r>
  <r>
    <x v="0"/>
    <x v="0"/>
    <x v="2"/>
    <x v="5"/>
    <s v="FortisBC"/>
    <x v="8"/>
    <x v="2"/>
    <m/>
    <s v="Indigenous Performance - Commercial SEM "/>
    <m/>
    <x v="14"/>
    <n v="95853.659816891071"/>
    <n v="106504.06646321229"/>
    <n v="239281.11273792092"/>
    <n v="0"/>
    <n v="555000000"/>
    <n v="75825366.219932109"/>
    <n v="98444"/>
    <n v="1429680000"/>
    <n v="158285451.98410821"/>
    <n v="1074614"/>
    <n v="5.8453153149147929E-5"/>
    <n v="6.4947947943497691E-5"/>
    <n v="1.6736690220043712E-4"/>
    <n v="1.4591759516837475E-4"/>
    <n v="4.0472469684982075E-2"/>
    <n v="2.9351198768785669E-2"/>
    <m/>
    <m/>
  </r>
  <r>
    <x v="0"/>
    <x v="0"/>
    <x v="2"/>
    <x v="5"/>
    <s v="FortisBC"/>
    <x v="8"/>
    <x v="1"/>
    <m/>
    <s v="Indigenous Performance - STEP 4 (Detached Home) – Dual Fuel Hybrid Systems "/>
    <m/>
    <x v="6"/>
    <n v="2036.8902711089352"/>
    <n v="2263.2114123432616"/>
    <n v="136732.06442166911"/>
    <n v="0"/>
    <n v="0"/>
    <n v="0"/>
    <n v="0"/>
    <n v="1429680000"/>
    <n v="158285451.98410821"/>
    <n v="1074614"/>
    <n v="1.2421295044193933E-6"/>
    <n v="1.3801438937993259E-6"/>
    <n v="9.5638229828821212E-5"/>
    <n v="8.3381482953357014E-5"/>
    <n v="0.22460753698166228"/>
    <n v="1.6772113582163243E-2"/>
    <m/>
    <m/>
  </r>
  <r>
    <x v="0"/>
    <x v="1"/>
    <x v="2"/>
    <x v="5"/>
    <s v="FortisBC"/>
    <x v="8"/>
    <x v="1"/>
    <n v="1"/>
    <s v="Indigenous Performance - STEP 4 (Row Home) – Dual Fuel Hybrid Systems  "/>
    <m/>
    <x v="2"/>
    <n v="42171.22676791605"/>
    <n v="46856.918631017841"/>
    <m/>
    <n v="0"/>
    <n v="0"/>
    <n v="0"/>
    <n v="0"/>
    <n v="1429680000"/>
    <n v="158285451.98410821"/>
    <n v="1074614"/>
    <n v="0"/>
    <n v="0"/>
    <s v=""/>
    <s v=""/>
    <n v="0"/>
    <n v="0"/>
    <m/>
    <m/>
  </r>
  <r>
    <x v="0"/>
    <x v="1"/>
    <x v="2"/>
    <x v="5"/>
    <s v="FortisBC"/>
    <x v="8"/>
    <x v="1"/>
    <n v="1"/>
    <s v="Indigenous Performance - STEP 5 (Detached Home) – Dual Fuel Hybrid Systems "/>
    <m/>
    <x v="2"/>
    <n v="37382.196736668178"/>
    <n v="41535.774151853533"/>
    <m/>
    <n v="0"/>
    <n v="0"/>
    <n v="0"/>
    <n v="0"/>
    <n v="1429680000"/>
    <n v="158285451.98410821"/>
    <n v="1074614"/>
    <n v="0"/>
    <n v="0"/>
    <s v=""/>
    <s v=""/>
    <n v="0"/>
    <n v="0"/>
    <m/>
    <m/>
  </r>
  <r>
    <x v="0"/>
    <x v="1"/>
    <x v="2"/>
    <x v="5"/>
    <s v="FortisBC"/>
    <x v="8"/>
    <x v="1"/>
    <n v="1"/>
    <s v="Indigenous Performance - STEP 5 (Row Home) – Dual Fuel Hybrid Systems "/>
    <m/>
    <x v="2"/>
    <n v="35348.594129196252"/>
    <n v="39276.215699106957"/>
    <m/>
    <n v="0"/>
    <n v="0"/>
    <n v="0"/>
    <n v="0"/>
    <n v="1429680000"/>
    <n v="158285451.98410821"/>
    <n v="1074614"/>
    <n v="0"/>
    <n v="0"/>
    <s v=""/>
    <s v=""/>
    <n v="0"/>
    <n v="0"/>
    <m/>
    <m/>
  </r>
  <r>
    <x v="0"/>
    <x v="0"/>
    <x v="2"/>
    <x v="5"/>
    <s v="FortisBC"/>
    <x v="8"/>
    <x v="0"/>
    <m/>
    <s v="Legacy Residential - Furnace (Home Renovation) "/>
    <m/>
    <x v="9"/>
    <n v="1121.4351816343876"/>
    <n v="1246.039090704875"/>
    <n v="15549.4906887653"/>
    <n v="0"/>
    <n v="874680000"/>
    <n v="82460085.7641761"/>
    <n v="976170"/>
    <n v="1429680000"/>
    <n v="158285451.98410821"/>
    <n v="1074614"/>
    <n v="6.8386979218258381E-7"/>
    <n v="7.5985532464731524E-7"/>
    <n v="1.087620354818232E-5"/>
    <n v="9.4823375795764956E-6"/>
    <n v="9.5314305491488761E-3"/>
    <n v="1.9073640486585856E-3"/>
    <m/>
    <m/>
  </r>
  <r>
    <x v="0"/>
    <x v="0"/>
    <x v="2"/>
    <x v="5"/>
    <s v="FortisBC"/>
    <x v="8"/>
    <x v="0"/>
    <m/>
    <s v="Legacy Residential - Boiler (Home Renovation) "/>
    <m/>
    <x v="6"/>
    <n v="1100.667863455973"/>
    <n v="1222.9642927288587"/>
    <n v="18511.29843900631"/>
    <n v="0"/>
    <n v="874680000"/>
    <n v="82460085.7641761"/>
    <n v="976170"/>
    <n v="1429680000"/>
    <n v="158285451.98410821"/>
    <n v="1074614"/>
    <n v="6.7120553677179524E-7"/>
    <n v="7.4578392974643895E-7"/>
    <n v="1.2947861366883715E-5"/>
    <n v="1.1288497118543449E-5"/>
    <n v="1.1346941129939139E-2"/>
    <n v="2.2706714864983162E-3"/>
    <m/>
    <m/>
  </r>
  <r>
    <x v="0"/>
    <x v="0"/>
    <x v="2"/>
    <x v="5"/>
    <s v="FortisBC"/>
    <x v="8"/>
    <x v="0"/>
    <m/>
    <s v="Legacy Residential - EnerChoice Fireplace (Home Renovation) "/>
    <m/>
    <x v="6"/>
    <n v="1536.7815452026794"/>
    <n v="1707.5350502251988"/>
    <n v="5553.3895317018932"/>
    <n v="0"/>
    <n v="874680000"/>
    <n v="82460085.7641761"/>
    <n v="976170"/>
    <n v="1429680000"/>
    <n v="158285451.98410821"/>
    <n v="1074614"/>
    <n v="9.3715490039835556E-7"/>
    <n v="1.0412832226648391E-6"/>
    <n v="3.884358410065115E-6"/>
    <n v="3.3865491355630348E-6"/>
    <n v="3.4040823389817417E-3"/>
    <n v="6.8120144594949487E-4"/>
    <m/>
    <m/>
  </r>
  <r>
    <x v="0"/>
    <x v="0"/>
    <x v="2"/>
    <x v="5"/>
    <s v="FortisBC"/>
    <x v="8"/>
    <x v="0"/>
    <m/>
    <s v="Legacy Residential - Condensing Storage Tank Water Heater (Home Renovation) "/>
    <m/>
    <x v="6"/>
    <n v="2097.4991360198733"/>
    <n v="2330.5545955776365"/>
    <n v="18511.29843900631"/>
    <n v="0"/>
    <n v="874680000"/>
    <n v="82460085.7641761"/>
    <n v="976170"/>
    <n v="1429680000"/>
    <n v="158285451.98410821"/>
    <n v="1074614"/>
    <n v="1.2790897964896475E-6"/>
    <n v="1.4212108849884971E-6"/>
    <n v="1.2947861366883715E-5"/>
    <n v="1.1288497118543449E-5"/>
    <n v="1.1346941129939139E-2"/>
    <n v="2.2706714864983162E-3"/>
    <m/>
    <m/>
  </r>
  <r>
    <x v="0"/>
    <x v="0"/>
    <x v="2"/>
    <x v="5"/>
    <s v="FortisBC"/>
    <x v="8"/>
    <x v="0"/>
    <m/>
    <s v="Legacy Residential - Condensing Tankless Water Heater (Home Renovation) "/>
    <m/>
    <x v="6"/>
    <n v="2367.4742723392628"/>
    <n v="2630.5269692658471"/>
    <n v="18511.29843900631"/>
    <n v="0"/>
    <n v="874680000"/>
    <n v="82460085.7641761"/>
    <n v="976170"/>
    <n v="1429680000"/>
    <n v="158285451.98410821"/>
    <n v="1074614"/>
    <n v="1.443725116829899E-6"/>
    <n v="1.6041390186998875E-6"/>
    <n v="1.2947861366883715E-5"/>
    <n v="1.1288497118543449E-5"/>
    <n v="1.1346941129939139E-2"/>
    <n v="2.2706714864983162E-3"/>
    <m/>
    <m/>
  </r>
  <r>
    <x v="0"/>
    <x v="0"/>
    <x v="2"/>
    <x v="5"/>
    <s v="FortisBC"/>
    <x v="8"/>
    <x v="0"/>
    <m/>
    <s v="Legacy Residential - Combination System (Home Renovation) "/>
    <m/>
    <x v="6"/>
    <n v="1287.5737270617044"/>
    <n v="1430.6374745130045"/>
    <n v="22213.558126807573"/>
    <n v="0"/>
    <n v="874680000"/>
    <n v="82460085.7641761"/>
    <n v="976170"/>
    <n v="1429680000"/>
    <n v="158285451.98410821"/>
    <n v="1074614"/>
    <n v="7.8518383546889249E-7"/>
    <n v="8.7242648385432488E-7"/>
    <n v="1.553743364026046E-5"/>
    <n v="1.3546196542252139E-5"/>
    <n v="1.3616329355926967E-2"/>
    <n v="2.7248057837979795E-3"/>
    <m/>
    <m/>
  </r>
  <r>
    <x v="0"/>
    <x v="0"/>
    <x v="2"/>
    <x v="5"/>
    <s v="FortisBC"/>
    <x v="8"/>
    <x v="0"/>
    <m/>
    <s v="Legacy Residential - STEP 2 – Single Family Dwelling (New Home) "/>
    <m/>
    <x v="0"/>
    <n v="1287.5737270617044"/>
    <n v="1430.6374745130045"/>
    <n v="55533.895317018927"/>
    <n v="0"/>
    <n v="874680000"/>
    <n v="82460085.7641761"/>
    <n v="976170"/>
    <n v="1429680000"/>
    <n v="158285451.98410821"/>
    <n v="1074614"/>
    <n v="7.8518383546889249E-7"/>
    <n v="8.7242648385432488E-7"/>
    <n v="3.8843584100651141E-5"/>
    <n v="3.3865491355630339E-5"/>
    <n v="3.4040823389817412E-2"/>
    <n v="6.8120144594949481E-3"/>
    <m/>
    <m/>
  </r>
  <r>
    <x v="0"/>
    <x v="0"/>
    <x v="2"/>
    <x v="5"/>
    <s v="FortisBC"/>
    <x v="8"/>
    <x v="0"/>
    <m/>
    <s v="Legacy Residential - STEP 2 – Townhome/Row Home (New Home) "/>
    <m/>
    <x v="0"/>
    <n v="1972.8952269493859"/>
    <n v="2192.1058077215393"/>
    <n v="55533.895317018927"/>
    <n v="0"/>
    <n v="874680000"/>
    <n v="82460085.7641761"/>
    <n v="976170"/>
    <n v="1429680000"/>
    <n v="158285451.98410821"/>
    <n v="1074614"/>
    <n v="1.2031042640249161E-6"/>
    <n v="1.3367825155832398E-6"/>
    <n v="3.8843584100651141E-5"/>
    <n v="3.3865491355630339E-5"/>
    <n v="3.4040823389817412E-2"/>
    <n v="6.8120144594949481E-3"/>
    <m/>
    <m/>
  </r>
  <r>
    <x v="0"/>
    <x v="0"/>
    <x v="2"/>
    <x v="5"/>
    <s v="FortisBC"/>
    <x v="8"/>
    <x v="0"/>
    <m/>
    <s v="Legacy Residential - STEP 3 – Single Family Dwelling (New Home) "/>
    <m/>
    <x v="0"/>
    <n v="2305.1723178040188"/>
    <n v="2561.3025753377983"/>
    <n v="74045.193756025241"/>
    <n v="0"/>
    <n v="874680000"/>
    <n v="82460085.7641761"/>
    <n v="976170"/>
    <n v="1429680000"/>
    <n v="158285451.98410821"/>
    <n v="1074614"/>
    <n v="1.4057323505975332E-6"/>
    <n v="1.5619248339972589E-6"/>
    <n v="5.1791445467534862E-5"/>
    <n v="4.5153988474173796E-5"/>
    <n v="4.5387764519756554E-2"/>
    <n v="9.0826859459932647E-3"/>
    <m/>
    <m/>
  </r>
  <r>
    <x v="0"/>
    <x v="0"/>
    <x v="2"/>
    <x v="5"/>
    <s v="FortisBC"/>
    <x v="8"/>
    <x v="0"/>
    <m/>
    <s v="Legacy Residential - STEP 3 – Townhome/Row Home (New Home) "/>
    <m/>
    <x v="0"/>
    <n v="2678.9840450154816"/>
    <n v="2976.6489389060898"/>
    <n v="74045.193756025241"/>
    <n v="0"/>
    <n v="874680000"/>
    <n v="82460085.7641761"/>
    <n v="976170"/>
    <n v="1429680000"/>
    <n v="158285451.98410821"/>
    <n v="1074614"/>
    <n v="1.6336889479917281E-6"/>
    <n v="1.8152099422130305E-6"/>
    <n v="5.1791445467534862E-5"/>
    <n v="4.5153988474173796E-5"/>
    <n v="4.5387764519756554E-2"/>
    <n v="9.0826859459932647E-3"/>
    <m/>
    <m/>
  </r>
  <r>
    <x v="0"/>
    <x v="0"/>
    <x v="2"/>
    <x v="5"/>
    <s v="FortisBC"/>
    <x v="8"/>
    <x v="0"/>
    <m/>
    <s v="Legacy Residential - STEP 4 – Single Family Dwelling (New Home) "/>
    <m/>
    <x v="0"/>
    <n v="4361.1368174670633"/>
    <n v="4845.7075749634023"/>
    <n v="111067.79063403785"/>
    <n v="0"/>
    <n v="874680000"/>
    <n v="82460085.7641761"/>
    <n v="976170"/>
    <n v="1429680000"/>
    <n v="158285451.98410821"/>
    <n v="1074614"/>
    <n v="2.659493636265604E-6"/>
    <n v="2.9549929291840032E-6"/>
    <n v="7.7687168201302282E-5"/>
    <n v="6.7730982711260677E-5"/>
    <n v="6.8081646779634825E-2"/>
    <n v="1.3624028918989896E-2"/>
    <m/>
    <m/>
  </r>
  <r>
    <x v="0"/>
    <x v="0"/>
    <x v="2"/>
    <x v="5"/>
    <s v="FortisBC"/>
    <x v="8"/>
    <x v="0"/>
    <m/>
    <s v="Legacy Residential - STEP 4 – Townhome/Row Home (New Home) "/>
    <m/>
    <x v="0"/>
    <n v="3447.3748176168219"/>
    <n v="3830.4164640186905"/>
    <n v="111067.79063403785"/>
    <n v="0"/>
    <n v="874680000"/>
    <n v="82460085.7641761"/>
    <n v="976170"/>
    <n v="1429680000"/>
    <n v="158285451.98410821"/>
    <n v="1074614"/>
    <n v="2.1022663981909065E-6"/>
    <n v="2.335851553545451E-6"/>
    <n v="7.7687168201302282E-5"/>
    <n v="6.7730982711260677E-5"/>
    <n v="6.8081646779634825E-2"/>
    <n v="1.3624028918989896E-2"/>
    <m/>
    <m/>
  </r>
  <r>
    <x v="0"/>
    <x v="0"/>
    <x v="2"/>
    <x v="5"/>
    <s v="FortisBC"/>
    <x v="8"/>
    <x v="0"/>
    <m/>
    <s v="Legacy Residential - STEP 5 – Single Family Dwelling (New Home) "/>
    <m/>
    <x v="0"/>
    <n v="8805.3429076477842"/>
    <n v="9783.7143418308697"/>
    <n v="185112.98439006309"/>
    <n v="0"/>
    <n v="874680000"/>
    <n v="82460085.7641761"/>
    <n v="976170"/>
    <n v="1429680000"/>
    <n v="158285451.98410821"/>
    <n v="1074614"/>
    <n v="5.3696442941743619E-6"/>
    <n v="5.9662714379715116E-6"/>
    <n v="1.2947861366883714E-4"/>
    <n v="1.1288497118543448E-4"/>
    <n v="0.11346941129939139"/>
    <n v="2.2706714864983161E-2"/>
    <m/>
    <m/>
  </r>
  <r>
    <x v="0"/>
    <x v="0"/>
    <x v="2"/>
    <x v="5"/>
    <s v="FortisBC"/>
    <x v="8"/>
    <x v="0"/>
    <m/>
    <s v="Legacy Residential - STEP 5 – Townhome/Row Home (New Home) "/>
    <m/>
    <x v="0"/>
    <n v="6604.007180735839"/>
    <n v="7337.7857563731523"/>
    <n v="185112.98439006309"/>
    <n v="0"/>
    <n v="874680000"/>
    <n v="82460085.7641761"/>
    <n v="976170"/>
    <n v="1429680000"/>
    <n v="158285451.98410821"/>
    <n v="1074614"/>
    <n v="4.0272332206307719E-6"/>
    <n v="4.4747035784786335E-6"/>
    <n v="1.2947861366883714E-4"/>
    <n v="1.1288497118543448E-4"/>
    <n v="0.11346941129939139"/>
    <n v="2.2706714864983161E-2"/>
    <m/>
    <m/>
  </r>
  <r>
    <x v="0"/>
    <x v="0"/>
    <x v="2"/>
    <x v="5"/>
    <s v="FortisBC"/>
    <x v="8"/>
    <x v="0"/>
    <m/>
    <s v="Legacy Residential - Condensing Storage Tank Water Heater (New Home) "/>
    <m/>
    <x v="0"/>
    <n v="2097.4991360198733"/>
    <n v="2330.5545955776365"/>
    <n v="18511.29843900631"/>
    <n v="0"/>
    <n v="874680000"/>
    <n v="82460085.7641761"/>
    <n v="976170"/>
    <n v="1429680000"/>
    <n v="158285451.98410821"/>
    <n v="1074614"/>
    <n v="1.2790897964896475E-6"/>
    <n v="1.4212108849884971E-6"/>
    <n v="1.2947861366883715E-5"/>
    <n v="1.1288497118543449E-5"/>
    <n v="1.1346941129939139E-2"/>
    <n v="2.2706714864983162E-3"/>
    <m/>
    <m/>
  </r>
  <r>
    <x v="0"/>
    <x v="0"/>
    <x v="2"/>
    <x v="5"/>
    <s v="FortisBC"/>
    <x v="8"/>
    <x v="0"/>
    <m/>
    <s v="Legacy Residential - Condensing Tankless Water Heater (New Home) "/>
    <m/>
    <x v="0"/>
    <n v="2367.4742723392628"/>
    <n v="2630.5269692658471"/>
    <n v="18511.29843900631"/>
    <n v="0"/>
    <n v="874680000"/>
    <n v="82460085.7641761"/>
    <n v="976170"/>
    <n v="1429680000"/>
    <n v="158285451.98410821"/>
    <n v="1074614"/>
    <n v="1.443725116829899E-6"/>
    <n v="1.6041390186998875E-6"/>
    <n v="1.2947861366883715E-5"/>
    <n v="1.1288497118543449E-5"/>
    <n v="1.1346941129939139E-2"/>
    <n v="2.2706714864983162E-3"/>
    <m/>
    <m/>
  </r>
  <r>
    <x v="0"/>
    <x v="0"/>
    <x v="2"/>
    <x v="5"/>
    <s v="FortisBC"/>
    <x v="8"/>
    <x v="0"/>
    <m/>
    <s v="Legacy Residential - EnerChoice Fireplace (New Home) "/>
    <m/>
    <x v="0"/>
    <n v="1038.3659089207292"/>
    <n v="1153.7398988008099"/>
    <n v="9255.6492195031551"/>
    <n v="0"/>
    <n v="874680000"/>
    <n v="82460085.7641761"/>
    <n v="976170"/>
    <n v="1429680000"/>
    <n v="158285451.98410821"/>
    <n v="1074614"/>
    <n v="6.3321277053942931E-7"/>
    <n v="7.0356974504381021E-7"/>
    <n v="6.4739306834418577E-6"/>
    <n v="5.6442485592717245E-6"/>
    <n v="5.6734705649695693E-3"/>
    <n v="1.1353357432491581E-3"/>
    <m/>
    <m/>
  </r>
  <r>
    <x v="0"/>
    <x v="0"/>
    <x v="2"/>
    <x v="5"/>
    <s v="FortisBC"/>
    <x v="8"/>
    <x v="0"/>
    <m/>
    <s v="Legacy Residential - Combination System (New Home) "/>
    <m/>
    <x v="0"/>
    <n v="1287.5737270617044"/>
    <n v="1430.6374745130045"/>
    <n v="22213.558126807573"/>
    <n v="0"/>
    <n v="874680000"/>
    <n v="82460085.7641761"/>
    <n v="976170"/>
    <n v="1429680000"/>
    <n v="158285451.98410821"/>
    <n v="1074614"/>
    <n v="7.8518383546889249E-7"/>
    <n v="8.7242648385432488E-7"/>
    <n v="1.553743364026046E-5"/>
    <n v="1.3546196542252139E-5"/>
    <n v="1.3616329355926967E-2"/>
    <n v="2.7248057837979795E-3"/>
    <m/>
    <m/>
  </r>
  <r>
    <x v="0"/>
    <x v="0"/>
    <x v="2"/>
    <x v="5"/>
    <s v="FortisBC"/>
    <x v="8"/>
    <x v="2"/>
    <m/>
    <s v="Legacy Commercial - Condensing Volume Boiler (Prescriptive) "/>
    <m/>
    <x v="17"/>
    <n v="46103.446356080378"/>
    <n v="51226.051506755975"/>
    <n v="74045.193756025241"/>
    <n v="0"/>
    <n v="555000000"/>
    <n v="75825366.219932109"/>
    <n v="98444"/>
    <n v="1429680000"/>
    <n v="158285451.98410821"/>
    <n v="1074614"/>
    <n v="2.8114647011950665E-5"/>
    <n v="3.1238496679945187E-5"/>
    <n v="5.1791445467534862E-5"/>
    <n v="4.5153988474173796E-5"/>
    <n v="1.2524147122684407E-2"/>
    <n v="9.0826859459932647E-3"/>
    <m/>
    <m/>
  </r>
  <r>
    <x v="0"/>
    <x v="0"/>
    <x v="2"/>
    <x v="5"/>
    <s v="FortisBC"/>
    <x v="8"/>
    <x v="2"/>
    <m/>
    <s v="Legacy Commercial - Condensing Tankless Water Heater (Prescriptive) "/>
    <m/>
    <x v="6"/>
    <n v="28658.899086212125"/>
    <n v="31843.221206902355"/>
    <n v="17585.733517055996"/>
    <n v="0"/>
    <n v="555000000"/>
    <n v="75825366.219932109"/>
    <n v="98444"/>
    <n v="1429680000"/>
    <n v="158285451.98410821"/>
    <n v="1074614"/>
    <n v="1.7476672466888252E-5"/>
    <n v="1.9418524963209163E-5"/>
    <n v="1.2300468298539531E-5"/>
    <n v="1.0724072262616277E-5"/>
    <n v="2.9744849416375469E-3"/>
    <n v="2.1571379121734006E-3"/>
    <m/>
    <m/>
  </r>
  <r>
    <x v="0"/>
    <x v="0"/>
    <x v="2"/>
    <x v="5"/>
    <s v="FortisBC"/>
    <x v="8"/>
    <x v="2"/>
    <m/>
    <s v="Legacy Commercial - Furnace Replacement – Std. and Mid. (Prescriptive) "/>
    <m/>
    <x v="6"/>
    <n v="1661.3854542731667"/>
    <n v="1845.983838081296"/>
    <n v="14809.038751205049"/>
    <n v="0"/>
    <n v="555000000"/>
    <n v="75825366.219932109"/>
    <n v="98444"/>
    <n v="1429680000"/>
    <n v="158285451.98410821"/>
    <n v="1074614"/>
    <n v="1.013140432863087E-6"/>
    <n v="1.1257115920700964E-6"/>
    <n v="1.0358289093506973E-5"/>
    <n v="9.0307976948347589E-6"/>
    <n v="2.5048294245368819E-3"/>
    <n v="1.8165371891986531E-3"/>
    <m/>
    <m/>
  </r>
  <r>
    <x v="0"/>
    <x v="0"/>
    <x v="2"/>
    <x v="5"/>
    <s v="FortisBC"/>
    <x v="8"/>
    <x v="2"/>
    <m/>
    <s v="Legacy Commercial - Condensing Unit Heaters (Prescriptive) "/>
    <m/>
    <x v="6"/>
    <n v="31358.650449406025"/>
    <n v="34842.944943784467"/>
    <n v="16660.168595105679"/>
    <n v="0"/>
    <n v="555000000"/>
    <n v="75825366.219932109"/>
    <n v="98444"/>
    <n v="1429680000"/>
    <n v="158285451.98410821"/>
    <n v="1074614"/>
    <n v="1.9123025670290769E-5"/>
    <n v="2.1247806300323073E-5"/>
    <n v="1.1653075230195344E-5"/>
    <n v="1.0159647406689104E-5"/>
    <n v="2.8179331026039916E-3"/>
    <n v="2.0436043378484845E-3"/>
    <m/>
    <m/>
  </r>
  <r>
    <x v="0"/>
    <x v="0"/>
    <x v="2"/>
    <x v="5"/>
    <s v="FortisBC"/>
    <x v="8"/>
    <x v="2"/>
    <m/>
    <s v="Legacy Commercial - Condensing Make Up Air Unit (Prescriptive) "/>
    <m/>
    <x v="6"/>
    <n v="27412.859995507257"/>
    <n v="30458.73332834139"/>
    <n v="55533.895317018927"/>
    <n v="0"/>
    <n v="555000000"/>
    <n v="75825366.219932109"/>
    <n v="98444"/>
    <n v="1429680000"/>
    <n v="158285451.98410821"/>
    <n v="1074614"/>
    <n v="1.6716817142240937E-5"/>
    <n v="1.8574241269156596E-5"/>
    <n v="3.8843584100651141E-5"/>
    <n v="3.3865491355630339E-5"/>
    <n v="9.3931103420133045E-3"/>
    <n v="6.8120144594949481E-3"/>
    <m/>
    <m/>
  </r>
  <r>
    <x v="0"/>
    <x v="0"/>
    <x v="2"/>
    <x v="5"/>
    <s v="FortisBC"/>
    <x v="8"/>
    <x v="2"/>
    <m/>
    <s v="Legacy Commercial - Studies (Retrofit) "/>
    <m/>
    <x v="6"/>
    <n v="0"/>
    <n v="0"/>
    <n v="694173.69146273669"/>
    <n v="0"/>
    <n v="555000000"/>
    <n v="75825366.219932109"/>
    <n v="98444"/>
    <n v="1429680000"/>
    <n v="158285451.98410821"/>
    <n v="1074614"/>
    <n v="0"/>
    <n v="0"/>
    <n v="4.8554480125813934E-4"/>
    <n v="4.2331864194537934E-4"/>
    <n v="0.11741387927516633"/>
    <n v="8.5150180743686868E-2"/>
    <m/>
    <m/>
  </r>
  <r>
    <x v="0"/>
    <x v="0"/>
    <x v="2"/>
    <x v="5"/>
    <s v="FortisBC"/>
    <x v="8"/>
    <x v="2"/>
    <m/>
    <s v="Legacy Commercial - Capital Upgrades (Retrofit) "/>
    <m/>
    <x v="6"/>
    <n v="647317.30762118264"/>
    <n v="719241.45291242504"/>
    <n v="7404519.3756025247"/>
    <n v="0"/>
    <n v="555000000"/>
    <n v="75825366.219932109"/>
    <n v="98444"/>
    <n v="1429680000"/>
    <n v="158285451.98410821"/>
    <n v="1074614"/>
    <n v="3.9474484115428028E-4"/>
    <n v="4.3860537906031141E-4"/>
    <n v="5.1791445467534863E-3"/>
    <n v="4.5153988474173797E-3"/>
    <n v="1.2524147122684408"/>
    <n v="0.90826859459932663"/>
    <m/>
    <m/>
  </r>
  <r>
    <x v="0"/>
    <x v="0"/>
    <x v="2"/>
    <x v="5"/>
    <s v="FortisBC"/>
    <x v="8"/>
    <x v="2"/>
    <m/>
    <s v="Legacy Commercial - Step Code – Whole Building (New Construction) "/>
    <m/>
    <x v="0"/>
    <n v="215980.10905551171"/>
    <n v="239977.89895056852"/>
    <n v="7404519.3756025247"/>
    <n v="0"/>
    <n v="555000000"/>
    <n v="75825366.219932109"/>
    <n v="98444"/>
    <n v="1429680000"/>
    <n v="158285451.98410821"/>
    <n v="1074614"/>
    <n v="1.3170825627220134E-4"/>
    <n v="1.4634250696911257E-4"/>
    <n v="5.1791445467534863E-3"/>
    <n v="4.5153988474173797E-3"/>
    <n v="1.2524147122684408"/>
    <n v="0.90826859459932663"/>
    <m/>
    <m/>
  </r>
  <r>
    <x v="0"/>
    <x v="0"/>
    <x v="2"/>
    <x v="5"/>
    <s v="FortisBC"/>
    <x v="8"/>
    <x v="2"/>
    <m/>
    <s v="Legacy Commercial - Non Step Code – Whole Building (New Construction) "/>
    <m/>
    <x v="0"/>
    <n v="215980.10905551171"/>
    <n v="239977.89895056852"/>
    <n v="7404519.3756025247"/>
    <n v="0"/>
    <n v="555000000"/>
    <n v="75825366.219932109"/>
    <n v="98444"/>
    <n v="1429680000"/>
    <n v="158285451.98410821"/>
    <n v="1074614"/>
    <n v="1.3170825627220134E-4"/>
    <n v="1.4634250696911257E-4"/>
    <n v="5.1791445467534863E-3"/>
    <n v="4.5153988474173797E-3"/>
    <n v="1.2524147122684408"/>
    <n v="0.90826859459932663"/>
    <m/>
    <m/>
  </r>
  <r>
    <x v="0"/>
    <x v="0"/>
    <x v="2"/>
    <x v="5"/>
    <s v="FortisBC"/>
    <x v="8"/>
    <x v="1"/>
    <n v="1"/>
    <s v="Legacy Low Income - Residential – Furnace (Prescriptive) "/>
    <m/>
    <x v="9"/>
    <n v="892.99468167182727"/>
    <n v="992.2163129686968"/>
    <n v="42650.031603470539"/>
    <n v="0"/>
    <n v="0"/>
    <n v="0"/>
    <n v="0"/>
    <n v="1429680000"/>
    <n v="158285451.98410821"/>
    <n v="1074614"/>
    <n v="5.4456298266390931E-7"/>
    <n v="6.0506998073767696E-7"/>
    <n v="2.9831872589300081E-5"/>
    <n v="2.6008697361124107E-5"/>
    <n v="7.0060512807758241E-2"/>
    <n v="5.231627104892121E-3"/>
    <m/>
    <m/>
  </r>
  <r>
    <x v="0"/>
    <x v="0"/>
    <x v="2"/>
    <x v="5"/>
    <s v="FortisBC"/>
    <x v="8"/>
    <x v="1"/>
    <n v="1"/>
    <s v="Legacy Low Income - Residential – Boiler (Prescriptive) "/>
    <m/>
    <x v="6"/>
    <n v="1204.504454348046"/>
    <n v="1338.3382826089398"/>
    <n v="37022.59687801262"/>
    <n v="0"/>
    <n v="0"/>
    <n v="0"/>
    <n v="0"/>
    <n v="1429680000"/>
    <n v="158285451.98410821"/>
    <n v="1074614"/>
    <n v="7.345268138257382E-7"/>
    <n v="8.1614090425081995E-7"/>
    <n v="2.5895722733767431E-5"/>
    <n v="2.2576994237086898E-5"/>
    <n v="6.0816417367845696E-2"/>
    <n v="4.5413429729966323E-3"/>
    <m/>
    <m/>
  </r>
  <r>
    <x v="0"/>
    <x v="0"/>
    <x v="2"/>
    <x v="5"/>
    <s v="FortisBC"/>
    <x v="8"/>
    <x v="1"/>
    <n v="1"/>
    <s v="Legacy Low Income - Commercial – Condensing Volume Boiler (Prescriptive) "/>
    <m/>
    <x v="17"/>
    <n v="65832.398625574235"/>
    <n v="73147.109583971353"/>
    <n v="273948.7055988544"/>
    <n v="0"/>
    <n v="0"/>
    <n v="0"/>
    <n v="0"/>
    <n v="1429680000"/>
    <n v="158285451.98410821"/>
    <n v="1074614"/>
    <n v="4.0145689652199825E-5"/>
    <n v="4.4606321835777571E-5"/>
    <n v="1.9161540036851212E-4"/>
    <n v="1.670584688573245E-4"/>
    <n v="0.45001108031337428"/>
    <n v="3.3603667328688587E-2"/>
    <m/>
    <m/>
  </r>
  <r>
    <x v="0"/>
    <x v="0"/>
    <x v="2"/>
    <x v="5"/>
    <s v="FortisBC"/>
    <x v="8"/>
    <x v="1"/>
    <n v="1"/>
    <s v="Legacy Low Income - Commercial – Condensing Tankless Water Heater (Prescriptive) "/>
    <m/>
    <x v="6"/>
    <n v="5607.1759081719383"/>
    <n v="6230.195453524374"/>
    <n v="46278.246097515774"/>
    <n v="0"/>
    <n v="0"/>
    <n v="0"/>
    <n v="0"/>
    <n v="1429680000"/>
    <n v="158285451.98410821"/>
    <n v="1074614"/>
    <n v="3.4193489609129187E-6"/>
    <n v="3.7992766232365757E-6"/>
    <n v="3.2369653417209284E-5"/>
    <n v="2.822124279635862E-5"/>
    <n v="7.6020521709807123E-2"/>
    <n v="5.6766787162457902E-3"/>
    <m/>
    <m/>
  </r>
  <r>
    <x v="0"/>
    <x v="0"/>
    <x v="2"/>
    <x v="5"/>
    <s v="FortisBC"/>
    <x v="8"/>
    <x v="1"/>
    <n v="1"/>
    <s v="Legacy Low Income - Commercial – Furnace (Prescriptive) "/>
    <m/>
    <x v="9"/>
    <n v="1432.9449543106064"/>
    <n v="1592.1610603451181"/>
    <n v="45908.020128735654"/>
    <n v="0"/>
    <n v="0"/>
    <n v="0"/>
    <n v="0"/>
    <n v="1429680000"/>
    <n v="158285451.98410821"/>
    <n v="1074614"/>
    <n v="8.7383362334441259E-7"/>
    <n v="9.7092624816045855E-7"/>
    <n v="3.2110696189871617E-5"/>
    <n v="2.7995472853987752E-5"/>
    <n v="7.5412357536128669E-2"/>
    <n v="5.6312652865158248E-3"/>
    <m/>
    <m/>
  </r>
  <r>
    <x v="0"/>
    <x v="0"/>
    <x v="2"/>
    <x v="5"/>
    <s v="FortisBC"/>
    <x v="8"/>
    <x v="1"/>
    <n v="1"/>
    <s v="Legacy Low Income - Commercial – Non-Profit Bundled Measures (Prescriptive) "/>
    <m/>
    <x v="6"/>
    <n v="19728.952269493857"/>
    <n v="21921.058077215392"/>
    <n v="92556.492195031547"/>
    <n v="0"/>
    <n v="0"/>
    <n v="0"/>
    <n v="0"/>
    <n v="1429680000"/>
    <n v="158285451.98410821"/>
    <n v="1074614"/>
    <n v="1.2031042640249161E-5"/>
    <n v="1.3367825155832396E-5"/>
    <n v="6.4739306834418568E-5"/>
    <n v="5.644248559271724E-5"/>
    <n v="0.15204104341961425"/>
    <n v="1.135335743249158E-2"/>
    <m/>
    <m/>
  </r>
  <r>
    <x v="0"/>
    <x v="0"/>
    <x v="2"/>
    <x v="5"/>
    <s v="FortisBC"/>
    <x v="8"/>
    <x v="1"/>
    <n v="1"/>
    <s v="Legacy Low Income - Energy Conservation Assistance Program (ECAP) (Direct Install) "/>
    <m/>
    <x v="13"/>
    <n v="892.99468167182727"/>
    <n v="992.2163129686968"/>
    <n v="146239.25766814986"/>
    <n v="0"/>
    <n v="0"/>
    <n v="0"/>
    <n v="0"/>
    <n v="1429680000"/>
    <n v="158285451.98410821"/>
    <n v="1074614"/>
    <n v="5.4456298266390931E-7"/>
    <n v="6.0506998073767696E-7"/>
    <n v="1.0228810479838137E-4"/>
    <n v="8.9179127236493254E-5"/>
    <n v="0.24022484860299051"/>
    <n v="1.79383047433367E-2"/>
    <m/>
    <m/>
  </r>
  <r>
    <x v="0"/>
    <x v="0"/>
    <x v="2"/>
    <x v="5"/>
    <s v="FortisBC"/>
    <x v="8"/>
    <x v="1"/>
    <m/>
    <s v="Legacy Indigenous - Furnace (Prescriptive) "/>
    <m/>
    <x v="9"/>
    <n v="892.99468167182727"/>
    <n v="992.2163129686968"/>
    <n v="55533.895317018927"/>
    <n v="0"/>
    <n v="0"/>
    <n v="0"/>
    <n v="0"/>
    <n v="1429680000"/>
    <n v="158285451.98410821"/>
    <n v="1074614"/>
    <n v="5.4456298266390931E-7"/>
    <n v="6.0506998073767696E-7"/>
    <n v="3.8843584100651141E-5"/>
    <n v="3.3865491355630339E-5"/>
    <n v="9.1224626051768537E-2"/>
    <n v="6.8120144594949481E-3"/>
    <m/>
    <m/>
  </r>
  <r>
    <x v="0"/>
    <x v="0"/>
    <x v="2"/>
    <x v="5"/>
    <s v="FortisBC"/>
    <x v="8"/>
    <x v="1"/>
    <m/>
    <s v="Legacy Indigenous - Boiler (Prescriptive) "/>
    <m/>
    <x v="17"/>
    <n v="1204.504454348046"/>
    <n v="1338.3382826089398"/>
    <n v="37022.59687801262"/>
    <n v="0"/>
    <n v="0"/>
    <n v="0"/>
    <n v="0"/>
    <n v="1429680000"/>
    <n v="158285451.98410821"/>
    <n v="1074614"/>
    <n v="7.345268138257382E-7"/>
    <n v="8.1614090425081995E-7"/>
    <n v="2.5895722733767431E-5"/>
    <n v="2.2576994237086898E-5"/>
    <n v="6.0816417367845696E-2"/>
    <n v="4.5413429729966323E-3"/>
    <m/>
    <m/>
  </r>
  <r>
    <x v="0"/>
    <x v="0"/>
    <x v="2"/>
    <x v="5"/>
    <s v="FortisBC"/>
    <x v="8"/>
    <x v="1"/>
    <m/>
    <s v="Legacy Indigenous - EnerChoice Fireplace (Prescriptive) "/>
    <m/>
    <x v="6"/>
    <n v="1536.7815452026794"/>
    <n v="1707.5350502251988"/>
    <n v="5553.3895317018932"/>
    <n v="0"/>
    <n v="0"/>
    <n v="0"/>
    <n v="0"/>
    <n v="1429680000"/>
    <n v="158285451.98410821"/>
    <n v="1074614"/>
    <n v="9.3715490039835556E-7"/>
    <n v="1.0412832226648391E-6"/>
    <n v="3.884358410065115E-6"/>
    <n v="3.3865491355630348E-6"/>
    <n v="9.1224626051768544E-3"/>
    <n v="6.8120144594949487E-4"/>
    <m/>
    <m/>
  </r>
  <r>
    <x v="0"/>
    <x v="0"/>
    <x v="2"/>
    <x v="5"/>
    <s v="FortisBC"/>
    <x v="8"/>
    <x v="2"/>
    <m/>
    <s v="Legacy Indigenous - Commercial – Non-Profit Bundled Measures (Prescriptive) "/>
    <m/>
    <x v="6"/>
    <n v="4402.6714538238921"/>
    <n v="4891.8571709154348"/>
    <n v="109216.66079013723"/>
    <n v="0"/>
    <n v="555000000"/>
    <n v="75825366.219932109"/>
    <n v="98444"/>
    <n v="1429680000"/>
    <n v="158285451.98410821"/>
    <n v="1074614"/>
    <n v="2.684822147087181E-6"/>
    <n v="2.9831357189857558E-6"/>
    <n v="7.6392382064613924E-5"/>
    <n v="6.6602132999406339E-5"/>
    <n v="1.8473117005959501E-2"/>
    <n v="1.3396961770340067E-2"/>
    <m/>
    <m/>
  </r>
  <r>
    <x v="0"/>
    <x v="0"/>
    <x v="2"/>
    <x v="5"/>
    <s v="FortisBC"/>
    <x v="8"/>
    <x v="2"/>
    <m/>
    <s v="Legacy Indigenous - Commercial – Condensing Tankless Water Heater (Prescriptive) "/>
    <m/>
    <x v="6"/>
    <n v="5607.1759081719383"/>
    <n v="6230.195453524374"/>
    <n v="46278.246097515774"/>
    <n v="0"/>
    <n v="555000000"/>
    <n v="75825366.219932109"/>
    <n v="98444"/>
    <n v="1429680000"/>
    <n v="158285451.98410821"/>
    <n v="1074614"/>
    <n v="3.4193489609129187E-6"/>
    <n v="3.7992766232365757E-6"/>
    <n v="3.2369653417209284E-5"/>
    <n v="2.822124279635862E-5"/>
    <n v="7.827591951677754E-3"/>
    <n v="5.6766787162457902E-3"/>
    <m/>
    <m/>
  </r>
  <r>
    <x v="0"/>
    <x v="0"/>
    <x v="2"/>
    <x v="5"/>
    <s v="FortisBC"/>
    <x v="8"/>
    <x v="1"/>
    <m/>
    <s v="Legacy Indigenous - STEP 2 – Single Family Dwelling (Performance) "/>
    <m/>
    <x v="6"/>
    <n v="1972.8952269493859"/>
    <n v="2192.1058077215393"/>
    <n v="74045.193756025241"/>
    <n v="0"/>
    <n v="0"/>
    <n v="0"/>
    <n v="0"/>
    <n v="1429680000"/>
    <n v="158285451.98410821"/>
    <n v="1074614"/>
    <n v="1.2031042640249161E-6"/>
    <n v="1.3367825155832398E-6"/>
    <n v="5.1791445467534862E-5"/>
    <n v="4.5153988474173796E-5"/>
    <n v="0.12163283473569139"/>
    <n v="9.0826859459932647E-3"/>
    <m/>
    <m/>
  </r>
  <r>
    <x v="0"/>
    <x v="0"/>
    <x v="2"/>
    <x v="5"/>
    <s v="FortisBC"/>
    <x v="8"/>
    <x v="1"/>
    <m/>
    <s v="Legacy Indigenous - STEP 2 – Townhome/Row Home (Performance) "/>
    <m/>
    <x v="6"/>
    <n v="2305.1723178040188"/>
    <n v="2561.3025753377983"/>
    <n v="74045.193756025241"/>
    <n v="0"/>
    <n v="0"/>
    <n v="0"/>
    <n v="0"/>
    <n v="1429680000"/>
    <n v="158285451.98410821"/>
    <n v="1074614"/>
    <n v="1.4057323505975332E-6"/>
    <n v="1.5619248339972589E-6"/>
    <n v="5.1791445467534862E-5"/>
    <n v="4.5153988474173796E-5"/>
    <n v="0.12163283473569139"/>
    <n v="9.0826859459932647E-3"/>
    <m/>
    <m/>
  </r>
  <r>
    <x v="0"/>
    <x v="0"/>
    <x v="2"/>
    <x v="5"/>
    <s v="FortisBC"/>
    <x v="8"/>
    <x v="1"/>
    <m/>
    <s v="Legacy Indigenous - STEP 3 – Single Family Dwelling (Performance) "/>
    <m/>
    <x v="6"/>
    <n v="2678.9840450154816"/>
    <n v="2976.6489389060898"/>
    <n v="92556.492195031547"/>
    <n v="0"/>
    <n v="0"/>
    <n v="0"/>
    <n v="0"/>
    <n v="1429680000"/>
    <n v="158285451.98410821"/>
    <n v="1074614"/>
    <n v="1.6336889479917281E-6"/>
    <n v="1.8152099422130305E-6"/>
    <n v="6.4739306834418568E-5"/>
    <n v="5.644248559271724E-5"/>
    <n v="0.15204104341961425"/>
    <n v="1.135335743249158E-2"/>
    <m/>
    <m/>
  </r>
  <r>
    <x v="0"/>
    <x v="0"/>
    <x v="2"/>
    <x v="5"/>
    <s v="FortisBC"/>
    <x v="8"/>
    <x v="1"/>
    <m/>
    <s v="Legacy Indigenous - STEP 3 – Townhome/Row Home (Performance) "/>
    <m/>
    <x v="6"/>
    <n v="4361.1368174670633"/>
    <n v="4845.7075749634023"/>
    <n v="92556.492195031547"/>
    <n v="0"/>
    <n v="0"/>
    <n v="0"/>
    <n v="0"/>
    <n v="1429680000"/>
    <n v="158285451.98410821"/>
    <n v="1074614"/>
    <n v="2.659493636265604E-6"/>
    <n v="2.9549929291840032E-6"/>
    <n v="6.4739306834418568E-5"/>
    <n v="5.644248559271724E-5"/>
    <n v="0.15204104341961425"/>
    <n v="1.135335743249158E-2"/>
    <m/>
    <m/>
  </r>
  <r>
    <x v="0"/>
    <x v="0"/>
    <x v="2"/>
    <x v="5"/>
    <s v="FortisBC"/>
    <x v="8"/>
    <x v="1"/>
    <m/>
    <s v="Legacy Indigenous - STEP 4 – Single Family Dwelling (Performance) "/>
    <m/>
    <x v="6"/>
    <n v="3447.3748176168219"/>
    <n v="3830.4164640186905"/>
    <n v="148090.38751205048"/>
    <n v="0"/>
    <n v="0"/>
    <n v="0"/>
    <n v="0"/>
    <n v="1429680000"/>
    <n v="158285451.98410821"/>
    <n v="1074614"/>
    <n v="2.1022663981909065E-6"/>
    <n v="2.335851553545451E-6"/>
    <n v="1.0358289093506972E-4"/>
    <n v="9.0307976948347592E-5"/>
    <n v="0.24326566947138278"/>
    <n v="1.8165371891986529E-2"/>
    <m/>
    <m/>
  </r>
  <r>
    <x v="0"/>
    <x v="0"/>
    <x v="2"/>
    <x v="5"/>
    <s v="FortisBC"/>
    <x v="8"/>
    <x v="1"/>
    <m/>
    <s v="Legacy Indigenous - STEP 4 – Townhome/Row Home (Performance) "/>
    <m/>
    <x v="6"/>
    <n v="8805.3429076477842"/>
    <n v="9783.7143418308697"/>
    <n v="148090.38751205048"/>
    <n v="0"/>
    <n v="0"/>
    <n v="0"/>
    <n v="0"/>
    <n v="1429680000"/>
    <n v="158285451.98410821"/>
    <n v="1074614"/>
    <n v="5.3696442941743619E-6"/>
    <n v="5.9662714379715116E-6"/>
    <n v="1.0358289093506972E-4"/>
    <n v="9.0307976948347592E-5"/>
    <n v="0.24326566947138278"/>
    <n v="1.8165371891986529E-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F61638-BA4E-4C76-9107-39C230BFC5B5}" name="PivotTable9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gridDropZones="1" multipleFieldFilters="0" chartFormat="10">
  <location ref="K59:L83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nonAutoSortDefault="1">
      <items count="26">
        <item x="9"/>
        <item x="24"/>
        <item x="3"/>
        <item x="21"/>
        <item x="1"/>
        <item x="22"/>
        <item x="11"/>
        <item x="4"/>
        <item x="12"/>
        <item x="0"/>
        <item x="13"/>
        <item x="17"/>
        <item x="20"/>
        <item x="8"/>
        <item x="23"/>
        <item x="5"/>
        <item x="14"/>
        <item x="2"/>
        <item x="16"/>
        <item x="10"/>
        <item x="6"/>
        <item x="7"/>
        <item x="19"/>
        <item x="18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NetSavings" fld="11" baseField="0" baseItem="0"/>
  </dataFields>
  <formats count="1">
    <format dxfId="14">
      <pivotArea outline="0" collapsedLevelsAreSubtotals="1" fieldPosition="0"/>
    </format>
  </formats>
  <chartFormats count="2">
    <chartFormat chart="9" format="1" series="1">
      <pivotArea type="data" outline="0" fieldPosition="0"/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5038AE-27AC-4CC7-8447-08B122B3882C}" name="PivotTable3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42">
  <location ref="R295:AE308" firstHeaderRow="1" firstDataRow="2" firstDataCol="2" rowPageCount="4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h="1" x="13"/>
        <item h="1" x="4"/>
        <item x="1"/>
        <item x="0"/>
        <item x="2"/>
        <item x="3"/>
        <item h="1" x="12"/>
        <item h="1" x="7"/>
        <item h="1" x="8"/>
        <item h="1" x="11"/>
        <item h="1" x="10"/>
        <item h="1" x="6"/>
        <item h="1"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0"/>
        <item x="14"/>
        <item x="23"/>
        <item x="18"/>
        <item x="16"/>
        <item x="17"/>
        <item x="7"/>
        <item x="20"/>
        <item x="4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3">
        <item x="19"/>
        <item x="5"/>
        <item x="15"/>
        <item x="11"/>
        <item x="20"/>
        <item x="2"/>
        <item x="7"/>
        <item x="3"/>
        <item x="13"/>
        <item x="0"/>
        <item x="16"/>
        <item h="1" x="4"/>
        <item x="12"/>
        <item x="14"/>
        <item x="10"/>
        <item x="18"/>
        <item x="1"/>
        <item h="1" x="8"/>
        <item x="9"/>
        <item x="17"/>
        <item x="6"/>
        <item m="1" x="2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12">
    <i>
      <x/>
      <x v="7"/>
    </i>
    <i r="1">
      <x v="11"/>
    </i>
    <i>
      <x v="3"/>
      <x/>
    </i>
    <i r="1">
      <x v="14"/>
    </i>
    <i r="1">
      <x v="15"/>
    </i>
    <i r="1">
      <x v="17"/>
    </i>
    <i>
      <x v="4"/>
      <x v="9"/>
    </i>
    <i r="1">
      <x v="12"/>
    </i>
    <i>
      <x v="5"/>
      <x v="2"/>
    </i>
    <i r="1">
      <x v="6"/>
    </i>
    <i>
      <x v="6"/>
      <x v="5"/>
    </i>
    <i r="1">
      <x v="23"/>
    </i>
  </rowItems>
  <colFields count="1">
    <field x="10"/>
  </colFields>
  <colItems count="12">
    <i>
      <x v="1"/>
    </i>
    <i>
      <x v="2"/>
    </i>
    <i>
      <x v="8"/>
    </i>
    <i>
      <x v="9"/>
    </i>
    <i>
      <x v="12"/>
    </i>
    <i>
      <x v="13"/>
    </i>
    <i>
      <x v="14"/>
    </i>
    <i>
      <x v="16"/>
    </i>
    <i>
      <x v="18"/>
    </i>
    <i>
      <x v="19"/>
    </i>
    <i>
      <x v="20"/>
    </i>
    <i t="grand">
      <x/>
    </i>
  </colItems>
  <pageFields count="4">
    <pageField fld="0" hier="-1"/>
    <pageField fld="1" hier="-1"/>
    <pageField fld="2" item="2" hier="-1"/>
    <pageField fld="6" item="2" hier="-1"/>
  </pageFields>
  <dataFields count="1">
    <dataField name="Sum of Total_Costs" fld="13" baseField="0" baseItem="0"/>
  </dataFields>
  <formats count="1">
    <format dxfId="23">
      <pivotArea outline="0" collapsedLevelsAreSubtotals="1" fieldPosition="0"/>
    </format>
  </formats>
  <chartFormats count="13">
    <chartFormat chart="28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8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28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28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28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28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28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28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28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28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8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28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28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CF44AA-0BCD-47BF-A4F4-3682BD4903A7}" name="PivotTable2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49">
  <location ref="U263:AD276" firstHeaderRow="1" firstDataRow="2" firstDataCol="2" rowPageCount="4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h="1" x="13"/>
        <item h="1" x="4"/>
        <item x="1"/>
        <item x="0"/>
        <item x="2"/>
        <item x="3"/>
        <item h="1" x="12"/>
        <item h="1" x="7"/>
        <item h="1" x="8"/>
        <item h="1" x="11"/>
        <item h="1" x="10"/>
        <item h="1" x="6"/>
        <item h="1"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0"/>
        <item x="14"/>
        <item x="23"/>
        <item x="18"/>
        <item x="16"/>
        <item x="17"/>
        <item x="7"/>
        <item x="20"/>
        <item x="4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3">
        <item x="19"/>
        <item x="5"/>
        <item x="15"/>
        <item x="11"/>
        <item x="20"/>
        <item x="2"/>
        <item x="7"/>
        <item x="3"/>
        <item x="13"/>
        <item x="0"/>
        <item x="16"/>
        <item h="1" x="4"/>
        <item x="12"/>
        <item x="14"/>
        <item x="10"/>
        <item x="18"/>
        <item x="1"/>
        <item h="1" x="8"/>
        <item x="9"/>
        <item x="17"/>
        <item x="6"/>
        <item m="1" x="2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12">
    <i>
      <x/>
      <x v="7"/>
    </i>
    <i r="1">
      <x v="11"/>
    </i>
    <i>
      <x v="3"/>
      <x/>
    </i>
    <i r="1">
      <x v="14"/>
    </i>
    <i r="1">
      <x v="15"/>
    </i>
    <i r="1">
      <x v="17"/>
    </i>
    <i>
      <x v="4"/>
      <x v="9"/>
    </i>
    <i r="1">
      <x v="12"/>
    </i>
    <i>
      <x v="5"/>
      <x v="2"/>
    </i>
    <i r="1">
      <x v="6"/>
    </i>
    <i>
      <x v="6"/>
      <x v="5"/>
    </i>
    <i r="1">
      <x v="23"/>
    </i>
  </rowItems>
  <colFields count="1">
    <field x="10"/>
  </colFields>
  <colItems count="8">
    <i>
      <x v="1"/>
    </i>
    <i>
      <x v="8"/>
    </i>
    <i>
      <x v="9"/>
    </i>
    <i>
      <x v="16"/>
    </i>
    <i>
      <x v="18"/>
    </i>
    <i>
      <x v="19"/>
    </i>
    <i>
      <x v="20"/>
    </i>
    <i t="grand">
      <x/>
    </i>
  </colItems>
  <pageFields count="4">
    <pageField fld="0" hier="-1"/>
    <pageField fld="1" hier="-1"/>
    <pageField fld="2" item="2" hier="-1"/>
    <pageField fld="6" item="0" hier="-1"/>
  </pageFields>
  <dataFields count="1">
    <dataField name="Sum of Total_Costs" fld="13" baseField="0" baseItem="0"/>
  </dataFields>
  <formats count="1">
    <format dxfId="24">
      <pivotArea outline="0" collapsedLevelsAreSubtotals="1" fieldPosition="0"/>
    </format>
  </formats>
  <chartFormats count="25">
    <chartFormat chart="3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3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3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3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31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31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31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41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1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41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41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41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41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41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42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2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42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42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42" format="2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42" format="2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42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31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0"/>
          </reference>
        </references>
      </pivotArea>
    </chartFormat>
    <chartFormat chart="31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DD199-DA20-4CE4-B4CA-4576875DA5C8}" name="PivotTable14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gridDropZones="1" multipleFieldFilters="0" chartFormat="17">
  <location ref="U155:V179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12"/>
    </i>
    <i>
      <x v="9"/>
    </i>
    <i>
      <x v="11"/>
    </i>
    <i>
      <x v="3"/>
    </i>
    <i>
      <x v="8"/>
    </i>
    <i>
      <x v="20"/>
    </i>
    <i>
      <x v="15"/>
    </i>
    <i>
      <x v="22"/>
    </i>
    <i>
      <x v="1"/>
    </i>
    <i>
      <x v="2"/>
    </i>
    <i>
      <x v="5"/>
    </i>
    <i>
      <x v="18"/>
    </i>
    <i>
      <x v="10"/>
    </i>
    <i>
      <x v="6"/>
    </i>
    <i>
      <x v="13"/>
    </i>
    <i>
      <x v="4"/>
    </i>
    <i>
      <x v="19"/>
    </i>
    <i>
      <x v="16"/>
    </i>
    <i>
      <x v="7"/>
    </i>
    <i>
      <x v="23"/>
    </i>
    <i>
      <x v="21"/>
    </i>
    <i>
      <x v="14"/>
    </i>
    <i>
      <x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EE Spending per Sales Volume ($/thm)" fld="24" baseField="0" baseItem="0" numFmtId="170"/>
  </dataFields>
  <formats count="1">
    <format dxfId="25">
      <pivotArea outline="0" collapsedLevelsAreSubtotals="1" fieldPosition="0"/>
    </format>
  </format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209DC1-04DE-4BA4-8450-0CE31F69D688}" name="PivotTable13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24">
  <location ref="AR5:AU29" firstHeaderRow="1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7">
        <item x="0"/>
        <item h="1" x="1"/>
        <item x="2"/>
        <item h="1" x="3"/>
        <item h="1" x="4"/>
        <item h="1"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9"/>
    </i>
    <i>
      <x v="12"/>
    </i>
    <i>
      <x v="11"/>
    </i>
    <i>
      <x v="1"/>
    </i>
    <i>
      <x v="3"/>
    </i>
    <i>
      <x v="20"/>
    </i>
    <i>
      <x v="15"/>
    </i>
    <i>
      <x v="18"/>
    </i>
    <i>
      <x v="10"/>
    </i>
    <i>
      <x v="4"/>
    </i>
    <i>
      <x v="7"/>
    </i>
    <i>
      <x v="13"/>
    </i>
    <i>
      <x v="8"/>
    </i>
    <i>
      <x v="19"/>
    </i>
    <i>
      <x/>
    </i>
    <i>
      <x v="5"/>
    </i>
    <i>
      <x v="2"/>
    </i>
    <i>
      <x v="22"/>
    </i>
    <i>
      <x v="14"/>
    </i>
    <i>
      <x v="16"/>
    </i>
    <i>
      <x v="6"/>
    </i>
    <i>
      <x v="23"/>
    </i>
    <i>
      <x v="21"/>
    </i>
  </rowItems>
  <colFields count="1">
    <field x="6"/>
  </colFields>
  <colItems count="3">
    <i>
      <x/>
    </i>
    <i>
      <x v="2"/>
    </i>
    <i t="grand">
      <x/>
    </i>
  </colItems>
  <pageFields count="3">
    <pageField fld="0" hier="-1"/>
    <pageField fld="1" hier="-1"/>
    <pageField fld="2" item="2" hier="-1"/>
  </pageFields>
  <dataFields count="1">
    <dataField name="Sum of EE Spending per EE Savings ($/thm)" fld="25" baseField="0" baseItem="0"/>
  </dataFields>
  <formats count="1">
    <format dxfId="26">
      <pivotArea outline="0" collapsedLevelsAreSubtotals="1" fieldPosition="0"/>
    </format>
  </formats>
  <chartFormats count="16">
    <chartFormat chart="1" format="7" series="1">
      <pivotArea type="data" outline="0" fieldPosition="0">
        <references count="1">
          <reference field="6" count="1" selected="0">
            <x v="0"/>
          </reference>
        </references>
      </pivotArea>
    </chartFormat>
    <chartFormat chart="1" format="8" series="1">
      <pivotArea type="data" outline="0" fieldPosition="0">
        <references count="1">
          <reference field="6" count="1" selected="0">
            <x v="1"/>
          </reference>
        </references>
      </pivotArea>
    </chartFormat>
    <chartFormat chart="1" format="9" series="1">
      <pivotArea type="data" outline="0" fieldPosition="0">
        <references count="1">
          <reference field="6" count="1" selected="0">
            <x v="2"/>
          </reference>
        </references>
      </pivotArea>
    </chartFormat>
    <chartFormat chart="1" format="10" series="1">
      <pivotArea type="data" outline="0" fieldPosition="0">
        <references count="1">
          <reference field="6" count="1" selected="0">
            <x v="3"/>
          </reference>
        </references>
      </pivotArea>
    </chartFormat>
    <chartFormat chart="1" format="11" series="1">
      <pivotArea type="data" outline="0" fieldPosition="0">
        <references count="1">
          <reference field="6" count="1" selected="0">
            <x v="4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6" format="1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6" format="1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6" format="1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7" format="1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7" format="1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7" format="2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23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23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828B57-EEA7-4106-B2A2-BA00C298CDE5}" name="PivotTable11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26">
  <location ref="A106:B130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22"/>
    </i>
    <i>
      <x v="12"/>
    </i>
    <i>
      <x v="9"/>
    </i>
    <i>
      <x v="8"/>
    </i>
    <i>
      <x v="5"/>
    </i>
    <i>
      <x v="2"/>
    </i>
    <i>
      <x v="6"/>
    </i>
    <i>
      <x v="4"/>
    </i>
    <i>
      <x v="19"/>
    </i>
    <i>
      <x v="15"/>
    </i>
    <i>
      <x v="13"/>
    </i>
    <i>
      <x v="11"/>
    </i>
    <i>
      <x v="16"/>
    </i>
    <i>
      <x v="7"/>
    </i>
    <i>
      <x v="23"/>
    </i>
    <i>
      <x v="21"/>
    </i>
    <i>
      <x v="3"/>
    </i>
    <i>
      <x v="20"/>
    </i>
    <i>
      <x v="1"/>
    </i>
    <i>
      <x v="10"/>
    </i>
    <i>
      <x v="14"/>
    </i>
    <i>
      <x v="18"/>
    </i>
    <i>
      <x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Net Savings as % of Sales Volume" fld="21" baseField="0" baseItem="0"/>
  </dataFields>
  <formats count="2">
    <format dxfId="28">
      <pivotArea outline="0" collapsedLevelsAreSubtotals="1" fieldPosition="0"/>
    </format>
    <format dxfId="27">
      <pivotArea outline="0" fieldPosition="0">
        <references count="1">
          <reference field="5" count="1" selected="0">
            <x v="7"/>
          </reference>
        </references>
      </pivotArea>
    </format>
  </formats>
  <chartFormats count="3">
    <chartFormat chart="2" format="5" series="1">
      <pivotArea type="data" outline="0" fieldPosition="0"/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81EA0E-8403-444A-84B9-B362071D6C9C}" name="PivotTable15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gridDropZones="1" multipleFieldFilters="0" chartFormat="17">
  <location ref="K155:L179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9"/>
    </i>
    <i>
      <x v="12"/>
    </i>
    <i>
      <x v="11"/>
    </i>
    <i>
      <x v="3"/>
    </i>
    <i>
      <x v="20"/>
    </i>
    <i>
      <x v="1"/>
    </i>
    <i>
      <x v="18"/>
    </i>
    <i>
      <x v="15"/>
    </i>
    <i>
      <x v="10"/>
    </i>
    <i>
      <x/>
    </i>
    <i>
      <x v="13"/>
    </i>
    <i>
      <x v="8"/>
    </i>
    <i>
      <x v="2"/>
    </i>
    <i>
      <x v="14"/>
    </i>
    <i>
      <x v="16"/>
    </i>
    <i>
      <x v="7"/>
    </i>
    <i>
      <x v="4"/>
    </i>
    <i>
      <x v="19"/>
    </i>
    <i>
      <x v="21"/>
    </i>
    <i>
      <x v="23"/>
    </i>
    <i>
      <x v="6"/>
    </i>
    <i>
      <x v="5"/>
    </i>
    <i>
      <x v="22"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EE Spending per EE Savings ($/thm) V2" fld="26" baseField="0" baseItem="0"/>
  </dataFields>
  <formats count="1">
    <format dxfId="29">
      <pivotArea outline="0" collapsedLevelsAreSubtotals="1" fieldPosition="0"/>
    </format>
  </formats>
  <chartFormats count="4">
    <chartFormat chart="2" format="1" series="1">
      <pivotArea type="data" outline="0" fieldPosition="0"/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776D8-D07C-463B-A4B1-96752E1D4558}" name="PivotTable24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49">
  <location ref="A263:J276" firstHeaderRow="1" firstDataRow="2" firstDataCol="2" rowPageCount="4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h="1" x="13"/>
        <item h="1" x="4"/>
        <item x="1"/>
        <item x="0"/>
        <item x="2"/>
        <item x="3"/>
        <item h="1" x="12"/>
        <item h="1" x="7"/>
        <item h="1" x="8"/>
        <item h="1" x="11"/>
        <item h="1" x="10"/>
        <item h="1" x="6"/>
        <item h="1"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0"/>
        <item x="14"/>
        <item x="23"/>
        <item x="18"/>
        <item x="16"/>
        <item x="17"/>
        <item x="7"/>
        <item x="20"/>
        <item x="4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3">
        <item x="19"/>
        <item x="5"/>
        <item x="15"/>
        <item x="11"/>
        <item x="20"/>
        <item x="2"/>
        <item x="7"/>
        <item x="3"/>
        <item x="13"/>
        <item x="0"/>
        <item x="16"/>
        <item h="1" x="4"/>
        <item x="12"/>
        <item x="14"/>
        <item x="10"/>
        <item x="18"/>
        <item x="1"/>
        <item h="1" x="8"/>
        <item x="9"/>
        <item x="17"/>
        <item x="6"/>
        <item m="1" x="2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12">
    <i>
      <x/>
      <x v="7"/>
    </i>
    <i r="1">
      <x v="11"/>
    </i>
    <i>
      <x v="3"/>
      <x/>
    </i>
    <i r="1">
      <x v="14"/>
    </i>
    <i r="1">
      <x v="15"/>
    </i>
    <i r="1">
      <x v="17"/>
    </i>
    <i>
      <x v="4"/>
      <x v="9"/>
    </i>
    <i r="1">
      <x v="12"/>
    </i>
    <i>
      <x v="5"/>
      <x v="2"/>
    </i>
    <i r="1">
      <x v="6"/>
    </i>
    <i>
      <x v="6"/>
      <x v="5"/>
    </i>
    <i r="1">
      <x v="23"/>
    </i>
  </rowItems>
  <colFields count="1">
    <field x="10"/>
  </colFields>
  <colItems count="8">
    <i>
      <x v="1"/>
    </i>
    <i>
      <x v="8"/>
    </i>
    <i>
      <x v="9"/>
    </i>
    <i>
      <x v="16"/>
    </i>
    <i>
      <x v="18"/>
    </i>
    <i>
      <x v="19"/>
    </i>
    <i>
      <x v="20"/>
    </i>
    <i t="grand">
      <x/>
    </i>
  </colItems>
  <pageFields count="4">
    <pageField fld="0" hier="-1"/>
    <pageField fld="1" hier="-1"/>
    <pageField fld="2" item="2" hier="-1"/>
    <pageField fld="6" item="0" hier="-1"/>
  </pageFields>
  <dataFields count="1">
    <dataField name="Sum of GrossSavings" fld="12" baseField="0" baseItem="0" numFmtId="3"/>
  </dataFields>
  <formats count="1">
    <format dxfId="30">
      <pivotArea outline="0" collapsedLevelsAreSubtotals="1" fieldPosition="0"/>
    </format>
  </formats>
  <chartFormats count="21"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7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7"/>
          </reference>
        </references>
      </pivotArea>
    </chartFormat>
    <chartFormat chart="15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5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5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5" format="2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15" format="2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5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15" format="2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15" format="2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7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7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7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7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13F112-214F-4EB3-9DEE-29E0A68BC619}" name="PivotTable23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19">
  <location ref="K106:L130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12"/>
    </i>
    <i>
      <x v="22"/>
    </i>
    <i>
      <x v="9"/>
    </i>
    <i>
      <x v="8"/>
    </i>
    <i>
      <x v="5"/>
    </i>
    <i>
      <x v="7"/>
    </i>
    <i>
      <x v="2"/>
    </i>
    <i>
      <x v="6"/>
    </i>
    <i>
      <x v="21"/>
    </i>
    <i>
      <x v="19"/>
    </i>
    <i>
      <x v="4"/>
    </i>
    <i>
      <x v="11"/>
    </i>
    <i>
      <x v="16"/>
    </i>
    <i>
      <x v="15"/>
    </i>
    <i>
      <x v="13"/>
    </i>
    <i>
      <x v="23"/>
    </i>
    <i>
      <x v="3"/>
    </i>
    <i>
      <x v="20"/>
    </i>
    <i>
      <x v="1"/>
    </i>
    <i>
      <x v="14"/>
    </i>
    <i>
      <x v="10"/>
    </i>
    <i>
      <x v="18"/>
    </i>
    <i>
      <x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Gross Savings as % of Sales Volume" fld="22" baseField="0" baseItem="0"/>
  </dataFields>
  <formats count="1">
    <format dxfId="31">
      <pivotArea outline="0" collapsedLevelsAreSubtotals="1" fieldPosition="0"/>
    </format>
  </formats>
  <chartFormats count="1"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B6AC55-FB39-4A92-BD43-6FCA33BA009A}" name="PivotTable12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48">
  <location ref="R340:AA353" firstHeaderRow="1" firstDataRow="2" firstDataCol="2" rowPageCount="4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h="1" x="13"/>
        <item h="1" x="4"/>
        <item x="1"/>
        <item x="0"/>
        <item x="2"/>
        <item x="3"/>
        <item h="1" x="12"/>
        <item h="1" x="7"/>
        <item h="1" x="8"/>
        <item h="1" x="11"/>
        <item h="1" x="10"/>
        <item h="1" x="6"/>
        <item h="1"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0"/>
        <item x="14"/>
        <item x="23"/>
        <item x="18"/>
        <item x="16"/>
        <item x="17"/>
        <item x="7"/>
        <item x="20"/>
        <item x="4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3">
        <item x="19"/>
        <item x="5"/>
        <item x="15"/>
        <item x="11"/>
        <item x="20"/>
        <item x="2"/>
        <item x="7"/>
        <item x="3"/>
        <item x="13"/>
        <item x="0"/>
        <item x="16"/>
        <item h="1" x="4"/>
        <item x="12"/>
        <item x="14"/>
        <item x="10"/>
        <item x="18"/>
        <item x="1"/>
        <item h="1" x="8"/>
        <item x="9"/>
        <item x="17"/>
        <item x="6"/>
        <item m="1" x="2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12">
    <i>
      <x/>
      <x v="7"/>
    </i>
    <i r="1">
      <x v="11"/>
    </i>
    <i>
      <x v="3"/>
      <x/>
    </i>
    <i r="1">
      <x v="14"/>
    </i>
    <i r="1">
      <x v="15"/>
    </i>
    <i r="1">
      <x v="17"/>
    </i>
    <i>
      <x v="4"/>
      <x v="9"/>
    </i>
    <i r="1">
      <x v="12"/>
    </i>
    <i>
      <x v="5"/>
      <x v="2"/>
    </i>
    <i r="1">
      <x v="6"/>
    </i>
    <i>
      <x v="6"/>
      <x v="5"/>
    </i>
    <i r="1">
      <x v="23"/>
    </i>
  </rowItems>
  <colFields count="1">
    <field x="10"/>
  </colFields>
  <colItems count="8">
    <i>
      <x v="1"/>
    </i>
    <i>
      <x v="8"/>
    </i>
    <i>
      <x v="9"/>
    </i>
    <i>
      <x v="16"/>
    </i>
    <i>
      <x v="18"/>
    </i>
    <i>
      <x v="19"/>
    </i>
    <i>
      <x v="20"/>
    </i>
    <i t="grand">
      <x/>
    </i>
  </colItems>
  <pageFields count="4">
    <pageField fld="0" hier="-1"/>
    <pageField fld="1" hier="-1"/>
    <pageField fld="2" item="2" hier="-1"/>
    <pageField fld="6" item="1" hier="-1"/>
  </pageFields>
  <dataFields count="1">
    <dataField name="Sum of Total_Costs" fld="13" baseField="0" baseItem="0"/>
  </dataFields>
  <formats count="1">
    <format dxfId="32">
      <pivotArea outline="0" collapsedLevelsAreSubtotals="1" fieldPosition="0"/>
    </format>
  </formats>
  <chartFormats count="8">
    <chartFormat chart="34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4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4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34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34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34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34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34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449A23-41FF-4BEF-960F-110CD9157BD8}" name="PivotTable6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6">
  <location ref="U5:Z29" firstHeaderRow="1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12"/>
    </i>
    <i>
      <x v="9"/>
    </i>
    <i>
      <x v="11"/>
    </i>
    <i>
      <x v="3"/>
    </i>
    <i>
      <x v="8"/>
    </i>
    <i>
      <x v="20"/>
    </i>
    <i>
      <x v="15"/>
    </i>
    <i>
      <x v="22"/>
    </i>
    <i>
      <x v="1"/>
    </i>
    <i>
      <x v="2"/>
    </i>
    <i>
      <x v="5"/>
    </i>
    <i>
      <x v="18"/>
    </i>
    <i>
      <x v="10"/>
    </i>
    <i>
      <x v="6"/>
    </i>
    <i>
      <x v="13"/>
    </i>
    <i>
      <x v="4"/>
    </i>
    <i>
      <x v="19"/>
    </i>
    <i>
      <x v="16"/>
    </i>
    <i>
      <x v="7"/>
    </i>
    <i>
      <x v="23"/>
    </i>
    <i>
      <x v="21"/>
    </i>
    <i>
      <x v="14"/>
    </i>
    <i>
      <x/>
    </i>
  </rowItems>
  <colFields count="1">
    <field x="6"/>
  </colFields>
  <colItems count="5">
    <i>
      <x/>
    </i>
    <i>
      <x v="1"/>
    </i>
    <i>
      <x v="2"/>
    </i>
    <i>
      <x v="4"/>
    </i>
    <i t="grand">
      <x/>
    </i>
  </colItems>
  <pageFields count="3">
    <pageField fld="0" hier="-1"/>
    <pageField fld="1" hier="-1"/>
    <pageField fld="2" item="2" hier="-1"/>
  </pageFields>
  <dataFields count="1">
    <dataField name="Sum of EE Spending per Sales Volume ($/thm)" fld="24" baseField="0" baseItem="0" numFmtId="168"/>
  </dataFields>
  <formats count="1">
    <format dxfId="33">
      <pivotArea outline="0" collapsedLevelsAreSubtotals="1" fieldPosition="0"/>
    </format>
  </formats>
  <chartFormats count="11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62D7C1-D849-4D39-97A9-2F4E38ACB307}" name="PivotTable25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40">
  <location ref="A295:N308" firstHeaderRow="1" firstDataRow="2" firstDataCol="2" rowPageCount="4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h="1" x="13"/>
        <item h="1" x="4"/>
        <item x="1"/>
        <item x="0"/>
        <item x="2"/>
        <item x="3"/>
        <item h="1" x="12"/>
        <item h="1" x="7"/>
        <item h="1" x="8"/>
        <item h="1" x="11"/>
        <item h="1" x="10"/>
        <item h="1" x="6"/>
        <item h="1"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0"/>
        <item x="14"/>
        <item x="23"/>
        <item x="18"/>
        <item x="16"/>
        <item x="17"/>
        <item x="7"/>
        <item x="20"/>
        <item x="4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3">
        <item x="19"/>
        <item x="5"/>
        <item x="15"/>
        <item x="11"/>
        <item x="20"/>
        <item x="2"/>
        <item x="7"/>
        <item x="3"/>
        <item x="13"/>
        <item x="0"/>
        <item x="16"/>
        <item h="1" x="4"/>
        <item x="12"/>
        <item x="14"/>
        <item x="10"/>
        <item x="18"/>
        <item x="1"/>
        <item h="1" x="8"/>
        <item x="9"/>
        <item x="17"/>
        <item x="6"/>
        <item m="1" x="2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12">
    <i>
      <x/>
      <x v="7"/>
    </i>
    <i r="1">
      <x v="11"/>
    </i>
    <i>
      <x v="3"/>
      <x/>
    </i>
    <i r="1">
      <x v="14"/>
    </i>
    <i r="1">
      <x v="15"/>
    </i>
    <i r="1">
      <x v="17"/>
    </i>
    <i>
      <x v="4"/>
      <x v="9"/>
    </i>
    <i r="1">
      <x v="12"/>
    </i>
    <i>
      <x v="5"/>
      <x v="2"/>
    </i>
    <i r="1">
      <x v="6"/>
    </i>
    <i>
      <x v="6"/>
      <x v="5"/>
    </i>
    <i r="1">
      <x v="23"/>
    </i>
  </rowItems>
  <colFields count="1">
    <field x="10"/>
  </colFields>
  <colItems count="12">
    <i>
      <x v="1"/>
    </i>
    <i>
      <x v="2"/>
    </i>
    <i>
      <x v="8"/>
    </i>
    <i>
      <x v="9"/>
    </i>
    <i>
      <x v="12"/>
    </i>
    <i>
      <x v="13"/>
    </i>
    <i>
      <x v="14"/>
    </i>
    <i>
      <x v="16"/>
    </i>
    <i>
      <x v="18"/>
    </i>
    <i>
      <x v="19"/>
    </i>
    <i>
      <x v="20"/>
    </i>
    <i t="grand">
      <x/>
    </i>
  </colItems>
  <pageFields count="4">
    <pageField fld="0" hier="-1"/>
    <pageField fld="1" hier="-1"/>
    <pageField fld="2" item="2" hier="-1"/>
    <pageField fld="6" item="2" hier="-1"/>
  </pageFields>
  <dataFields count="1">
    <dataField name="Sum of GrossSavings" fld="12" baseField="0" baseItem="0" numFmtId="3"/>
  </dataFields>
  <formats count="1">
    <format dxfId="15">
      <pivotArea outline="0" collapsedLevelsAreSubtotals="1" fieldPosition="0"/>
    </format>
  </formats>
  <chartFormats count="47"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7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7"/>
          </reference>
        </references>
      </pivotArea>
    </chartFormat>
    <chartFormat chart="15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5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5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5" format="2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15" format="2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5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15" format="2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15" format="2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6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6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6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6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16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16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16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8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8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8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8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8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18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18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18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9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9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9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9" format="2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9" format="2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19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19" format="2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19" format="2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6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16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6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  <chartFormat chart="16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16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B93E2D-679C-47F1-813C-9EDCE539BC01}" name="PivotTable16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gridDropZones="1" multipleFieldFilters="0" chartFormat="12">
  <location ref="A155:B179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12"/>
    </i>
    <i>
      <x v="9"/>
    </i>
    <i>
      <x v="11"/>
    </i>
    <i>
      <x v="15"/>
    </i>
    <i>
      <x v="22"/>
    </i>
    <i>
      <x v="1"/>
    </i>
    <i>
      <x v="2"/>
    </i>
    <i>
      <x v="3"/>
    </i>
    <i>
      <x v="10"/>
    </i>
    <i>
      <x v="5"/>
    </i>
    <i>
      <x v="8"/>
    </i>
    <i>
      <x v="6"/>
    </i>
    <i>
      <x v="20"/>
    </i>
    <i>
      <x v="7"/>
    </i>
    <i>
      <x v="19"/>
    </i>
    <i>
      <x v="18"/>
    </i>
    <i>
      <x v="13"/>
    </i>
    <i>
      <x v="14"/>
    </i>
    <i>
      <x v="4"/>
    </i>
    <i>
      <x v="23"/>
    </i>
    <i>
      <x v="21"/>
    </i>
    <i>
      <x v="16"/>
    </i>
    <i>
      <x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EE Spending as % of Revenue" fld="23" baseField="0" baseItem="0" numFmtId="9"/>
  </dataFields>
  <formats count="1">
    <format dxfId="34">
      <pivotArea outline="0" collapsedLevelsAreSubtotals="1" fieldPosition="0"/>
    </format>
  </formats>
  <chartFormats count="9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0DEEC-E16F-4496-91FE-14079F9F4747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0">
  <location ref="A102:D129" firstHeaderRow="1" firstDataRow="2" firstDataCol="1" rowPageCount="2" colPageCount="1"/>
  <pivotFields count="9">
    <pivotField showAll="0"/>
    <pivotField showAll="0" measureFilter="1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measureFilter="1" sortType="descending">
      <items count="43">
        <item x="0"/>
        <item x="1"/>
        <item x="2"/>
        <item x="3"/>
        <item x="4"/>
        <item x="31"/>
        <item x="10"/>
        <item x="8"/>
        <item x="9"/>
        <item x="6"/>
        <item x="11"/>
        <item x="33"/>
        <item x="21"/>
        <item x="12"/>
        <item x="34"/>
        <item x="7"/>
        <item m="1" x="35"/>
        <item x="5"/>
        <item x="13"/>
        <item x="17"/>
        <item x="16"/>
        <item x="18"/>
        <item m="1" x="36"/>
        <item x="20"/>
        <item x="23"/>
        <item x="22"/>
        <item x="25"/>
        <item x="26"/>
        <item x="27"/>
        <item x="15"/>
        <item x="29"/>
        <item x="28"/>
        <item x="30"/>
        <item x="32"/>
        <item m="1" x="39"/>
        <item m="1" x="38"/>
        <item m="1" x="40"/>
        <item m="1" x="41"/>
        <item x="24"/>
        <item x="19"/>
        <item m="1" x="37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multipleItemSelectionAllowed="1" showAll="0">
      <items count="36">
        <item x="14"/>
        <item x="13"/>
        <item x="12"/>
        <item x="2"/>
        <item x="0"/>
        <item x="1"/>
        <item m="1" x="25"/>
        <item h="1" m="1" x="29"/>
        <item h="1" m="1" x="28"/>
        <item h="1" m="1" x="30"/>
        <item h="1" m="1" x="18"/>
        <item h="1" m="1" x="19"/>
        <item h="1" m="1" x="20"/>
        <item h="1" m="1" x="27"/>
        <item x="16"/>
        <item x="17"/>
        <item x="15"/>
        <item x="3"/>
        <item x="4"/>
        <item x="5"/>
        <item m="1" x="26"/>
        <item x="10"/>
        <item x="9"/>
        <item x="11"/>
        <item x="8"/>
        <item x="6"/>
        <item x="7"/>
        <item m="1" x="24"/>
        <item h="1" m="1" x="32"/>
        <item h="1" m="1" x="33"/>
        <item h="1" m="1" x="34"/>
        <item h="1" m="1" x="22"/>
        <item h="1" m="1" x="21"/>
        <item h="1" m="1" x="23"/>
        <item h="1" m="1" x="31"/>
        <item t="default"/>
      </items>
    </pivotField>
    <pivotField showAll="0"/>
    <pivotField axis="axisCol" showAll="0">
      <items count="9">
        <item x="1"/>
        <item x="0"/>
        <item m="1" x="5"/>
        <item m="1" x="6"/>
        <item m="1" x="2"/>
        <item m="1" x="7"/>
        <item m="1" x="3"/>
        <item m="1" x="4"/>
        <item t="default"/>
      </items>
    </pivotField>
    <pivotField axis="axisPage" showAll="0">
      <items count="5">
        <item x="2"/>
        <item x="0"/>
        <item x="1"/>
        <item m="1" x="3"/>
        <item t="default"/>
      </items>
    </pivotField>
    <pivotField showAll="0"/>
    <pivotField dataField="1" dragToRow="0" dragToCol="0" dragToPage="0" showAll="0" defaultSubtotal="0"/>
  </pivotFields>
  <rowFields count="1">
    <field x="2"/>
  </rowFields>
  <rowItems count="26">
    <i>
      <x v="30"/>
    </i>
    <i>
      <x v="25"/>
    </i>
    <i>
      <x v="19"/>
    </i>
    <i>
      <x v="41"/>
    </i>
    <i>
      <x v="6"/>
    </i>
    <i>
      <x v="26"/>
    </i>
    <i>
      <x v="10"/>
    </i>
    <i>
      <x v="8"/>
    </i>
    <i>
      <x v="18"/>
    </i>
    <i>
      <x v="38"/>
    </i>
    <i>
      <x v="9"/>
    </i>
    <i>
      <x/>
    </i>
    <i>
      <x v="5"/>
    </i>
    <i>
      <x v="24"/>
    </i>
    <i>
      <x v="28"/>
    </i>
    <i>
      <x v="17"/>
    </i>
    <i>
      <x v="27"/>
    </i>
    <i>
      <x v="23"/>
    </i>
    <i>
      <x v="12"/>
    </i>
    <i>
      <x v="39"/>
    </i>
    <i>
      <x v="3"/>
    </i>
    <i>
      <x v="33"/>
    </i>
    <i>
      <x v="20"/>
    </i>
    <i>
      <x v="31"/>
    </i>
    <i>
      <x v="11"/>
    </i>
    <i t="grand">
      <x/>
    </i>
  </rowItems>
  <colFields count="1">
    <field x="5"/>
  </colFields>
  <colItems count="3">
    <i>
      <x/>
    </i>
    <i>
      <x v="1"/>
    </i>
    <i t="grand">
      <x/>
    </i>
  </colItems>
  <pageFields count="2">
    <pageField fld="6" item="2" hier="-1"/>
    <pageField fld="3" hier="-1"/>
  </pageFields>
  <dataFields count="1">
    <dataField name="Sum of Field1" fld="8" showDataAs="percentOfRow" baseField="0" baseItem="0" numFmtId="9"/>
  </dataFields>
  <formats count="6">
    <format dxfId="5">
      <pivotArea collapsedLevelsAreSubtotals="1" fieldPosition="0">
        <references count="1">
          <reference field="2" count="27">
            <x v="0"/>
            <x v="3"/>
            <x v="5"/>
            <x v="6"/>
            <x v="8"/>
            <x v="9"/>
            <x v="10"/>
            <x v="11"/>
            <x v="12"/>
            <x v="17"/>
            <x v="18"/>
            <x v="19"/>
            <x v="20"/>
            <x v="23"/>
            <x v="24"/>
            <x v="25"/>
            <x v="26"/>
            <x v="27"/>
            <x v="28"/>
            <x v="30"/>
            <x v="31"/>
            <x v="33"/>
            <x v="34"/>
            <x v="35"/>
            <x v="37"/>
            <x v="38"/>
            <x v="39"/>
          </reference>
        </references>
      </pivotArea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27">
            <x v="0"/>
            <x v="3"/>
            <x v="5"/>
            <x v="6"/>
            <x v="8"/>
            <x v="9"/>
            <x v="10"/>
            <x v="11"/>
            <x v="12"/>
            <x v="17"/>
            <x v="18"/>
            <x v="19"/>
            <x v="20"/>
            <x v="23"/>
            <x v="24"/>
            <x v="25"/>
            <x v="26"/>
            <x v="27"/>
            <x v="28"/>
            <x v="30"/>
            <x v="31"/>
            <x v="33"/>
            <x v="34"/>
            <x v="35"/>
            <x v="37"/>
            <x v="38"/>
            <x v="39"/>
          </reference>
        </references>
      </pivotArea>
    </format>
    <format dxfId="2">
      <pivotArea dataOnly="0" labelOnly="1" outline="0" axis="axisValues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outline="0" collapsedLevelsAreSubtotals="1" fieldPosition="0"/>
    </format>
  </format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4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5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6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</chartFormats>
  <pivotTableStyleInfo name="PivotStyleLight16" showRowHeaders="1" showColHeaders="1" showRowStripes="0" showColStripes="0" showLastColumn="1"/>
  <filters count="2">
    <filter fld="2" type="valueGreaterThan" evalOrder="-1" id="3" iMeasureFld="0">
      <autoFilter ref="A1">
        <filterColumn colId="0">
          <customFilters>
            <customFilter operator="greaterThan" val="0.5"/>
          </customFilters>
        </filterColumn>
      </autoFilter>
    </filter>
    <filter fld="1" type="valueGreaterThan" evalOrder="-1" id="1" iMeasureFld="0">
      <autoFilter ref="A1">
        <filterColumn colId="0">
          <customFilters>
            <customFilter operator="greaterThan" val="1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D84674-09AB-456F-AC80-CED117AAFB78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5">
  <location ref="A5:B26" firstHeaderRow="1" firstDataRow="1" firstDataCol="1" rowPageCount="3" colPageCount="1"/>
  <pivotFields count="12">
    <pivotField axis="axisPage" multipleItemSelectionAllowed="1" showAll="0">
      <items count="25">
        <item h="1" x="1"/>
        <item x="0"/>
        <item x="22"/>
        <item x="6"/>
        <item x="4"/>
        <item x="5"/>
        <item x="3"/>
        <item x="7"/>
        <item x="20"/>
        <item x="13"/>
        <item x="9"/>
        <item x="21"/>
        <item x="2"/>
        <item x="8"/>
        <item x="10"/>
        <item x="12"/>
        <item x="14"/>
        <item x="16"/>
        <item x="17"/>
        <item x="18"/>
        <item x="19"/>
        <item x="15"/>
        <item x="11"/>
        <item x="23"/>
        <item t="default"/>
      </items>
    </pivotField>
    <pivotField showAll="0"/>
    <pivotField showAll="0"/>
    <pivotField showAll="0" measureFilter="1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measureFilter="1" sortType="descending">
      <items count="39">
        <item x="0"/>
        <item x="1"/>
        <item x="2"/>
        <item x="3"/>
        <item x="4"/>
        <item x="31"/>
        <item x="10"/>
        <item x="8"/>
        <item x="9"/>
        <item x="6"/>
        <item x="11"/>
        <item x="33"/>
        <item x="21"/>
        <item x="12"/>
        <item x="34"/>
        <item x="7"/>
        <item x="5"/>
        <item x="13"/>
        <item x="17"/>
        <item x="16"/>
        <item x="18"/>
        <item x="20"/>
        <item x="23"/>
        <item x="22"/>
        <item x="25"/>
        <item x="26"/>
        <item x="27"/>
        <item x="15"/>
        <item x="29"/>
        <item x="28"/>
        <item x="30"/>
        <item x="32"/>
        <item x="24"/>
        <item x="19"/>
        <item x="14"/>
        <item x="35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multipleItemSelectionAllowed="1" showAll="0">
      <items count="19">
        <item x="14"/>
        <item x="13"/>
        <item x="12"/>
        <item x="2"/>
        <item x="0"/>
        <item x="1"/>
        <item x="16"/>
        <item x="17"/>
        <item x="15"/>
        <item x="3"/>
        <item x="4"/>
        <item x="5"/>
        <item x="10"/>
        <item x="9"/>
        <item x="11"/>
        <item x="8"/>
        <item x="6"/>
        <item x="7"/>
        <item t="default"/>
      </items>
    </pivotField>
    <pivotField showAll="0"/>
    <pivotField showAll="0"/>
    <pivotField axis="axisPage" showAll="0">
      <items count="4">
        <item x="2"/>
        <item x="0"/>
        <item x="1"/>
        <item t="default"/>
      </items>
    </pivotField>
    <pivotField showAll="0"/>
    <pivotField dataField="1" dragToRow="0" dragToCol="0" dragToPage="0" showAll="0" defaultSubtotal="0"/>
    <pivotField dragToRow="0" dragToCol="0" dragToPage="0" showAll="0" defaultSubtotal="0"/>
  </pivotFields>
  <rowFields count="1">
    <field x="4"/>
  </rowFields>
  <rowItems count="21">
    <i>
      <x v="37"/>
    </i>
    <i>
      <x v="18"/>
    </i>
    <i>
      <x v="34"/>
    </i>
    <i>
      <x v="6"/>
    </i>
    <i>
      <x v="24"/>
    </i>
    <i>
      <x v="10"/>
    </i>
    <i>
      <x v="8"/>
    </i>
    <i>
      <x v="17"/>
    </i>
    <i>
      <x v="32"/>
    </i>
    <i>
      <x v="35"/>
    </i>
    <i>
      <x v="9"/>
    </i>
    <i>
      <x/>
    </i>
    <i>
      <x v="22"/>
    </i>
    <i>
      <x v="26"/>
    </i>
    <i>
      <x v="16"/>
    </i>
    <i>
      <x v="25"/>
    </i>
    <i>
      <x v="21"/>
    </i>
    <i>
      <x v="12"/>
    </i>
    <i>
      <x v="33"/>
    </i>
    <i>
      <x v="11"/>
    </i>
    <i t="grand">
      <x/>
    </i>
  </rowItems>
  <colItems count="1">
    <i/>
  </colItems>
  <pageFields count="3">
    <pageField fld="8" item="2" hier="-1"/>
    <pageField fld="5" hier="-1"/>
    <pageField fld="0" hier="-1"/>
  </pageFields>
  <dataFields count="1">
    <dataField name="Sum of Field1" fld="10" baseField="0" baseItem="0" numFmtId="167"/>
  </dataFields>
  <formats count="5">
    <format dxfId="10">
      <pivotArea outline="0" collapsedLevelsAreSubtotals="1" fieldPosition="0"/>
    </format>
    <format dxfId="9">
      <pivotArea collapsedLevelsAreSubtotals="1" fieldPosition="0">
        <references count="1">
          <reference field="4" count="24">
            <x v="0"/>
            <x v="3"/>
            <x v="5"/>
            <x v="6"/>
            <x v="8"/>
            <x v="9"/>
            <x v="10"/>
            <x v="11"/>
            <x v="12"/>
            <x v="16"/>
            <x v="17"/>
            <x v="18"/>
            <x v="19"/>
            <x v="21"/>
            <x v="22"/>
            <x v="23"/>
            <x v="24"/>
            <x v="25"/>
            <x v="26"/>
            <x v="28"/>
            <x v="29"/>
            <x v="31"/>
            <x v="32"/>
            <x v="33"/>
          </reference>
        </references>
      </pivotArea>
    </format>
    <format dxfId="8">
      <pivotArea field="4" type="button" dataOnly="0" labelOnly="1" outline="0" axis="axisRow" fieldPosition="0"/>
    </format>
    <format dxfId="7">
      <pivotArea dataOnly="0" labelOnly="1" fieldPosition="0">
        <references count="1">
          <reference field="4" count="24">
            <x v="0"/>
            <x v="3"/>
            <x v="5"/>
            <x v="6"/>
            <x v="8"/>
            <x v="9"/>
            <x v="10"/>
            <x v="11"/>
            <x v="12"/>
            <x v="16"/>
            <x v="17"/>
            <x v="18"/>
            <x v="19"/>
            <x v="21"/>
            <x v="22"/>
            <x v="23"/>
            <x v="24"/>
            <x v="25"/>
            <x v="26"/>
            <x v="28"/>
            <x v="29"/>
            <x v="31"/>
            <x v="32"/>
            <x v="33"/>
          </reference>
        </references>
      </pivotArea>
    </format>
    <format dxfId="6">
      <pivotArea dataOnly="0" labelOnly="1" outline="0" axis="axisValues" fieldPosition="0"/>
    </format>
  </format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8"/>
          </reference>
        </references>
      </pivotArea>
    </chartFormat>
    <chartFormat chart="4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>
      <pivotArea type="data" outline="0" fieldPosition="0">
        <references count="2">
          <reference field="4294967294" count="1" selected="0">
            <x v="0"/>
          </reference>
          <reference field="4" count="1" selected="0">
            <x v="18"/>
          </reference>
        </references>
      </pivotArea>
    </chartFormat>
    <chartFormat chart="5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6">
      <pivotArea type="data" outline="0" fieldPosition="0">
        <references count="2">
          <reference field="4294967294" count="1" selected="0">
            <x v="0"/>
          </reference>
          <reference field="4" count="1" selected="0">
            <x v="18"/>
          </reference>
        </references>
      </pivotArea>
    </chartFormat>
  </chartFormats>
  <pivotTableStyleInfo name="PivotStyleLight16" showRowHeaders="1" showColHeaders="1" showRowStripes="0" showColStripes="0" showLastColumn="1"/>
  <filters count="2">
    <filter fld="4" type="valueGreaterThan" evalOrder="-1" id="3" iMeasureFld="0">
      <autoFilter ref="A1">
        <filterColumn colId="0">
          <customFilters>
            <customFilter operator="greaterThan" val="0.5"/>
          </customFilters>
        </filterColumn>
      </autoFilter>
    </filter>
    <filter fld="3" type="valueGreaterThan" evalOrder="-1" id="1" iMeasureFld="0">
      <autoFilter ref="A1">
        <filterColumn colId="0">
          <customFilters>
            <customFilter operator="greaterThan" val="1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8F7730-1F1D-4B02-B094-6FC221EE7D63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9">
  <location ref="A38:B62" firstHeaderRow="1" firstDataRow="1" firstDataCol="1" rowPageCount="3" colPageCount="1"/>
  <pivotFields count="12">
    <pivotField axis="axisPage" multipleItemSelectionAllowed="1" showAll="0">
      <items count="25">
        <item h="1" x="1"/>
        <item x="0"/>
        <item x="22"/>
        <item x="6"/>
        <item x="4"/>
        <item x="5"/>
        <item x="3"/>
        <item x="7"/>
        <item x="20"/>
        <item x="13"/>
        <item x="9"/>
        <item x="21"/>
        <item x="2"/>
        <item x="8"/>
        <item x="10"/>
        <item x="12"/>
        <item x="14"/>
        <item x="16"/>
        <item x="17"/>
        <item x="18"/>
        <item x="19"/>
        <item x="15"/>
        <item x="11"/>
        <item x="23"/>
        <item t="default"/>
      </items>
    </pivotField>
    <pivotField showAll="0"/>
    <pivotField showAll="0"/>
    <pivotField showAll="0"/>
    <pivotField axis="axisRow" showAll="0" sortType="descending">
      <items count="39">
        <item x="0"/>
        <item x="1"/>
        <item x="2"/>
        <item x="3"/>
        <item x="4"/>
        <item x="31"/>
        <item x="10"/>
        <item x="8"/>
        <item x="9"/>
        <item x="6"/>
        <item x="11"/>
        <item x="33"/>
        <item x="21"/>
        <item x="12"/>
        <item x="34"/>
        <item x="7"/>
        <item x="5"/>
        <item x="13"/>
        <item x="17"/>
        <item x="16"/>
        <item x="18"/>
        <item x="20"/>
        <item x="23"/>
        <item x="22"/>
        <item x="25"/>
        <item x="26"/>
        <item x="27"/>
        <item x="15"/>
        <item x="29"/>
        <item x="28"/>
        <item x="30"/>
        <item x="32"/>
        <item x="24"/>
        <item x="19"/>
        <item x="14"/>
        <item x="35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multipleItemSelectionAllowed="1" showAll="0">
      <items count="19">
        <item x="14"/>
        <item x="13"/>
        <item x="12"/>
        <item x="2"/>
        <item x="0"/>
        <item x="1"/>
        <item x="16"/>
        <item x="17"/>
        <item x="15"/>
        <item x="3"/>
        <item x="4"/>
        <item x="5"/>
        <item x="10"/>
        <item x="9"/>
        <item x="11"/>
        <item x="8"/>
        <item x="6"/>
        <item x="7"/>
        <item t="default"/>
      </items>
    </pivotField>
    <pivotField showAll="0"/>
    <pivotField showAll="0"/>
    <pivotField axis="axisPage" showAll="0">
      <items count="4">
        <item x="2"/>
        <item x="0"/>
        <item x="1"/>
        <item t="default"/>
      </items>
    </pivotField>
    <pivotField showAll="0"/>
    <pivotField dragToRow="0" dragToCol="0" dragToPage="0" showAll="0" defaultSubtotal="0"/>
    <pivotField dataField="1" dragToRow="0" dragToCol="0" dragToPage="0" showAll="0" defaultSubtotal="0"/>
  </pivotFields>
  <rowFields count="1">
    <field x="4"/>
  </rowFields>
  <rowItems count="24">
    <i>
      <x v="37"/>
    </i>
    <i>
      <x v="18"/>
    </i>
    <i>
      <x v="8"/>
    </i>
    <i>
      <x v="34"/>
    </i>
    <i>
      <x v="6"/>
    </i>
    <i>
      <x v="24"/>
    </i>
    <i>
      <x v="17"/>
    </i>
    <i>
      <x v="22"/>
    </i>
    <i>
      <x v="35"/>
    </i>
    <i>
      <x v="10"/>
    </i>
    <i>
      <x v="16"/>
    </i>
    <i>
      <x v="32"/>
    </i>
    <i>
      <x v="9"/>
    </i>
    <i>
      <x v="25"/>
    </i>
    <i>
      <x v="12"/>
    </i>
    <i>
      <x/>
    </i>
    <i>
      <x v="26"/>
    </i>
    <i>
      <x v="21"/>
    </i>
    <i>
      <x v="11"/>
    </i>
    <i>
      <x v="33"/>
    </i>
    <i>
      <x v="30"/>
    </i>
    <i>
      <x v="7"/>
    </i>
    <i>
      <x v="36"/>
    </i>
    <i t="grand">
      <x/>
    </i>
  </rowItems>
  <colItems count="1">
    <i/>
  </colItems>
  <pageFields count="3">
    <pageField fld="8" item="1" hier="-1"/>
    <pageField fld="5" hier="-1"/>
    <pageField fld="0" hier="-1"/>
  </pageFields>
  <dataFields count="1">
    <dataField name="Sum of Field2" fld="11" baseField="0" baseItem="0"/>
  </dataFields>
  <formats count="1">
    <format dxfId="11">
      <pivotArea outline="0" collapsedLevelsAreSubtotals="1" fieldPosition="0"/>
    </format>
  </formats>
  <chartFormats count="3">
    <chartFormat chart="4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93979B-6B19-41EC-91C6-A206F3B997DF}" name="PivotTable1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5">
  <location ref="A84:D87" firstHeaderRow="1" firstDataRow="2" firstDataCol="1" rowPageCount="2" colPageCount="1"/>
  <pivotFields count="9">
    <pivotField showAll="0"/>
    <pivotField showAll="0" measureFilter="1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43">
        <item h="1" x="0"/>
        <item h="1" x="1"/>
        <item h="1" x="2"/>
        <item h="1" x="3"/>
        <item h="1" x="4"/>
        <item h="1" x="31"/>
        <item h="1" x="10"/>
        <item h="1" x="8"/>
        <item h="1" x="9"/>
        <item h="1" x="6"/>
        <item h="1" x="11"/>
        <item h="1" x="33"/>
        <item h="1" x="21"/>
        <item h="1" x="12"/>
        <item h="1" x="34"/>
        <item h="1" x="7"/>
        <item h="1" m="1" x="35"/>
        <item h="1" x="5"/>
        <item x="13"/>
        <item h="1" x="17"/>
        <item h="1" x="16"/>
        <item h="1" x="18"/>
        <item h="1" m="1" x="36"/>
        <item h="1" x="20"/>
        <item h="1" x="23"/>
        <item h="1" x="22"/>
        <item h="1" x="25"/>
        <item h="1" x="26"/>
        <item h="1" x="27"/>
        <item h="1" x="15"/>
        <item h="1" x="29"/>
        <item h="1" x="28"/>
        <item h="1" x="30"/>
        <item h="1" x="32"/>
        <item h="1" m="1" x="39"/>
        <item h="1" m="1" x="38"/>
        <item h="1" m="1" x="40"/>
        <item h="1" m="1" x="41"/>
        <item h="1" x="24"/>
        <item h="1" x="19"/>
        <item h="1" m="1" x="37"/>
        <item h="1"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multipleItemSelectionAllowed="1" showAll="0">
      <items count="36">
        <item x="14"/>
        <item x="13"/>
        <item x="12"/>
        <item x="2"/>
        <item x="0"/>
        <item x="1"/>
        <item m="1" x="25"/>
        <item h="1" m="1" x="29"/>
        <item h="1" m="1" x="28"/>
        <item h="1" m="1" x="30"/>
        <item h="1" m="1" x="18"/>
        <item h="1" m="1" x="19"/>
        <item h="1" m="1" x="20"/>
        <item h="1" m="1" x="27"/>
        <item x="16"/>
        <item x="17"/>
        <item x="15"/>
        <item x="3"/>
        <item x="4"/>
        <item x="5"/>
        <item m="1" x="26"/>
        <item x="10"/>
        <item x="9"/>
        <item x="11"/>
        <item x="8"/>
        <item x="6"/>
        <item x="7"/>
        <item m="1" x="24"/>
        <item h="1" m="1" x="32"/>
        <item h="1" m="1" x="33"/>
        <item h="1" m="1" x="34"/>
        <item h="1" m="1" x="22"/>
        <item h="1" m="1" x="21"/>
        <item h="1" m="1" x="23"/>
        <item h="1" m="1" x="31"/>
        <item t="default"/>
      </items>
    </pivotField>
    <pivotField showAll="0"/>
    <pivotField axis="axisCol" showAll="0">
      <items count="9">
        <item m="1" x="5"/>
        <item m="1" x="6"/>
        <item m="1" x="2"/>
        <item m="1" x="7"/>
        <item m="1" x="3"/>
        <item x="0"/>
        <item x="1"/>
        <item m="1" x="4"/>
        <item t="default"/>
      </items>
    </pivotField>
    <pivotField axis="axisPage" showAll="0">
      <items count="5">
        <item x="2"/>
        <item x="0"/>
        <item x="1"/>
        <item m="1" x="3"/>
        <item t="default"/>
      </items>
    </pivotField>
    <pivotField showAll="0"/>
    <pivotField dataField="1" dragToRow="0" dragToCol="0" dragToPage="0" showAll="0" defaultSubtotal="0"/>
  </pivotFields>
  <rowFields count="1">
    <field x="2"/>
  </rowFields>
  <rowItems count="2">
    <i>
      <x v="18"/>
    </i>
    <i t="grand">
      <x/>
    </i>
  </rowItems>
  <colFields count="1">
    <field x="5"/>
  </colFields>
  <colItems count="3">
    <i>
      <x v="5"/>
    </i>
    <i>
      <x v="6"/>
    </i>
    <i t="grand">
      <x/>
    </i>
  </colItems>
  <pageFields count="2">
    <pageField fld="6" item="2" hier="-1"/>
    <pageField fld="3" hier="-1"/>
  </pageFields>
  <dataFields count="1">
    <dataField name="Sum of Field1" fld="8" baseField="0" baseItem="0" numFmtId="169"/>
  </dataFields>
  <formats count="1">
    <format dxfId="12">
      <pivotArea outline="0" collapsedLevelsAreSubtotals="1" fieldPosition="0"/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valueGreaterThan" evalOrder="-1" id="5" iMeasureFld="0">
      <autoFilter ref="A1">
        <filterColumn colId="0">
          <customFilters>
            <customFilter operator="greaterThan" val="4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89B572-A22C-4943-9149-12F312C04CEB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5">
  <location ref="A74:D77" firstHeaderRow="1" firstDataRow="2" firstDataCol="1" rowPageCount="2" colPageCount="1"/>
  <pivotFields count="9">
    <pivotField showAll="0"/>
    <pivotField showAll="0" measureFilter="1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43">
        <item h="1" x="0"/>
        <item h="1" x="1"/>
        <item h="1" x="2"/>
        <item h="1" x="3"/>
        <item h="1" x="4"/>
        <item h="1" x="31"/>
        <item h="1" x="10"/>
        <item h="1" x="8"/>
        <item x="9"/>
        <item h="1" x="6"/>
        <item h="1" x="11"/>
        <item h="1" x="33"/>
        <item h="1" x="21"/>
        <item h="1" x="12"/>
        <item h="1" x="34"/>
        <item h="1" x="7"/>
        <item h="1" m="1" x="35"/>
        <item h="1" x="5"/>
        <item h="1" x="13"/>
        <item h="1" x="17"/>
        <item h="1" x="16"/>
        <item h="1" x="18"/>
        <item h="1" m="1" x="36"/>
        <item h="1" x="20"/>
        <item h="1" x="23"/>
        <item h="1" x="22"/>
        <item h="1" x="25"/>
        <item h="1" x="26"/>
        <item h="1" x="27"/>
        <item h="1" x="15"/>
        <item h="1" x="29"/>
        <item h="1" x="28"/>
        <item h="1" x="30"/>
        <item h="1" x="32"/>
        <item h="1" m="1" x="39"/>
        <item h="1" m="1" x="38"/>
        <item h="1" m="1" x="40"/>
        <item h="1" m="1" x="41"/>
        <item h="1" x="24"/>
        <item h="1" x="19"/>
        <item h="1" m="1" x="37"/>
        <item h="1"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multipleItemSelectionAllowed="1" showAll="0">
      <items count="36">
        <item x="14"/>
        <item x="13"/>
        <item x="12"/>
        <item x="2"/>
        <item x="0"/>
        <item x="1"/>
        <item m="1" x="25"/>
        <item h="1" m="1" x="29"/>
        <item h="1" m="1" x="28"/>
        <item h="1" m="1" x="30"/>
        <item h="1" m="1" x="18"/>
        <item h="1" m="1" x="19"/>
        <item h="1" m="1" x="20"/>
        <item h="1" m="1" x="27"/>
        <item x="16"/>
        <item x="17"/>
        <item x="15"/>
        <item x="3"/>
        <item x="4"/>
        <item x="5"/>
        <item m="1" x="26"/>
        <item x="10"/>
        <item x="9"/>
        <item x="11"/>
        <item x="8"/>
        <item x="6"/>
        <item x="7"/>
        <item m="1" x="24"/>
        <item h="1" m="1" x="32"/>
        <item h="1" m="1" x="33"/>
        <item h="1" m="1" x="34"/>
        <item h="1" m="1" x="22"/>
        <item h="1" m="1" x="21"/>
        <item h="1" m="1" x="23"/>
        <item h="1" m="1" x="31"/>
        <item t="default"/>
      </items>
    </pivotField>
    <pivotField showAll="0"/>
    <pivotField axis="axisCol" showAll="0">
      <items count="9">
        <item m="1" x="5"/>
        <item m="1" x="6"/>
        <item m="1" x="2"/>
        <item m="1" x="7"/>
        <item m="1" x="3"/>
        <item x="0"/>
        <item x="1"/>
        <item m="1" x="4"/>
        <item t="default"/>
      </items>
    </pivotField>
    <pivotField axis="axisPage" showAll="0">
      <items count="5">
        <item x="2"/>
        <item x="0"/>
        <item x="1"/>
        <item m="1" x="3"/>
        <item t="default"/>
      </items>
    </pivotField>
    <pivotField showAll="0"/>
    <pivotField dataField="1" dragToRow="0" dragToCol="0" dragToPage="0" showAll="0" defaultSubtotal="0"/>
  </pivotFields>
  <rowFields count="1">
    <field x="2"/>
  </rowFields>
  <rowItems count="2">
    <i>
      <x v="8"/>
    </i>
    <i t="grand">
      <x/>
    </i>
  </rowItems>
  <colFields count="1">
    <field x="5"/>
  </colFields>
  <colItems count="3">
    <i>
      <x v="5"/>
    </i>
    <i>
      <x v="6"/>
    </i>
    <i t="grand">
      <x/>
    </i>
  </colItems>
  <pageFields count="2">
    <pageField fld="6" item="2" hier="-1"/>
    <pageField fld="3" hier="-1"/>
  </pageFields>
  <dataFields count="1">
    <dataField name="Sum of Field1" fld="8" baseField="0" baseItem="0" numFmtId="169"/>
  </dataFields>
  <formats count="1">
    <format dxfId="13">
      <pivotArea outline="0" collapsedLevelsAreSubtotals="1" fieldPosition="0"/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valueGreaterThan" evalOrder="-1" id="5" iMeasureFld="0">
      <autoFilter ref="A1">
        <filterColumn colId="0">
          <customFilters>
            <customFilter operator="greaterThan" val="4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CCEA3-2CE9-4A29-84E3-3E2F292C0B1E}" name="PivotTable26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13">
  <location ref="K213:T239" firstHeaderRow="1" firstDataRow="2" firstDataCol="1" rowPageCount="2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5">
    <i>
      <x v="13"/>
    </i>
    <i>
      <x v="17"/>
    </i>
    <i>
      <x v="1"/>
    </i>
    <i>
      <x v="9"/>
    </i>
    <i>
      <x v="11"/>
    </i>
    <i>
      <x v="18"/>
    </i>
    <i>
      <x v="12"/>
    </i>
    <i>
      <x v="5"/>
    </i>
    <i>
      <x v="22"/>
    </i>
    <i>
      <x v="4"/>
    </i>
    <i>
      <x v="15"/>
    </i>
    <i>
      <x v="6"/>
    </i>
    <i>
      <x v="7"/>
    </i>
    <i>
      <x v="3"/>
    </i>
    <i>
      <x v="20"/>
    </i>
    <i>
      <x v="2"/>
    </i>
    <i>
      <x v="21"/>
    </i>
    <i>
      <x v="14"/>
    </i>
    <i>
      <x v="8"/>
    </i>
    <i>
      <x v="16"/>
    </i>
    <i>
      <x/>
    </i>
    <i>
      <x v="10"/>
    </i>
    <i>
      <x v="23"/>
    </i>
    <i>
      <x v="19"/>
    </i>
    <i>
      <x v="24"/>
    </i>
  </rowItems>
  <colFields count="1">
    <field x="2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2">
    <pageField fld="0" hier="-1"/>
    <pageField fld="1" hier="-1"/>
  </pageFields>
  <dataFields count="1">
    <dataField name="Sum of EE Spending per EE Savings ($/thm)" fld="25" baseField="0" baseItem="0" numFmtId="165"/>
  </dataFields>
  <formats count="1">
    <format dxfId="16">
      <pivotArea outline="0" collapsedLevelsAreSubtotals="1" fieldPosition="0"/>
    </format>
  </formats>
  <chartFormats count="6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EBCFFC-966F-46B2-B35C-D154E4F51CCC}" name="PivotTable4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9">
  <location ref="A5:F29" firstHeaderRow="1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12"/>
    </i>
    <i>
      <x v="9"/>
    </i>
    <i>
      <x v="11"/>
    </i>
    <i>
      <x v="15"/>
    </i>
    <i>
      <x v="22"/>
    </i>
    <i>
      <x v="1"/>
    </i>
    <i>
      <x v="2"/>
    </i>
    <i>
      <x v="3"/>
    </i>
    <i>
      <x v="10"/>
    </i>
    <i>
      <x v="5"/>
    </i>
    <i>
      <x v="8"/>
    </i>
    <i>
      <x v="6"/>
    </i>
    <i>
      <x v="20"/>
    </i>
    <i>
      <x v="7"/>
    </i>
    <i>
      <x v="19"/>
    </i>
    <i>
      <x v="18"/>
    </i>
    <i>
      <x v="13"/>
    </i>
    <i>
      <x v="14"/>
    </i>
    <i>
      <x v="4"/>
    </i>
    <i>
      <x v="23"/>
    </i>
    <i>
      <x v="21"/>
    </i>
    <i>
      <x v="16"/>
    </i>
    <i>
      <x/>
    </i>
  </rowItems>
  <colFields count="1">
    <field x="6"/>
  </colFields>
  <colItems count="5">
    <i>
      <x/>
    </i>
    <i>
      <x v="1"/>
    </i>
    <i>
      <x v="2"/>
    </i>
    <i>
      <x v="4"/>
    </i>
    <i t="grand">
      <x/>
    </i>
  </colItems>
  <pageFields count="3">
    <pageField fld="0" hier="-1"/>
    <pageField fld="1" hier="-1"/>
    <pageField fld="2" item="2" hier="-1"/>
  </pageFields>
  <dataFields count="1">
    <dataField name="Sum of EE Spending as % of Revenue" fld="23" baseField="0" baseItem="0" numFmtId="9"/>
  </dataFields>
  <formats count="1">
    <format dxfId="17">
      <pivotArea outline="0" collapsedLevelsAreSubtotals="1" fieldPosition="0"/>
    </format>
  </formats>
  <chartFormats count="1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8F97DC-E02E-4ED6-8166-951C49CCFA9F}" name="PivotTable5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23">
  <location ref="K5:O29" firstHeaderRow="1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7">
        <item x="0"/>
        <item x="1"/>
        <item x="2"/>
        <item h="1" x="3"/>
        <item h="1" x="4"/>
        <item h="1"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1"/>
    </i>
    <i>
      <x v="18"/>
    </i>
    <i>
      <x v="12"/>
    </i>
    <i>
      <x v="9"/>
    </i>
    <i>
      <x v="15"/>
    </i>
    <i>
      <x v="3"/>
    </i>
    <i>
      <x v="20"/>
    </i>
    <i>
      <x v="11"/>
    </i>
    <i>
      <x v="5"/>
    </i>
    <i>
      <x v="6"/>
    </i>
    <i>
      <x v="13"/>
    </i>
    <i>
      <x v="22"/>
    </i>
    <i>
      <x v="2"/>
    </i>
    <i>
      <x v="7"/>
    </i>
    <i>
      <x v="10"/>
    </i>
    <i>
      <x v="14"/>
    </i>
    <i>
      <x v="8"/>
    </i>
    <i>
      <x/>
    </i>
    <i>
      <x v="23"/>
    </i>
    <i>
      <x v="16"/>
    </i>
    <i>
      <x v="21"/>
    </i>
    <i>
      <x v="19"/>
    </i>
    <i>
      <x v="4"/>
    </i>
  </rowItems>
  <colFields count="1">
    <field x="6"/>
  </colFields>
  <colItems count="4">
    <i>
      <x/>
    </i>
    <i>
      <x v="1"/>
    </i>
    <i>
      <x v="2"/>
    </i>
    <i t="grand">
      <x/>
    </i>
  </colItems>
  <pageFields count="3">
    <pageField fld="0" hier="-1"/>
    <pageField fld="1" hier="-1"/>
    <pageField fld="2" item="2" hier="-1"/>
  </pageFields>
  <dataFields count="1">
    <dataField name="Sum of EE Spending per EE Savings ($/thm)" fld="25" baseField="0" baseItem="0"/>
  </dataFields>
  <formats count="1">
    <format dxfId="18">
      <pivotArea outline="0" collapsedLevelsAreSubtotals="1" fieldPosition="0"/>
    </format>
  </formats>
  <chartFormats count="14">
    <chartFormat chart="1" format="7" series="1">
      <pivotArea type="data" outline="0" fieldPosition="0">
        <references count="1">
          <reference field="6" count="1" selected="0">
            <x v="0"/>
          </reference>
        </references>
      </pivotArea>
    </chartFormat>
    <chartFormat chart="1" format="8" series="1">
      <pivotArea type="data" outline="0" fieldPosition="0">
        <references count="1">
          <reference field="6" count="1" selected="0">
            <x v="1"/>
          </reference>
        </references>
      </pivotArea>
    </chartFormat>
    <chartFormat chart="1" format="9" series="1">
      <pivotArea type="data" outline="0" fieldPosition="0">
        <references count="1">
          <reference field="6" count="1" selected="0">
            <x v="2"/>
          </reference>
        </references>
      </pivotArea>
    </chartFormat>
    <chartFormat chart="1" format="10" series="1">
      <pivotArea type="data" outline="0" fieldPosition="0">
        <references count="1">
          <reference field="6" count="1" selected="0">
            <x v="3"/>
          </reference>
        </references>
      </pivotArea>
    </chartFormat>
    <chartFormat chart="1" format="11" series="1">
      <pivotArea type="data" outline="0" fieldPosition="0">
        <references count="1">
          <reference field="6" count="1" selected="0">
            <x v="4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6" format="1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6" format="1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6" format="1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7" format="1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7" format="1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7" format="2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F4460D-B2B2-4DF6-A142-D232288968B9}" name="PivotTable7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gridDropZones="1" multipleFieldFilters="0" chartFormat="19">
  <location ref="A59:B83" firstHeaderRow="2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nonAutoSortDefault="1">
      <items count="26">
        <item x="1"/>
        <item x="0"/>
        <item x="9"/>
        <item x="8"/>
        <item x="24"/>
        <item x="11"/>
        <item x="3"/>
        <item x="21"/>
        <item x="22"/>
        <item x="12"/>
        <item x="14"/>
        <item x="13"/>
        <item x="16"/>
        <item x="4"/>
        <item x="17"/>
        <item x="23"/>
        <item x="5"/>
        <item x="20"/>
        <item x="6"/>
        <item x="7"/>
        <item x="2"/>
        <item x="19"/>
        <item x="10"/>
        <item x="18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rowItems>
  <colItems count="1">
    <i/>
  </colItems>
  <pageFields count="3">
    <pageField fld="0" hier="-1"/>
    <pageField fld="1" hier="-1"/>
    <pageField fld="2" item="2" hier="-1"/>
  </pageFields>
  <dataFields count="1">
    <dataField name="Sum of Field1" fld="29" baseField="0" baseItem="0" numFmtId="165"/>
  </dataFields>
  <formats count="1">
    <format dxfId="19">
      <pivotArea outline="0" collapsedLevelsAreSubtotals="1" fieldPosition="0"/>
    </format>
  </formats>
  <chartFormats count="3"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DB59CF-7992-4F50-97FA-1013FF690832}" name="PivotTable10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46">
  <location ref="A340:J353" firstHeaderRow="1" firstDataRow="2" firstDataCol="2" rowPageCount="4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h="1" x="13"/>
        <item h="1" x="4"/>
        <item x="1"/>
        <item x="0"/>
        <item x="2"/>
        <item x="3"/>
        <item h="1" x="12"/>
        <item h="1" x="7"/>
        <item h="1" x="8"/>
        <item h="1" x="11"/>
        <item h="1" x="10"/>
        <item h="1" x="6"/>
        <item h="1"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0"/>
        <item x="14"/>
        <item x="23"/>
        <item x="18"/>
        <item x="16"/>
        <item x="17"/>
        <item x="7"/>
        <item x="20"/>
        <item x="4"/>
        <item x="1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23">
        <item x="19"/>
        <item x="5"/>
        <item x="15"/>
        <item x="11"/>
        <item x="20"/>
        <item x="2"/>
        <item x="7"/>
        <item x="3"/>
        <item x="13"/>
        <item x="0"/>
        <item x="16"/>
        <item h="1" x="4"/>
        <item x="12"/>
        <item x="14"/>
        <item x="10"/>
        <item x="18"/>
        <item x="1"/>
        <item h="1" x="8"/>
        <item x="9"/>
        <item x="17"/>
        <item x="6"/>
        <item m="1" x="2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12">
    <i>
      <x/>
      <x v="7"/>
    </i>
    <i r="1">
      <x v="11"/>
    </i>
    <i>
      <x v="3"/>
      <x/>
    </i>
    <i r="1">
      <x v="14"/>
    </i>
    <i r="1">
      <x v="15"/>
    </i>
    <i r="1">
      <x v="17"/>
    </i>
    <i>
      <x v="4"/>
      <x v="9"/>
    </i>
    <i r="1">
      <x v="12"/>
    </i>
    <i>
      <x v="5"/>
      <x v="2"/>
    </i>
    <i r="1">
      <x v="6"/>
    </i>
    <i>
      <x v="6"/>
      <x v="5"/>
    </i>
    <i r="1">
      <x v="23"/>
    </i>
  </rowItems>
  <colFields count="1">
    <field x="10"/>
  </colFields>
  <colItems count="8">
    <i>
      <x v="1"/>
    </i>
    <i>
      <x v="8"/>
    </i>
    <i>
      <x v="9"/>
    </i>
    <i>
      <x v="16"/>
    </i>
    <i>
      <x v="18"/>
    </i>
    <i>
      <x v="19"/>
    </i>
    <i>
      <x v="20"/>
    </i>
    <i t="grand">
      <x/>
    </i>
  </colItems>
  <pageFields count="4">
    <pageField fld="0" hier="-1"/>
    <pageField fld="1" hier="-1"/>
    <pageField fld="2" item="2" hier="-1"/>
    <pageField fld="6" item="1" hier="-1"/>
  </pageFields>
  <dataFields count="1">
    <dataField name="Sum of GrossSavings" fld="12" baseField="0" baseItem="0" numFmtId="3"/>
  </dataFields>
  <formats count="1">
    <format dxfId="20">
      <pivotArea outline="0" collapsedLevelsAreSubtotals="1" fieldPosition="0"/>
    </format>
  </formats>
  <chartFormats count="52"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7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7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7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7"/>
          </reference>
        </references>
      </pivotArea>
    </chartFormat>
    <chartFormat chart="15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5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5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5" format="2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15" format="2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5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15" format="2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15" format="2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6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6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6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6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6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16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16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16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16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8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8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8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8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8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18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18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18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9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9" format="1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19" format="1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19" format="2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19" format="2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19" format="2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19" format="2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  <chartFormat chart="19" format="2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16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16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3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3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6"/>
          </reference>
        </references>
      </pivotArea>
    </chartFormat>
    <chartFormat chart="3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0"/>
          </reference>
        </references>
      </pivotArea>
    </chartFormat>
    <chartFormat chart="30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9"/>
          </reference>
        </references>
      </pivotArea>
    </chartFormat>
    <chartFormat chart="30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3DFB28-249D-40B7-B73F-6C23F78D89FB}" name="PivotTable8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14">
  <location ref="AH5:AM29" firstHeaderRow="1" firstDataRow="2" firstDataCol="2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5"/>
        <item x="13"/>
        <item x="4"/>
        <item x="1"/>
        <item x="0"/>
        <item x="2"/>
        <item x="3"/>
        <item x="12"/>
        <item x="7"/>
        <item x="8"/>
        <item x="11"/>
        <item x="10"/>
        <item x="6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7">
        <item x="0"/>
        <item x="1"/>
        <item x="2"/>
        <item h="1" x="3"/>
        <item h="1" x="4"/>
        <item h="1"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5"/>
  </rowFields>
  <rowItems count="23">
    <i>
      <x/>
      <x v="7"/>
    </i>
    <i r="1">
      <x v="11"/>
    </i>
    <i>
      <x v="1"/>
      <x v="21"/>
    </i>
    <i>
      <x v="2"/>
      <x v="8"/>
    </i>
    <i r="1">
      <x v="3"/>
    </i>
    <i r="1">
      <x v="20"/>
    </i>
    <i>
      <x v="3"/>
      <x v="14"/>
    </i>
    <i r="1">
      <x v="16"/>
    </i>
    <i r="1">
      <x/>
    </i>
    <i r="1">
      <x v="23"/>
    </i>
    <i>
      <x v="4"/>
      <x v="12"/>
    </i>
    <i r="1">
      <x v="9"/>
    </i>
    <i>
      <x v="5"/>
      <x v="2"/>
    </i>
    <i r="1">
      <x v="6"/>
    </i>
    <i>
      <x v="6"/>
      <x v="5"/>
    </i>
    <i r="1">
      <x v="22"/>
    </i>
    <i>
      <x v="8"/>
      <x v="4"/>
    </i>
    <i r="1">
      <x v="13"/>
    </i>
    <i>
      <x v="9"/>
      <x v="15"/>
    </i>
    <i>
      <x v="10"/>
      <x v="19"/>
    </i>
    <i>
      <x v="11"/>
      <x v="18"/>
    </i>
    <i r="1">
      <x v="1"/>
    </i>
    <i>
      <x v="12"/>
      <x v="10"/>
    </i>
  </rowItems>
  <colFields count="1">
    <field x="6"/>
  </colFields>
  <colItems count="4">
    <i>
      <x/>
    </i>
    <i>
      <x v="1"/>
    </i>
    <i>
      <x v="2"/>
    </i>
    <i t="grand">
      <x/>
    </i>
  </colItems>
  <pageFields count="3">
    <pageField fld="0" hier="-1"/>
    <pageField fld="1" hier="-1"/>
    <pageField fld="2" item="2" hier="-1"/>
  </pageFields>
  <dataFields count="1">
    <dataField name="Sum of Total_Costs" fld="13" baseField="0" baseItem="0"/>
  </dataFields>
  <formats count="1">
    <format dxfId="21">
      <pivotArea outline="0" collapsedLevelsAreSubtotals="1" fieldPosition="0"/>
    </format>
  </formats>
  <chartFormats count="5">
    <chartFormat chart="6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6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6" format="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E12D30-D8F2-4839-BA48-164610464F1A}" name="PivotTable17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 chartFormat="25">
  <location ref="A210:E234" firstHeaderRow="1" firstDataRow="2" firstDataCol="1" rowPageCount="3" colPageCount="1"/>
  <pivotFields count="31">
    <pivotField axis="axisPage" compact="0" outline="0" multipleItemSelectionAllowed="1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>
      <items count="3">
        <item x="0"/>
        <item h="1"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9">
        <item x="0"/>
        <item x="1"/>
        <item x="2"/>
        <item x="3"/>
        <item x="4"/>
        <item x="5"/>
        <item x="7"/>
        <item x="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>
      <items count="26">
        <item x="2"/>
        <item x="19"/>
        <item x="24"/>
        <item x="6"/>
        <item x="12"/>
        <item x="21"/>
        <item x="3"/>
        <item x="9"/>
        <item x="5"/>
        <item x="0"/>
        <item x="11"/>
        <item x="8"/>
        <item x="1"/>
        <item x="13"/>
        <item x="22"/>
        <item x="14"/>
        <item x="23"/>
        <item x="18"/>
        <item x="16"/>
        <item x="17"/>
        <item x="7"/>
        <item x="20"/>
        <item x="4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7">
        <item x="0"/>
        <item x="1"/>
        <item x="2"/>
        <item h="1" x="3"/>
        <item h="1" x="4"/>
        <item h="1"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3">
    <i>
      <x v="22"/>
    </i>
    <i>
      <x v="12"/>
    </i>
    <i>
      <x v="9"/>
    </i>
    <i>
      <x v="8"/>
    </i>
    <i>
      <x v="5"/>
    </i>
    <i>
      <x v="2"/>
    </i>
    <i>
      <x v="6"/>
    </i>
    <i>
      <x v="4"/>
    </i>
    <i>
      <x v="19"/>
    </i>
    <i>
      <x v="15"/>
    </i>
    <i>
      <x v="13"/>
    </i>
    <i>
      <x v="11"/>
    </i>
    <i>
      <x v="16"/>
    </i>
    <i>
      <x v="7"/>
    </i>
    <i>
      <x v="23"/>
    </i>
    <i>
      <x v="21"/>
    </i>
    <i>
      <x v="3"/>
    </i>
    <i>
      <x v="20"/>
    </i>
    <i>
      <x v="1"/>
    </i>
    <i>
      <x v="10"/>
    </i>
    <i>
      <x v="14"/>
    </i>
    <i>
      <x v="18"/>
    </i>
    <i>
      <x/>
    </i>
  </rowItems>
  <colFields count="1">
    <field x="6"/>
  </colFields>
  <colItems count="4">
    <i>
      <x/>
    </i>
    <i>
      <x v="1"/>
    </i>
    <i>
      <x v="2"/>
    </i>
    <i t="grand">
      <x/>
    </i>
  </colItems>
  <pageFields count="3">
    <pageField fld="0" hier="-1"/>
    <pageField fld="1" hier="-1"/>
    <pageField fld="2" item="2" hier="-1"/>
  </pageFields>
  <dataFields count="1">
    <dataField name="Sum of Net Savings as % of Sales Volume" fld="21" baseField="0" baseItem="0"/>
  </dataFields>
  <formats count="1">
    <format dxfId="22">
      <pivotArea outline="0" collapsedLevelsAreSubtotals="1" fieldPosition="0"/>
    </format>
  </formats>
  <chartFormats count="7">
    <chartFormat chart="9" format="5" series="1">
      <pivotArea type="data" outline="0" fieldPosition="0">
        <references count="1">
          <reference field="6" count="1" selected="0">
            <x v="0"/>
          </reference>
        </references>
      </pivotArea>
    </chartFormat>
    <chartFormat chart="9" format="7" series="1">
      <pivotArea type="data" outline="0" fieldPosition="0">
        <references count="1">
          <reference field="6" count="1" selected="0">
            <x v="1"/>
          </reference>
        </references>
      </pivotArea>
    </chartFormat>
    <chartFormat chart="9" format="8" series="1">
      <pivotArea type="data" outline="0" fieldPosition="0">
        <references count="1">
          <reference field="6" count="1" selected="0">
            <x v="2"/>
          </reference>
        </references>
      </pivotArea>
    </chartFormat>
    <chartFormat chart="9" format="9" series="1">
      <pivotArea type="data" outline="0" fieldPosition="0">
        <references count="1">
          <reference field="6" count="1" selected="0">
            <x v="3"/>
          </reference>
        </references>
      </pivotArea>
    </chartFormat>
    <chartFormat chart="9" format="1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9" format="1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9" format="1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Apex">
      <a:dk1>
        <a:sysClr val="windowText" lastClr="000000"/>
      </a:dk1>
      <a:lt1>
        <a:sysClr val="window" lastClr="FFFFFF"/>
      </a:lt1>
      <a:dk2>
        <a:srgbClr val="6D6E71"/>
      </a:dk2>
      <a:lt2>
        <a:srgbClr val="C8C9CB"/>
      </a:lt2>
      <a:accent1>
        <a:srgbClr val="587E39"/>
      </a:accent1>
      <a:accent2>
        <a:srgbClr val="CE942F"/>
      </a:accent2>
      <a:accent3>
        <a:srgbClr val="39587E"/>
      </a:accent3>
      <a:accent4>
        <a:srgbClr val="7E3958"/>
      </a:accent4>
      <a:accent5>
        <a:srgbClr val="2B8895"/>
      </a:accent5>
      <a:accent6>
        <a:srgbClr val="808285"/>
      </a:accent6>
      <a:hlink>
        <a:srgbClr val="2C3F1C"/>
      </a:hlink>
      <a:folHlink>
        <a:srgbClr val="9A6F2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exanalyticsllc.sharepoint.com/:b:/s/FirstTracksGasBenchmarking/EdFZgcq2VrtOoUzqjPYcIrEB1W2m-tJ5fR9b0K7TA1Qamg?e=6mdlOK" TargetMode="External"/><Relationship Id="rId13" Type="http://schemas.openxmlformats.org/officeDocument/2006/relationships/hyperlink" Target="https://apexanalyticsllc.sharepoint.com/:x:/s/FirstTracksGasBenchmarking/ERgey8lWlxNEiAq_QKB3f9IBT8Bw2P6MIJDipN7Zc6-bPg?e=dLaHLY" TargetMode="External"/><Relationship Id="rId18" Type="http://schemas.openxmlformats.org/officeDocument/2006/relationships/hyperlink" Target="https://apexanalyticsllc.sharepoint.com/:b:/s/FirstTracksGasBenchmarking/EYUDGseDhcpLtVZ0igcZEbABiqu5QJ5Sv9LoiR_GGM1X3Q?e=d0utYj" TargetMode="External"/><Relationship Id="rId3" Type="http://schemas.openxmlformats.org/officeDocument/2006/relationships/hyperlink" Target="https://apexanalyticsllc.sharepoint.com/:x:/r/sites/FirstTracksGasBenchmarking/Shared%20Documents/General/Task%201%20Budget-Savings/Utility%20and%20Plan%20Data/NGrid%20MA%202022-2024%20Plan.xlsx?d=wdafbcd9a7f044303b27e2721f2f1973a&amp;csf=1&amp;web=1&amp;e=fPtgNM" TargetMode="External"/><Relationship Id="rId7" Type="http://schemas.openxmlformats.org/officeDocument/2006/relationships/hyperlink" Target="https://apexanalyticsllc.sharepoint.com/:b:/s/FirstTracksGasBenchmarking/EWR5UL59PXJMuYCRLdu9EAgB01stfMg2a3mMNiZLQquPaA?e=q9PiMi" TargetMode="External"/><Relationship Id="rId12" Type="http://schemas.openxmlformats.org/officeDocument/2006/relationships/hyperlink" Target="https://apexanalyticsllc.sharepoint.com/:b:/s/FirstTracksGasBenchmarking/EXO6CgtLdbVEvQXbLUYIcoEB7oaVOxc2BHnXqiocCO2k_Q?e=e3hkae" TargetMode="External"/><Relationship Id="rId17" Type="http://schemas.openxmlformats.org/officeDocument/2006/relationships/hyperlink" Target="https://cadmus-my.sharepoint.com/:x:/r/personal/sophie_kelly_cadmusgroup_com/Documents/Attachments/DRAFT%202023-2025%20Target%20and%20Budget%20for%20First%20Tracks%20-%20Jan%2010%202024.xlsx?d=w379de3ba61534593b05ce6cef4f2c9f9&amp;csf=1&amp;web=1&amp;e=dnNKMQ" TargetMode="External"/><Relationship Id="rId2" Type="http://schemas.openxmlformats.org/officeDocument/2006/relationships/hyperlink" Target="https://apexanalyticsllc.sharepoint.com/:b:/s/FirstTracksGasBenchmarking/EfvyPv2vlMZAku-SK-UeUAkBKf9v357Dh2dSkzBfuhcRYA?e=iRhS1a" TargetMode="External"/><Relationship Id="rId16" Type="http://schemas.openxmlformats.org/officeDocument/2006/relationships/hyperlink" Target="https://apexanalyticsllc.sharepoint.com/:b:/r/sites/FirstTracksGasBenchmarking/Shared%20Documents/General/Task%201%20Budget-Savings/Utility%20and%20Plan%20Data/CT%20Final%202023%20Plan%20Update%20to%202022%202024%20Plan.pdf?csf=1&amp;web=1&amp;e=0geRdX" TargetMode="External"/><Relationship Id="rId1" Type="http://schemas.openxmlformats.org/officeDocument/2006/relationships/hyperlink" Target="https://apexanalyticsllc.sharepoint.com/:b:/s/FirstTracksGasBenchmarking/EbdqK9AVw2RAj9Lx7oHbbNgBlF4KbIlEJvwqr1HvSPUjvQ?e=S86Scp" TargetMode="External"/><Relationship Id="rId6" Type="http://schemas.openxmlformats.org/officeDocument/2006/relationships/hyperlink" Target="https://apexanalyticsllc.sharepoint.com/:b:/s/FirstTracksGasBenchmarking/EQ8X6tOIgeFCmr54cwoG7ZcBvwmVy8I6fwTbmA-f9JxL-g?e=CvZUT9" TargetMode="External"/><Relationship Id="rId11" Type="http://schemas.openxmlformats.org/officeDocument/2006/relationships/hyperlink" Target="https://apexanalyticsllc.sharepoint.com/:b:/s/FirstTracksGasBenchmarking/EVVDd87g40ZOtPILR2LPiLEB4aej4tPZVBhWZWQ1I5RZ1Q?e=t2x1L5" TargetMode="External"/><Relationship Id="rId5" Type="http://schemas.openxmlformats.org/officeDocument/2006/relationships/hyperlink" Target="https://apexanalyticsllc.sharepoint.com/:b:/s/FirstTracksGasBenchmarking/EZwlACpVFqxCmhpaB1n3YisBJWNb4tAO7YEPXf1xOFJAMA?e=mGGXeW" TargetMode="External"/><Relationship Id="rId15" Type="http://schemas.openxmlformats.org/officeDocument/2006/relationships/hyperlink" Target="https://apexanalyticsllc.sharepoint.com/:b:/r/sites/FirstTracksGasBenchmarking/Shared%20Documents/General/Task%201%20Budget-Savings/Utility%20and%20Plan%20Data/DTE%20-%206.29.2023%20-%202024-25%20Energy%20Waste%20Reduction%20Plan%20-%20U-21322.pdf?csf=1&amp;web=1&amp;e=zEPsWv" TargetMode="External"/><Relationship Id="rId10" Type="http://schemas.openxmlformats.org/officeDocument/2006/relationships/hyperlink" Target="https://apexanalyticsllc.sharepoint.com/:b:/s/FirstTracksGasBenchmarking/EUsT_bMzB0tFg-eJNpgwInsBd6tvwOiNf6Vw9VyaTINzeA?e=mn1mQO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apexanalyticsllc.sharepoint.com/:x:/r/sites/FirstTracksGasBenchmarking/Shared%20Documents/General/Task%201%20Budget-Savings/Utility%20and%20Plan%20Data/Eversource%20MA%202022-2024%20Plan.xlsx?d=wf14c040c0dc140d9bd16243ce29759d7&amp;csf=1&amp;web=1&amp;e=JsdJB3" TargetMode="External"/><Relationship Id="rId9" Type="http://schemas.openxmlformats.org/officeDocument/2006/relationships/hyperlink" Target="https://apexanalyticsllc.sharepoint.com/:b:/s/FirstTracksGasBenchmarking/ETpbCZPc0JRNmjoKLyiz0zwByrGTbrzK_NLsj2mi6M60pA?e=jrKBeI" TargetMode="External"/><Relationship Id="rId14" Type="http://schemas.openxmlformats.org/officeDocument/2006/relationships/hyperlink" Target="https://apexanalyticsllc.sharepoint.com/:x:/s/FirstTracksGasBenchmarking/EaCzm_Ld6ONEjuFNhkw2_cAB0H1kmq1g_i0mHMtf47da_w?e=bnPd0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TargetMode="External"/><Relationship Id="rId13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TargetMode="External"/><Relationship Id="rId3" Type="http://schemas.openxmlformats.org/officeDocument/2006/relationships/hyperlink" Target="https://psc.utah.gov/2023/11/01/docket-no-23-057-17/" TargetMode="External"/><Relationship Id="rId7" Type="http://schemas.openxmlformats.org/officeDocument/2006/relationships/hyperlink" Target="https://www.cdn.fortisbc.com/libraries/docs/default-source/about-us-documents/regulatory-affairs-documents/gas-utility/230712-fei-2024-27-dsm-expenditures-application-ff.pdf?sfvrsn=2bc0ce61_1" TargetMode="External"/><Relationship Id="rId12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TargetMode="External"/><Relationship Id="rId2" Type="http://schemas.openxmlformats.org/officeDocument/2006/relationships/hyperlink" Target="https://www.utc.wa.gov/casedocket/2023/230893/docsets" TargetMode="External"/><Relationship Id="rId1" Type="http://schemas.openxmlformats.org/officeDocument/2006/relationships/hyperlink" Target="https://www.energytrust.org/wp-content/uploads/2023/10/Action-plans_2024-2025.pdf" TargetMode="External"/><Relationship Id="rId6" Type="http://schemas.openxmlformats.org/officeDocument/2006/relationships/hyperlink" Target="../../ChristinaCarlson/Downloads/%7b79CA39DD-1A12-4A3F-8850-BB77457FE666%7d%20(1).pdf" TargetMode="External"/><Relationship Id="rId11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TargetMode="External"/><Relationship Id="rId5" Type="http://schemas.openxmlformats.org/officeDocument/2006/relationships/hyperlink" Target="../../ChristinaCarlson/Downloads/%7b6B539BFB-53F5-4C21-BF9A-CDB7A9AAF093%7d.pdf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TargetMode="External"/><Relationship Id="rId4" Type="http://schemas.openxmlformats.org/officeDocument/2006/relationships/hyperlink" Target="https://poweringprogress.pseg.com/wp-content/uploads/2023/12/2023-12-01-PSEG-CEF-EE-II-Filing.pdf" TargetMode="External"/><Relationship Id="rId9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TargetMode="External"/><Relationship Id="rId14" Type="http://schemas.openxmlformats.org/officeDocument/2006/relationships/hyperlink" Target="https://apexanalyticsllc.sharepoint.com/sites/FirstTracksGasBenchmarking/Shared%20Documents/Forms/AllItems.aspx?ct=1707257174708&amp;or=OWA%2DNT&amp;cid=cf506258%2D201b%2D6c39%2D04c5%2Dfea32a98cba9&amp;ga=1&amp;WSL=1&amp;id=%2Fsites%2FFirstTracksGasBenchmarking%2FShared%20Documents%2FGeneral%2FTask%201%20Budget%2DSavings%2FUtility%20and%20Plan%20Data%2FMN%20Xcel%2023%2D92%20%2D%202024%2D2026%20MN%20Triennial%20Plan%20062923%2Epdf&amp;parent=%2Fsites%2FFirstTracksGasBenchmarking%2FShared%20Documents%2FGeneral%2FTask%201%20Budget%2DSavings%2FUtility%20and%20Plan%20Dat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rinterSettings" Target="../printerSettings/printerSettings3.bin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3.xml"/><Relationship Id="rId7" Type="http://schemas.openxmlformats.org/officeDocument/2006/relationships/drawing" Target="../drawings/drawing2.xml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6" Type="http://schemas.openxmlformats.org/officeDocument/2006/relationships/printerSettings" Target="../printerSettings/printerSettings5.bin"/><Relationship Id="rId5" Type="http://schemas.openxmlformats.org/officeDocument/2006/relationships/pivotTable" Target="../pivotTables/pivotTable25.xml"/><Relationship Id="rId4" Type="http://schemas.openxmlformats.org/officeDocument/2006/relationships/pivotTable" Target="../pivotTables/pivot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95E4-F6E6-40F4-AFCB-F8775F9429EC}">
  <dimension ref="A1:M24"/>
  <sheetViews>
    <sheetView tabSelected="1" zoomScaleNormal="100" workbookViewId="0">
      <selection activeCell="A2" sqref="A2:A3"/>
    </sheetView>
  </sheetViews>
  <sheetFormatPr defaultColWidth="53.7109375" defaultRowHeight="15" x14ac:dyDescent="0.25"/>
  <cols>
    <col min="1" max="1" width="48.85546875" bestFit="1" customWidth="1"/>
    <col min="2" max="2" width="33.85546875" bestFit="1" customWidth="1"/>
    <col min="3" max="3" width="23.7109375" customWidth="1"/>
    <col min="4" max="4" width="29.42578125" customWidth="1"/>
    <col min="5" max="5" width="47.85546875" customWidth="1"/>
    <col min="6" max="6" width="8.85546875" customWidth="1"/>
    <col min="7" max="7" width="9.5703125" bestFit="1" customWidth="1"/>
    <col min="8" max="8" width="16.140625" bestFit="1" customWidth="1"/>
    <col min="9" max="10" width="8.140625" customWidth="1"/>
    <col min="11" max="11" width="8" bestFit="1" customWidth="1"/>
    <col min="12" max="12" width="6.85546875" bestFit="1" customWidth="1"/>
    <col min="13" max="13" width="146.140625" bestFit="1" customWidth="1"/>
  </cols>
  <sheetData>
    <row r="1" spans="1:13" ht="16.5" thickBot="1" x14ac:dyDescent="0.3">
      <c r="A1" s="108" t="s">
        <v>0</v>
      </c>
      <c r="B1" s="108" t="s">
        <v>1</v>
      </c>
      <c r="C1" s="109" t="s">
        <v>2</v>
      </c>
      <c r="D1" s="109" t="s">
        <v>3</v>
      </c>
      <c r="E1" s="109" t="s">
        <v>4</v>
      </c>
      <c r="F1" s="107"/>
      <c r="G1" s="53" t="s">
        <v>5</v>
      </c>
      <c r="H1" s="53" t="s">
        <v>6</v>
      </c>
      <c r="K1" s="54" t="s">
        <v>7</v>
      </c>
      <c r="L1" s="54" t="s">
        <v>8</v>
      </c>
      <c r="M1" s="51" t="s">
        <v>9</v>
      </c>
    </row>
    <row r="2" spans="1:13" ht="45.75" thickBot="1" x14ac:dyDescent="0.3">
      <c r="A2" s="118" t="s">
        <v>10</v>
      </c>
      <c r="B2" s="110" t="s">
        <v>11</v>
      </c>
      <c r="C2" s="110" t="s">
        <v>12</v>
      </c>
      <c r="D2" s="111" t="s">
        <v>13</v>
      </c>
      <c r="E2" s="111" t="s">
        <v>14</v>
      </c>
      <c r="G2" s="52" t="s">
        <v>15</v>
      </c>
      <c r="H2" s="52" t="s">
        <v>16</v>
      </c>
      <c r="K2" s="54" t="s">
        <v>17</v>
      </c>
      <c r="L2" s="54">
        <v>0.9</v>
      </c>
    </row>
    <row r="3" spans="1:13" ht="48" thickBot="1" x14ac:dyDescent="0.3">
      <c r="A3" s="118"/>
      <c r="B3" s="112" t="s">
        <v>18</v>
      </c>
      <c r="C3" s="112" t="s">
        <v>19</v>
      </c>
      <c r="D3" s="113" t="s">
        <v>13</v>
      </c>
      <c r="E3" s="113" t="s">
        <v>20</v>
      </c>
      <c r="G3" s="52" t="s">
        <v>15</v>
      </c>
      <c r="H3" s="52" t="s">
        <v>21</v>
      </c>
      <c r="K3" s="54" t="s">
        <v>22</v>
      </c>
      <c r="L3" s="54">
        <v>0.9</v>
      </c>
    </row>
    <row r="4" spans="1:13" ht="48" thickBot="1" x14ac:dyDescent="0.3">
      <c r="A4" s="36" t="s">
        <v>23</v>
      </c>
      <c r="B4" s="110" t="s">
        <v>18</v>
      </c>
      <c r="C4" s="110" t="s">
        <v>24</v>
      </c>
      <c r="D4" s="111" t="s">
        <v>25</v>
      </c>
      <c r="E4" s="111" t="s">
        <v>26</v>
      </c>
      <c r="G4" s="52" t="s">
        <v>15</v>
      </c>
      <c r="H4" s="52" t="s">
        <v>27</v>
      </c>
      <c r="K4" s="54" t="s">
        <v>28</v>
      </c>
      <c r="L4" s="54">
        <v>0.9</v>
      </c>
    </row>
    <row r="5" spans="1:13" ht="30.75" thickBot="1" x14ac:dyDescent="0.3">
      <c r="A5" s="118" t="s">
        <v>29</v>
      </c>
      <c r="B5" s="112" t="s">
        <v>11</v>
      </c>
      <c r="C5" s="112" t="s">
        <v>30</v>
      </c>
      <c r="D5" s="113" t="s">
        <v>25</v>
      </c>
      <c r="E5" s="113" t="s">
        <v>31</v>
      </c>
      <c r="G5" s="52" t="s">
        <v>15</v>
      </c>
      <c r="H5" s="52" t="s">
        <v>32</v>
      </c>
      <c r="K5" s="54" t="s">
        <v>33</v>
      </c>
      <c r="L5" s="54">
        <v>0.9</v>
      </c>
    </row>
    <row r="6" spans="1:13" ht="30.75" thickBot="1" x14ac:dyDescent="0.3">
      <c r="A6" s="118"/>
      <c r="B6" s="110" t="s">
        <v>34</v>
      </c>
      <c r="C6" s="110" t="s">
        <v>35</v>
      </c>
      <c r="D6" s="111" t="s">
        <v>25</v>
      </c>
      <c r="E6" s="111" t="s">
        <v>31</v>
      </c>
      <c r="G6" s="52" t="s">
        <v>15</v>
      </c>
      <c r="H6" s="52" t="s">
        <v>36</v>
      </c>
      <c r="K6" s="54" t="s">
        <v>37</v>
      </c>
      <c r="L6" s="54">
        <v>0.9</v>
      </c>
    </row>
    <row r="7" spans="1:13" ht="63.75" thickBot="1" x14ac:dyDescent="0.3">
      <c r="A7" s="118" t="s">
        <v>38</v>
      </c>
      <c r="B7" s="112" t="s">
        <v>39</v>
      </c>
      <c r="C7" s="112" t="s">
        <v>40</v>
      </c>
      <c r="D7" s="113" t="s">
        <v>25</v>
      </c>
      <c r="E7" s="113" t="s">
        <v>41</v>
      </c>
      <c r="G7" s="52" t="s">
        <v>15</v>
      </c>
      <c r="H7" s="52" t="s">
        <v>42</v>
      </c>
      <c r="K7" s="54" t="s">
        <v>43</v>
      </c>
      <c r="L7" s="54">
        <v>0.9</v>
      </c>
    </row>
    <row r="8" spans="1:13" ht="79.5" thickBot="1" x14ac:dyDescent="0.3">
      <c r="A8" s="118"/>
      <c r="B8" s="110" t="s">
        <v>44</v>
      </c>
      <c r="C8" s="110" t="s">
        <v>45</v>
      </c>
      <c r="D8" s="111" t="s">
        <v>25</v>
      </c>
      <c r="E8" s="111" t="s">
        <v>46</v>
      </c>
      <c r="G8" s="52" t="s">
        <v>47</v>
      </c>
      <c r="H8" s="52" t="s">
        <v>48</v>
      </c>
      <c r="K8" s="54" t="s">
        <v>49</v>
      </c>
      <c r="L8" s="54">
        <v>1</v>
      </c>
    </row>
    <row r="9" spans="1:13" ht="63.75" thickBot="1" x14ac:dyDescent="0.3">
      <c r="A9" s="118" t="s">
        <v>50</v>
      </c>
      <c r="B9" s="112" t="s">
        <v>51</v>
      </c>
      <c r="C9" s="112" t="s">
        <v>52</v>
      </c>
      <c r="D9" s="113" t="s">
        <v>53</v>
      </c>
      <c r="E9" s="113" t="s">
        <v>54</v>
      </c>
      <c r="G9" s="52" t="s">
        <v>47</v>
      </c>
      <c r="H9" s="52" t="s">
        <v>55</v>
      </c>
    </row>
    <row r="10" spans="1:13" ht="32.25" thickBot="1" x14ac:dyDescent="0.3">
      <c r="A10" s="118"/>
      <c r="B10" s="110" t="s">
        <v>56</v>
      </c>
      <c r="C10" s="110" t="s">
        <v>57</v>
      </c>
      <c r="D10" s="111" t="s">
        <v>53</v>
      </c>
      <c r="E10" s="111" t="s">
        <v>54</v>
      </c>
      <c r="G10" s="52" t="s">
        <v>47</v>
      </c>
      <c r="H10" s="52" t="s">
        <v>21</v>
      </c>
    </row>
    <row r="11" spans="1:13" ht="63.75" thickBot="1" x14ac:dyDescent="0.3">
      <c r="A11" s="118" t="s">
        <v>58</v>
      </c>
      <c r="B11" s="112" t="s">
        <v>59</v>
      </c>
      <c r="C11" s="112" t="s">
        <v>60</v>
      </c>
      <c r="D11" s="113">
        <v>2024</v>
      </c>
      <c r="E11" s="113" t="s">
        <v>26</v>
      </c>
      <c r="G11" s="52" t="s">
        <v>47</v>
      </c>
      <c r="H11" s="52" t="s">
        <v>61</v>
      </c>
    </row>
    <row r="12" spans="1:13" ht="32.25" thickBot="1" x14ac:dyDescent="0.3">
      <c r="A12" s="118"/>
      <c r="B12" s="110" t="s">
        <v>62</v>
      </c>
      <c r="C12" s="110" t="s">
        <v>63</v>
      </c>
      <c r="D12" s="111">
        <v>2024</v>
      </c>
      <c r="E12" s="111" t="s">
        <v>64</v>
      </c>
      <c r="G12" s="52" t="s">
        <v>47</v>
      </c>
      <c r="H12" s="52" t="s">
        <v>32</v>
      </c>
    </row>
    <row r="13" spans="1:13" ht="32.25" thickBot="1" x14ac:dyDescent="0.3">
      <c r="A13" s="118"/>
      <c r="B13" s="112" t="s">
        <v>65</v>
      </c>
      <c r="C13" s="112" t="s">
        <v>66</v>
      </c>
      <c r="D13" s="113">
        <v>2024</v>
      </c>
      <c r="E13" s="113" t="s">
        <v>67</v>
      </c>
      <c r="G13" s="52" t="s">
        <v>47</v>
      </c>
      <c r="H13" s="52" t="s">
        <v>68</v>
      </c>
    </row>
    <row r="14" spans="1:13" ht="30.75" thickBot="1" x14ac:dyDescent="0.3">
      <c r="A14" s="36" t="s">
        <v>69</v>
      </c>
      <c r="B14" s="110" t="s">
        <v>70</v>
      </c>
      <c r="C14" s="110"/>
      <c r="D14" s="111">
        <v>2024</v>
      </c>
      <c r="E14" s="111" t="s">
        <v>64</v>
      </c>
      <c r="G14" s="52" t="s">
        <v>47</v>
      </c>
      <c r="H14" s="52" t="s">
        <v>71</v>
      </c>
    </row>
    <row r="15" spans="1:13" ht="95.25" thickBot="1" x14ac:dyDescent="0.3">
      <c r="A15" s="36" t="s">
        <v>72</v>
      </c>
      <c r="B15" s="112" t="s">
        <v>51</v>
      </c>
      <c r="C15" s="112" t="s">
        <v>73</v>
      </c>
      <c r="D15" s="113">
        <v>2022</v>
      </c>
      <c r="E15" s="113" t="s">
        <v>74</v>
      </c>
      <c r="G15" s="52" t="s">
        <v>47</v>
      </c>
      <c r="H15" s="52" t="s">
        <v>75</v>
      </c>
    </row>
    <row r="16" spans="1:13" ht="63.75" thickBot="1" x14ac:dyDescent="0.3">
      <c r="A16" s="36" t="s">
        <v>76</v>
      </c>
      <c r="B16" s="110" t="s">
        <v>77</v>
      </c>
      <c r="C16" s="110" t="s">
        <v>78</v>
      </c>
      <c r="D16" s="111" t="s">
        <v>53</v>
      </c>
      <c r="E16" s="111" t="s">
        <v>79</v>
      </c>
    </row>
    <row r="17" spans="1:5" ht="32.25" thickBot="1" x14ac:dyDescent="0.3">
      <c r="A17" s="36" t="s">
        <v>80</v>
      </c>
      <c r="B17" s="112" t="s">
        <v>81</v>
      </c>
      <c r="C17" s="112" t="s">
        <v>82</v>
      </c>
      <c r="D17" s="113" t="s">
        <v>83</v>
      </c>
      <c r="E17" s="113" t="s">
        <v>84</v>
      </c>
    </row>
    <row r="18" spans="1:5" ht="126.75" thickBot="1" x14ac:dyDescent="0.3">
      <c r="A18" s="36" t="s">
        <v>85</v>
      </c>
      <c r="B18" s="110" t="s">
        <v>86</v>
      </c>
      <c r="C18" s="110" t="s">
        <v>87</v>
      </c>
      <c r="D18" s="111" t="s">
        <v>88</v>
      </c>
      <c r="E18" s="111" t="s">
        <v>89</v>
      </c>
    </row>
    <row r="19" spans="1:5" ht="30.75" thickBot="1" x14ac:dyDescent="0.3">
      <c r="A19" s="36"/>
      <c r="B19" s="112" t="s">
        <v>90</v>
      </c>
      <c r="C19" s="112"/>
      <c r="D19" s="113" t="s">
        <v>25</v>
      </c>
      <c r="E19" s="113" t="s">
        <v>91</v>
      </c>
    </row>
    <row r="20" spans="1:5" ht="45.75" thickBot="1" x14ac:dyDescent="0.3">
      <c r="A20" s="118" t="s">
        <v>92</v>
      </c>
      <c r="B20" s="111" t="s">
        <v>93</v>
      </c>
      <c r="C20" s="111" t="s">
        <v>94</v>
      </c>
      <c r="D20" s="111" t="s">
        <v>25</v>
      </c>
      <c r="E20" s="111" t="s">
        <v>91</v>
      </c>
    </row>
    <row r="21" spans="1:5" ht="126.75" thickBot="1" x14ac:dyDescent="0.3">
      <c r="A21" s="118"/>
      <c r="B21" s="112" t="s">
        <v>95</v>
      </c>
      <c r="C21" s="112" t="s">
        <v>96</v>
      </c>
      <c r="D21" s="113" t="s">
        <v>25</v>
      </c>
      <c r="E21" s="113" t="s">
        <v>97</v>
      </c>
    </row>
    <row r="22" spans="1:5" ht="60.75" thickBot="1" x14ac:dyDescent="0.3">
      <c r="A22" s="36" t="s">
        <v>98</v>
      </c>
      <c r="B22" s="111" t="s">
        <v>99</v>
      </c>
      <c r="C22" s="111" t="s">
        <v>100</v>
      </c>
      <c r="D22" s="111">
        <v>2024</v>
      </c>
      <c r="E22" s="111" t="s">
        <v>101</v>
      </c>
    </row>
    <row r="24" spans="1:5" ht="15.75" x14ac:dyDescent="0.25">
      <c r="A24" s="42" t="s">
        <v>102</v>
      </c>
    </row>
  </sheetData>
  <mergeCells count="6">
    <mergeCell ref="A20:A21"/>
    <mergeCell ref="A2:A3"/>
    <mergeCell ref="A5:A6"/>
    <mergeCell ref="A7:A8"/>
    <mergeCell ref="A9:A10"/>
    <mergeCell ref="A11:A13"/>
  </mergeCells>
  <hyperlinks>
    <hyperlink ref="C5" r:id="rId1" display="../../../../../:b:/s/FirstTracksGasBenchmarking/EbdqK9AVw2RAj9Lx7oHbbNgBlF4KbIlEJvwqr1HvSPUjvQ?e=S86Scp" xr:uid="{6429F393-7EBE-4A47-8CED-0B6E88462263}"/>
    <hyperlink ref="C6" r:id="rId2" display="../../../../../:b:/s/FirstTracksGasBenchmarking/EfvyPv2vlMZAku-SK-UeUAkBKf9v357Dh2dSkzBfuhcRYA?e=iRhS1a" xr:uid="{D43550F0-DAE7-4C89-9A32-3C697F7FDDD8}"/>
    <hyperlink ref="C2" r:id="rId3" display="../../../../../:x:/r/sites/FirstTracksGasBenchmarking/Shared Documents/General/Task 1 Budget-Savings/Utility and Plan Data/NGrid MA 2022-2024 Plan.xlsx?d=wdafbcd9a7f044303b27e2721f2f1973a&amp;csf=1&amp;web=1&amp;e=fPtgNM" xr:uid="{0367FE23-1198-4E0F-8327-7280136B767D}"/>
    <hyperlink ref="C3" r:id="rId4" display="../../../../../:x:/r/sites/FirstTracksGasBenchmarking/Shared Documents/General/Task 1 Budget-Savings/Utility and Plan Data/Eversource MA 2022-2024 Plan.xlsx?d=wf14c040c0dc140d9bd16243ce29759d7&amp;csf=1&amp;web=1&amp;e=JsdJB3" xr:uid="{EDF0FB9F-067E-4850-BBA2-98A5E83FB656}"/>
    <hyperlink ref="C11" r:id="rId5" display="../../../../../:b:/s/FirstTracksGasBenchmarking/EZwlACpVFqxCmhpaB1n3YisBJWNb4tAO7YEPXf1xOFJAMA?e=mGGXeW" xr:uid="{814E86C6-7944-44AD-85C9-6F5D6147FF03}"/>
    <hyperlink ref="C12" r:id="rId6" display="../../../../../:b:/s/FirstTracksGasBenchmarking/EQ8X6tOIgeFCmr54cwoG7ZcBvwmVy8I6fwTbmA-f9JxL-g?e=CvZUT9" xr:uid="{CAC9EE3F-E4B5-4CC9-982A-50650E13B43F}"/>
    <hyperlink ref="C10" r:id="rId7" display="../../../../../:b:/s/FirstTracksGasBenchmarking/EWR5UL59PXJMuYCRLdu9EAgB01stfMg2a3mMNiZLQquPaA?e=q9PiMi" xr:uid="{F4DBFA91-7BA6-4783-A703-B1440103FA44}"/>
    <hyperlink ref="C13" r:id="rId8" display="../../../../../:b:/s/FirstTracksGasBenchmarking/EdFZgcq2VrtOoUzqjPYcIrEB1W2m-tJ5fR9b0K7TA1Qamg?e=6mdlOK" xr:uid="{FBD78151-E5C4-4B17-B79E-ECDA4158B47B}"/>
    <hyperlink ref="C15" r:id="rId9" display="../../../../../:b:/s/FirstTracksGasBenchmarking/ETpbCZPc0JRNmjoKLyiz0zwByrGTbrzK_NLsj2mi6M60pA?e=jrKBeI" xr:uid="{212D7B8B-71AC-41C7-90AB-2F074C572101}"/>
    <hyperlink ref="C9" r:id="rId10" display="../../../../../:b:/s/FirstTracksGasBenchmarking/EUsT_bMzB0tFg-eJNpgwInsBd6tvwOiNf6Vw9VyaTINzeA?e=mn1mQO" xr:uid="{CA7319EF-AE25-43F2-9EBC-E3ABFA7092E7}"/>
    <hyperlink ref="C17" r:id="rId11" display="../../../../../:b:/s/FirstTracksGasBenchmarking/EVVDd87g40ZOtPILR2LPiLEB4aej4tPZVBhWZWQ1I5RZ1Q?e=t2x1L5" xr:uid="{AC3C1B78-5F4D-477A-B12F-336D4DC6B29F}"/>
    <hyperlink ref="C20" r:id="rId12" display="../../../../../:b:/s/FirstTracksGasBenchmarking/EXO6CgtLdbVEvQXbLUYIcoEB7oaVOxc2BHnXqiocCO2k_Q?e=e3hkae" xr:uid="{D123A207-19E8-4F18-B7E7-2EA3C398DB63}"/>
    <hyperlink ref="C22" r:id="rId13" display="../../../../../:x:/s/FirstTracksGasBenchmarking/ERgey8lWlxNEiAq_QKB3f9IBT8Bw2P6MIJDipN7Zc6-bPg?e=dLaHLY" xr:uid="{43C6B3EB-ADBC-4CFE-8AC1-EAEB2207B6D7}"/>
    <hyperlink ref="C7" r:id="rId14" display="../../../../../:x:/s/FirstTracksGasBenchmarking/EaCzm_Ld6ONEjuFNhkw2_cAB0H1kmq1g_i0mHMtf47da_w?e=bnPd0F" xr:uid="{908ACE5A-5F59-4C7F-8A56-9AB102ED528D}"/>
    <hyperlink ref="C8" r:id="rId15" display="../../../../../:b:/r/sites/FirstTracksGasBenchmarking/Shared Documents/General/Task 1 Budget-Savings/Utility and Plan Data/DTE - 6.29.2023 - 2024-25 Energy Waste Reduction Plan - U-21322.pdf?csf=1&amp;web=1&amp;e=zEPsWv" xr:uid="{B4191889-8E84-44E0-B600-A8305B59BD0D}"/>
    <hyperlink ref="C4" r:id="rId16" display="../../../../../:b:/r/sites/FirstTracksGasBenchmarking/Shared Documents/General/Task 1 Budget-Savings/Utility and Plan Data/CT Final 2023 Plan Update to 2022 2024 Plan.pdf?csf=1&amp;web=1&amp;e=0geRdX" xr:uid="{9D62AE5E-76D2-4699-9326-F2FDB81686F0}"/>
    <hyperlink ref="C16" r:id="rId17" display="https://cadmus-my.sharepoint.com/:x:/r/personal/sophie_kelly_cadmusgroup_com/Documents/Attachments/DRAFT 2023-2025 Target and Budget for First Tracks - Jan 10 2024.xlsx?d=w379de3ba61534593b05ce6cef4f2c9f9&amp;csf=1&amp;web=1&amp;e=dnNKMQ" xr:uid="{CDF4B847-B10C-447C-AF9C-626480898580}"/>
    <hyperlink ref="C18" r:id="rId18" xr:uid="{1CEE3839-8A3D-449F-AAE3-C3D4B087421D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E1F2-C292-4371-BAAF-3C0451EF809B}">
  <dimension ref="A1:AK1492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2" max="2" width="7.5703125" bestFit="1" customWidth="1"/>
    <col min="3" max="3" width="4.85546875" bestFit="1" customWidth="1"/>
    <col min="4" max="4" width="11.140625" bestFit="1" customWidth="1"/>
    <col min="5" max="5" width="12.5703125" bestFit="1" customWidth="1"/>
    <col min="6" max="6" width="8.140625" bestFit="1" customWidth="1"/>
    <col min="7" max="7" width="4.85546875" bestFit="1" customWidth="1"/>
    <col min="8" max="8" width="31.42578125" customWidth="1"/>
    <col min="9" max="9" width="36.28515625" bestFit="1" customWidth="1"/>
    <col min="10" max="11" width="12.28515625" bestFit="1" customWidth="1"/>
    <col min="12" max="12" width="11.42578125" customWidth="1"/>
    <col min="13" max="13" width="17" bestFit="1" customWidth="1"/>
    <col min="14" max="14" width="16.85546875" bestFit="1" customWidth="1"/>
    <col min="15" max="15" width="14.140625" bestFit="1" customWidth="1"/>
    <col min="16" max="16" width="14" bestFit="1" customWidth="1"/>
    <col min="17" max="17" width="11.42578125" customWidth="1"/>
    <col min="18" max="18" width="14.140625" bestFit="1" customWidth="1"/>
    <col min="19" max="19" width="12.85546875" bestFit="1" customWidth="1"/>
    <col min="20" max="20" width="11.42578125" customWidth="1"/>
    <col min="21" max="28" width="10.42578125" customWidth="1"/>
    <col min="30" max="30" width="21.85546875" customWidth="1"/>
    <col min="31" max="31" width="18.140625" bestFit="1" customWidth="1"/>
    <col min="32" max="32" width="17.5703125" bestFit="1" customWidth="1"/>
    <col min="33" max="33" width="17.7109375" customWidth="1"/>
    <col min="35" max="35" width="10.85546875" bestFit="1" customWidth="1"/>
    <col min="36" max="36" width="3.85546875" customWidth="1"/>
    <col min="37" max="37" width="13.85546875" bestFit="1" customWidth="1"/>
    <col min="38" max="38" width="8.7109375" bestFit="1" customWidth="1"/>
  </cols>
  <sheetData>
    <row r="1" spans="1:37" x14ac:dyDescent="0.25">
      <c r="O1" s="119" t="s">
        <v>5</v>
      </c>
      <c r="P1" s="119"/>
      <c r="Q1" s="119"/>
      <c r="R1" s="119" t="s">
        <v>103</v>
      </c>
      <c r="S1" s="119"/>
      <c r="T1" s="119"/>
      <c r="AD1" s="119" t="s">
        <v>104</v>
      </c>
      <c r="AE1" s="119"/>
      <c r="AF1" s="119"/>
      <c r="AG1" s="119"/>
      <c r="AH1" s="119"/>
      <c r="AI1" s="119"/>
    </row>
    <row r="2" spans="1:37" x14ac:dyDescent="0.25">
      <c r="A2" t="s">
        <v>105</v>
      </c>
      <c r="B2" s="6" t="s">
        <v>106</v>
      </c>
      <c r="C2" s="6" t="s">
        <v>7</v>
      </c>
      <c r="D2" s="6" t="s">
        <v>1</v>
      </c>
      <c r="E2" s="6" t="s">
        <v>107</v>
      </c>
      <c r="F2" s="6" t="s">
        <v>5</v>
      </c>
      <c r="G2" s="6" t="s">
        <v>108</v>
      </c>
      <c r="H2" s="6" t="s">
        <v>109</v>
      </c>
      <c r="I2" s="6" t="s">
        <v>110</v>
      </c>
      <c r="J2" s="6" t="s">
        <v>111</v>
      </c>
      <c r="K2" s="6" t="s">
        <v>112</v>
      </c>
      <c r="L2" s="6" t="s">
        <v>113</v>
      </c>
      <c r="M2" s="6" t="s">
        <v>114</v>
      </c>
      <c r="N2" s="6" t="s">
        <v>115</v>
      </c>
      <c r="O2" s="6" t="s">
        <v>116</v>
      </c>
      <c r="P2" s="6" t="s">
        <v>117</v>
      </c>
      <c r="Q2" s="6" t="s">
        <v>118</v>
      </c>
      <c r="R2" s="6" t="s">
        <v>116</v>
      </c>
      <c r="S2" s="6" t="s">
        <v>117</v>
      </c>
      <c r="T2" s="6" t="s">
        <v>118</v>
      </c>
      <c r="U2" s="6" t="s">
        <v>119</v>
      </c>
      <c r="V2" s="6" t="s">
        <v>120</v>
      </c>
      <c r="W2" s="6" t="s">
        <v>121</v>
      </c>
      <c r="X2" s="6" t="s">
        <v>122</v>
      </c>
      <c r="Y2" s="6" t="s">
        <v>123</v>
      </c>
      <c r="Z2" s="6" t="s">
        <v>124</v>
      </c>
      <c r="AA2" s="26" t="s">
        <v>125</v>
      </c>
      <c r="AB2" s="26" t="s">
        <v>2</v>
      </c>
      <c r="AC2" s="26" t="s">
        <v>126</v>
      </c>
      <c r="AD2" s="26" t="s">
        <v>127</v>
      </c>
      <c r="AE2" s="26" t="s">
        <v>128</v>
      </c>
      <c r="AF2" s="26" t="s">
        <v>129</v>
      </c>
      <c r="AG2" s="26" t="s">
        <v>130</v>
      </c>
      <c r="AH2" s="26" t="s">
        <v>131</v>
      </c>
      <c r="AI2" s="26" t="s">
        <v>132</v>
      </c>
      <c r="AJ2" s="7" t="s">
        <v>15</v>
      </c>
      <c r="AK2" s="7" t="s">
        <v>133</v>
      </c>
    </row>
    <row r="3" spans="1:37" x14ac:dyDescent="0.25">
      <c r="B3" s="4">
        <v>2022</v>
      </c>
      <c r="C3" s="4" t="s">
        <v>134</v>
      </c>
      <c r="D3" s="4" t="s">
        <v>18</v>
      </c>
      <c r="E3" s="4" t="str">
        <f t="shared" ref="E3:E76" si="0">D3&amp;"-"&amp;C3</f>
        <v>Eversource-MA</v>
      </c>
      <c r="F3" s="4" t="s">
        <v>135</v>
      </c>
      <c r="G3" s="4"/>
      <c r="H3" s="4" t="s">
        <v>136</v>
      </c>
      <c r="I3" s="4" t="s">
        <v>137</v>
      </c>
      <c r="J3" s="4" t="s">
        <v>32</v>
      </c>
      <c r="K3" s="5">
        <v>82676.961230808898</v>
      </c>
      <c r="L3" s="5">
        <v>118399</v>
      </c>
      <c r="M3" s="8">
        <v>1275000</v>
      </c>
      <c r="N3" s="8">
        <v>990000</v>
      </c>
      <c r="O3" s="8">
        <f>SUMIFS(EIAwtransport!$J$2:$J$675,EIAwtransport!$E$2:$E$675,Program_data!$E3,EIAwtransport!$H$2:$H$675,Program_data!$F3,EIAwtransport!$I$2:$I$675,Program_data!O$2)</f>
        <v>684203348</v>
      </c>
      <c r="P3" s="5">
        <f>SUMIFS(EIAwtransport!$J$2:$J$675,EIAwtransport!$E$2:$E$675,Program_data!$E3,EIAwtransport!$H$2:$H$675,Program_data!$F3,EIAwtransport!$I$2:$I$675,Program_data!P$2)</f>
        <v>44515571</v>
      </c>
      <c r="Q3" s="5">
        <f>SUMIFS(EIAwtransport!$J$2:$J$675,EIAwtransport!$E$2:$E$675,Program_data!$E3,EIAwtransport!$H$2:$H$675,Program_data!$F3,EIAwtransport!$I$2:$I$675,Program_data!Q$2)</f>
        <v>576322</v>
      </c>
      <c r="R3" s="8">
        <f>SUMIFS(EIAwtransport!$J$2:$J$675,EIAwtransport!$E$2:$E$675,Program_data!$E3,EIAwtransport!$I$2:$I$675,Program_data!R$2)</f>
        <v>985639997</v>
      </c>
      <c r="S3" s="5">
        <f>SUMIFS(EIAwtransport!$J$2:$J$675,EIAwtransport!$E$2:$E$675,Program_data!$E3,EIAwtransport!$I$2:$I$675,Program_data!S$2)</f>
        <v>84062939</v>
      </c>
      <c r="T3" s="5">
        <f>SUMIFS(EIAwtransport!$J$2:$J$675,EIAwtransport!$E$2:$E$675,Program_data!$E3,EIAwtransport!$I$2:$I$675,Program_data!T$2)</f>
        <v>631529</v>
      </c>
      <c r="U3" s="24">
        <f>IFERROR(K3/10.36/S3,"")</f>
        <v>9.4933650406934888E-5</v>
      </c>
      <c r="V3" s="24">
        <f>IFERROR(L3/10.36/S3,"")</f>
        <v>1.3595140783115975E-4</v>
      </c>
      <c r="W3" s="24">
        <f t="shared" ref="W3:W17" si="1">IFERROR(M3/R3,"")</f>
        <v>1.293575751674777E-3</v>
      </c>
      <c r="X3" s="25">
        <f t="shared" ref="X3:X17" si="2">IFERROR(M3/S3/10.36,"")</f>
        <v>1.4640161233180067E-3</v>
      </c>
      <c r="Y3" s="8">
        <f>IFERROR(M3/SUMIFS($K$3:$K$1492,$E$3:$E$1492,E3,$B$3:$B$1492,B3,$F$3:$F$1492,F3,$A$3:$A$1492,""),"")</f>
        <v>0.74938560610346228</v>
      </c>
      <c r="Z3" s="27">
        <f>IFERROR(M3/SUMIFS($K$3:$K$1492,$E$3:$E$1492,E3,$B$3:$B$1492,B3,$A$3:$A$1492,""),"")</f>
        <v>0.30704351525463736</v>
      </c>
      <c r="AB3" s="27"/>
      <c r="AC3" s="56">
        <f t="shared" ref="AC3:AC18" si="3">IFERROR(K3/SUMIFS($M$3:$M$1234,$E$3:$E$1234,E3,$B$3:$B$1234,B3),"")</f>
        <v>1.1919117888100467E-3</v>
      </c>
      <c r="AD3" s="20">
        <f t="shared" ref="AD3:AD16" si="4">M3*1.35</f>
        <v>1721250</v>
      </c>
      <c r="AE3" s="20">
        <f>N3*1.35</f>
        <v>1336500</v>
      </c>
      <c r="AF3" s="20">
        <f>R3*1.35</f>
        <v>1330613995.95</v>
      </c>
      <c r="AG3">
        <f>K3*105.48</f>
        <v>8720765.8706257232</v>
      </c>
      <c r="AH3">
        <f>L3*105.48</f>
        <v>12488726.52</v>
      </c>
      <c r="AI3">
        <f>S3*105.48</f>
        <v>8866958805.7200012</v>
      </c>
      <c r="AJ3" s="7" t="s">
        <v>138</v>
      </c>
      <c r="AK3" s="7" t="s">
        <v>32</v>
      </c>
    </row>
    <row r="4" spans="1:37" x14ac:dyDescent="0.25">
      <c r="B4" s="4">
        <v>2022</v>
      </c>
      <c r="C4" s="4" t="s">
        <v>134</v>
      </c>
      <c r="D4" s="4" t="s">
        <v>18</v>
      </c>
      <c r="E4" s="4" t="str">
        <f t="shared" si="0"/>
        <v>Eversource-MA</v>
      </c>
      <c r="F4" s="4" t="s">
        <v>135</v>
      </c>
      <c r="G4" s="4"/>
      <c r="H4" s="4" t="s">
        <v>139</v>
      </c>
      <c r="I4" s="4" t="s">
        <v>140</v>
      </c>
      <c r="J4" s="4" t="s">
        <v>27</v>
      </c>
      <c r="K4" s="5">
        <v>1174163.3984679312</v>
      </c>
      <c r="L4" s="5">
        <v>1211987</v>
      </c>
      <c r="M4" s="8">
        <v>27155000</v>
      </c>
      <c r="N4" s="8">
        <v>22680000</v>
      </c>
      <c r="O4" s="8">
        <f>SUMIFS(EIAwtransport!$J$2:$J$675,EIAwtransport!$E$2:$E$675,Program_data!$E4,EIAwtransport!$H$2:$H$675,Program_data!$F4,EIAwtransport!$I$2:$I$675,Program_data!O$2)</f>
        <v>684203348</v>
      </c>
      <c r="P4" s="5">
        <f>SUMIFS(EIAwtransport!$J$2:$J$675,EIAwtransport!$E$2:$E$675,Program_data!$E4,EIAwtransport!$H$2:$H$675,Program_data!$F4,EIAwtransport!$I$2:$I$675,Program_data!P$2)</f>
        <v>44515571</v>
      </c>
      <c r="Q4" s="5">
        <f>SUMIFS(EIAwtransport!$J$2:$J$675,EIAwtransport!$E$2:$E$675,Program_data!$E4,EIAwtransport!$H$2:$H$675,Program_data!$F4,EIAwtransport!$I$2:$I$675,Program_data!Q$2)</f>
        <v>576322</v>
      </c>
      <c r="R4" s="8">
        <f>SUMIFS(EIAwtransport!$J$2:$J$675,EIAwtransport!$E$2:$E$675,Program_data!$E4,EIAwtransport!$I$2:$I$675,Program_data!R$2)</f>
        <v>985639997</v>
      </c>
      <c r="S4" s="5">
        <f>SUMIFS(EIAwtransport!$J$2:$J$675,EIAwtransport!$E$2:$E$675,Program_data!$E4,EIAwtransport!$I$2:$I$675,Program_data!S$2)</f>
        <v>84062939</v>
      </c>
      <c r="T4" s="5">
        <f>SUMIFS(EIAwtransport!$J$2:$J$675,EIAwtransport!$E$2:$E$675,Program_data!$E4,EIAwtransport!$I$2:$I$675,Program_data!T$2)</f>
        <v>631529</v>
      </c>
      <c r="U4" s="24">
        <f t="shared" ref="U4:U17" si="5">IFERROR(K4/10.36/S4,"")</f>
        <v>1.3482307033466012E-3</v>
      </c>
      <c r="V4" s="24">
        <f t="shared" ref="V4:V48" si="6">IFERROR(L4/10.36/S4,"")</f>
        <v>1.3916615758837812E-3</v>
      </c>
      <c r="W4" s="24">
        <f t="shared" si="1"/>
        <v>2.7550627087630251E-2</v>
      </c>
      <c r="X4" s="25">
        <f t="shared" si="2"/>
        <v>3.1180672806823899E-2</v>
      </c>
      <c r="Y4" s="8">
        <f t="shared" ref="Y4:Y67" si="7">IFERROR(M4/SUMIFS($K$3:$K$1492,$E$3:$E$1492,E4,$B$3:$B$1492,B4,$F$3:$F$1492,F4,$A$3:$A$1492,""),"")</f>
        <v>15.960444026462367</v>
      </c>
      <c r="Z4" s="27">
        <f t="shared" ref="Z4:Z67" si="8">IFERROR(M4/SUMIFS($K$3:$K$1492,$E$3:$E$1492,E4,$B$3:$B$1492,B4,$A$3:$A$1492,""),"")</f>
        <v>6.5394248288154326</v>
      </c>
      <c r="AA4" s="27"/>
      <c r="AB4" s="27"/>
      <c r="AC4" s="56">
        <f t="shared" si="3"/>
        <v>1.6927317789489384E-2</v>
      </c>
      <c r="AD4" s="20">
        <f t="shared" si="4"/>
        <v>36659250</v>
      </c>
      <c r="AE4" s="20">
        <f t="shared" ref="AE4:AE67" si="9">N4*1.35</f>
        <v>30618000.000000004</v>
      </c>
      <c r="AF4" s="20">
        <f t="shared" ref="AF4:AF67" si="10">R4*1.35</f>
        <v>1330613995.95</v>
      </c>
      <c r="AG4">
        <f t="shared" ref="AG4:AG67" si="11">K4*105.48</f>
        <v>123850755.27039738</v>
      </c>
      <c r="AH4">
        <f t="shared" ref="AH4:AH67" si="12">L4*105.48</f>
        <v>127840388.76000001</v>
      </c>
      <c r="AI4">
        <f t="shared" ref="AI4:AI67" si="13">S4*105.48</f>
        <v>8866958805.7200012</v>
      </c>
      <c r="AJ4" s="7" t="s">
        <v>138</v>
      </c>
      <c r="AK4" s="7" t="s">
        <v>75</v>
      </c>
    </row>
    <row r="5" spans="1:37" x14ac:dyDescent="0.25">
      <c r="B5" s="4">
        <v>2022</v>
      </c>
      <c r="C5" s="4" t="s">
        <v>134</v>
      </c>
      <c r="D5" s="4" t="s">
        <v>18</v>
      </c>
      <c r="E5" s="4" t="str">
        <f t="shared" si="0"/>
        <v>Eversource-MA</v>
      </c>
      <c r="F5" s="4" t="s">
        <v>135</v>
      </c>
      <c r="G5" s="4"/>
      <c r="H5" s="4" t="s">
        <v>139</v>
      </c>
      <c r="I5" s="4" t="s">
        <v>141</v>
      </c>
      <c r="J5" s="4" t="s">
        <v>142</v>
      </c>
      <c r="K5" s="5">
        <v>444553.4082300904</v>
      </c>
      <c r="L5" s="5">
        <v>565811</v>
      </c>
      <c r="M5" s="8">
        <v>8100000</v>
      </c>
      <c r="N5" s="8">
        <v>7450000</v>
      </c>
      <c r="O5" s="8">
        <f>SUMIFS(EIAwtransport!$J$2:$J$675,EIAwtransport!$E$2:$E$675,Program_data!$E5,EIAwtransport!$H$2:$H$675,Program_data!$F5,EIAwtransport!$I$2:$I$675,Program_data!O$2)</f>
        <v>684203348</v>
      </c>
      <c r="P5" s="5">
        <f>SUMIFS(EIAwtransport!$J$2:$J$675,EIAwtransport!$E$2:$E$675,Program_data!$E5,EIAwtransport!$H$2:$H$675,Program_data!$F5,EIAwtransport!$I$2:$I$675,Program_data!P$2)</f>
        <v>44515571</v>
      </c>
      <c r="Q5" s="5">
        <f>SUMIFS(EIAwtransport!$J$2:$J$675,EIAwtransport!$E$2:$E$675,Program_data!$E5,EIAwtransport!$H$2:$H$675,Program_data!$F5,EIAwtransport!$I$2:$I$675,Program_data!Q$2)</f>
        <v>576322</v>
      </c>
      <c r="R5" s="8">
        <f>SUMIFS(EIAwtransport!$J$2:$J$675,EIAwtransport!$E$2:$E$675,Program_data!$E5,EIAwtransport!$I$2:$I$675,Program_data!R$2)</f>
        <v>985639997</v>
      </c>
      <c r="S5" s="5">
        <f>SUMIFS(EIAwtransport!$J$2:$J$675,EIAwtransport!$E$2:$E$675,Program_data!$E5,EIAwtransport!$I$2:$I$675,Program_data!S$2)</f>
        <v>84062939</v>
      </c>
      <c r="T5" s="5">
        <f>SUMIFS(EIAwtransport!$J$2:$J$675,EIAwtransport!$E$2:$E$675,Program_data!$E5,EIAwtransport!$I$2:$I$675,Program_data!T$2)</f>
        <v>631529</v>
      </c>
      <c r="U5" s="24">
        <f t="shared" si="5"/>
        <v>5.1045753515672489E-4</v>
      </c>
      <c r="V5" s="24">
        <f t="shared" si="6"/>
        <v>6.4969131509857623E-4</v>
      </c>
      <c r="W5" s="24">
        <f t="shared" si="1"/>
        <v>8.2180106576985844E-3</v>
      </c>
      <c r="X5" s="25">
        <f t="shared" si="2"/>
        <v>9.3008083128438071E-3</v>
      </c>
      <c r="Y5" s="8">
        <f t="shared" si="7"/>
        <v>4.7608026740690548</v>
      </c>
      <c r="Z5" s="27">
        <f t="shared" si="8"/>
        <v>1.9506293910294608</v>
      </c>
      <c r="AA5" s="27"/>
      <c r="AB5" s="27"/>
      <c r="AC5" s="56">
        <f t="shared" si="3"/>
        <v>6.4089008610983987E-3</v>
      </c>
      <c r="AD5" s="20">
        <f t="shared" si="4"/>
        <v>10935000</v>
      </c>
      <c r="AE5" s="20">
        <f t="shared" si="9"/>
        <v>10057500</v>
      </c>
      <c r="AF5" s="20">
        <f t="shared" si="10"/>
        <v>1330613995.95</v>
      </c>
      <c r="AG5">
        <f t="shared" si="11"/>
        <v>46891493.500109933</v>
      </c>
      <c r="AH5">
        <f t="shared" si="12"/>
        <v>59681744.280000001</v>
      </c>
      <c r="AI5">
        <f t="shared" si="13"/>
        <v>8866958805.7200012</v>
      </c>
      <c r="AJ5" s="7" t="s">
        <v>138</v>
      </c>
      <c r="AK5" s="7" t="s">
        <v>68</v>
      </c>
    </row>
    <row r="6" spans="1:37" x14ac:dyDescent="0.25">
      <c r="B6" s="4">
        <v>2022</v>
      </c>
      <c r="C6" s="4" t="s">
        <v>134</v>
      </c>
      <c r="D6" s="4" t="s">
        <v>18</v>
      </c>
      <c r="E6" s="4" t="str">
        <f t="shared" si="0"/>
        <v>Eversource-MA</v>
      </c>
      <c r="F6" s="4" t="s">
        <v>143</v>
      </c>
      <c r="G6" s="4">
        <v>1</v>
      </c>
      <c r="H6" s="4" t="s">
        <v>144</v>
      </c>
      <c r="I6" s="4" t="s">
        <v>145</v>
      </c>
      <c r="J6" s="4" t="s">
        <v>108</v>
      </c>
      <c r="K6" s="5">
        <v>488350.80554349697</v>
      </c>
      <c r="L6" s="5">
        <v>488351</v>
      </c>
      <c r="M6" s="8">
        <v>16100000</v>
      </c>
      <c r="N6" s="8">
        <v>13570000</v>
      </c>
      <c r="O6" s="8">
        <f>SUMIFS(EIAwtransport!$J$2:$J$675,EIAwtransport!$E$2:$E$675,Program_data!$E6,EIAwtransport!$H$2:$H$675,Program_data!$F6,EIAwtransport!$I$2:$I$675,Program_data!O$2)</f>
        <v>0</v>
      </c>
      <c r="P6" s="5">
        <f>SUMIFS(EIAwtransport!$J$2:$J$675,EIAwtransport!$E$2:$E$675,Program_data!$E6,EIAwtransport!$H$2:$H$675,Program_data!$F6,EIAwtransport!$I$2:$I$675,Program_data!P$2)</f>
        <v>0</v>
      </c>
      <c r="Q6" s="5">
        <f>SUMIFS(EIAwtransport!$J$2:$J$675,EIAwtransport!$E$2:$E$675,Program_data!$E6,EIAwtransport!$H$2:$H$675,Program_data!$F6,EIAwtransport!$I$2:$I$675,Program_data!Q$2)</f>
        <v>0</v>
      </c>
      <c r="R6" s="8">
        <f>SUMIFS(EIAwtransport!$J$2:$J$675,EIAwtransport!$E$2:$E$675,Program_data!$E6,EIAwtransport!$I$2:$I$675,Program_data!R$2)</f>
        <v>985639997</v>
      </c>
      <c r="S6" s="5">
        <f>SUMIFS(EIAwtransport!$J$2:$J$675,EIAwtransport!$E$2:$E$675,Program_data!$E6,EIAwtransport!$I$2:$I$675,Program_data!S$2)</f>
        <v>84062939</v>
      </c>
      <c r="T6" s="5">
        <f>SUMIFS(EIAwtransport!$J$2:$J$675,EIAwtransport!$E$2:$E$675,Program_data!$E6,EIAwtransport!$I$2:$I$675,Program_data!T$2)</f>
        <v>631529</v>
      </c>
      <c r="U6" s="24">
        <f t="shared" si="5"/>
        <v>5.6074780639295383E-4</v>
      </c>
      <c r="V6" s="24">
        <f t="shared" si="6"/>
        <v>5.6074802967723291E-4</v>
      </c>
      <c r="W6" s="24">
        <f t="shared" si="1"/>
        <v>1.6334564393697185E-2</v>
      </c>
      <c r="X6" s="25">
        <f t="shared" si="2"/>
        <v>1.8486791831701887E-2</v>
      </c>
      <c r="Y6" s="8">
        <f t="shared" si="7"/>
        <v>32.968103701768108</v>
      </c>
      <c r="Z6" s="27">
        <f t="shared" si="8"/>
        <v>3.8771769377252245</v>
      </c>
      <c r="AA6" s="27"/>
      <c r="AB6" s="27"/>
      <c r="AC6" s="56">
        <f t="shared" si="3"/>
        <v>7.0403057095580913E-3</v>
      </c>
      <c r="AD6" s="20">
        <f t="shared" si="4"/>
        <v>21735000</v>
      </c>
      <c r="AE6" s="20">
        <f t="shared" si="9"/>
        <v>18319500</v>
      </c>
      <c r="AF6" s="20">
        <f t="shared" si="10"/>
        <v>1330613995.95</v>
      </c>
      <c r="AG6">
        <f t="shared" si="11"/>
        <v>51511242.968728065</v>
      </c>
      <c r="AH6">
        <f t="shared" si="12"/>
        <v>51511263.480000004</v>
      </c>
      <c r="AI6">
        <f t="shared" si="13"/>
        <v>8866958805.7200012</v>
      </c>
      <c r="AJ6" s="7" t="s">
        <v>138</v>
      </c>
      <c r="AK6" s="7" t="s">
        <v>71</v>
      </c>
    </row>
    <row r="7" spans="1:37" x14ac:dyDescent="0.25">
      <c r="B7" s="4">
        <v>2022</v>
      </c>
      <c r="C7" s="4" t="s">
        <v>134</v>
      </c>
      <c r="D7" s="4" t="s">
        <v>18</v>
      </c>
      <c r="E7" s="4" t="str">
        <f t="shared" si="0"/>
        <v>Eversource-MA</v>
      </c>
      <c r="F7" s="4" t="s">
        <v>146</v>
      </c>
      <c r="G7" s="4"/>
      <c r="H7" s="4" t="s">
        <v>147</v>
      </c>
      <c r="I7" s="4" t="s">
        <v>148</v>
      </c>
      <c r="J7" s="4" t="s">
        <v>32</v>
      </c>
      <c r="K7" s="5">
        <v>121109.14720866902</v>
      </c>
      <c r="L7" s="5">
        <v>3479051</v>
      </c>
      <c r="M7" s="8">
        <v>1210000</v>
      </c>
      <c r="N7" s="8">
        <v>705000</v>
      </c>
      <c r="O7" s="8">
        <f>SUMIFS(EIAwtransport!$J$2:$J$675,EIAwtransport!$E$2:$E$675,Program_data!$E7,EIAwtransport!$H$2:$H$675,Program_data!$F7,EIAwtransport!$I$2:$I$675,Program_data!O$2)</f>
        <v>301436649</v>
      </c>
      <c r="P7" s="5">
        <f>SUMIFS(EIAwtransport!$J$2:$J$675,EIAwtransport!$E$2:$E$675,Program_data!$E7,EIAwtransport!$H$2:$H$675,Program_data!$F7,EIAwtransport!$I$2:$I$675,Program_data!P$2)</f>
        <v>39547368</v>
      </c>
      <c r="Q7" s="5">
        <f>SUMIFS(EIAwtransport!$J$2:$J$675,EIAwtransport!$E$2:$E$675,Program_data!$E7,EIAwtransport!$H$2:$H$675,Program_data!$F7,EIAwtransport!$I$2:$I$675,Program_data!Q$2)</f>
        <v>55207</v>
      </c>
      <c r="R7" s="8">
        <f>SUMIFS(EIAwtransport!$J$2:$J$675,EIAwtransport!$E$2:$E$675,Program_data!$E7,EIAwtransport!$I$2:$I$675,Program_data!R$2)</f>
        <v>985639997</v>
      </c>
      <c r="S7" s="5">
        <f>SUMIFS(EIAwtransport!$J$2:$J$675,EIAwtransport!$E$2:$E$675,Program_data!$E7,EIAwtransport!$I$2:$I$675,Program_data!S$2)</f>
        <v>84062939</v>
      </c>
      <c r="T7" s="5">
        <f>SUMIFS(EIAwtransport!$J$2:$J$675,EIAwtransport!$E$2:$E$675,Program_data!$E7,EIAwtransport!$I$2:$I$675,Program_data!T$2)</f>
        <v>631529</v>
      </c>
      <c r="U7" s="24">
        <f t="shared" si="5"/>
        <v>1.3906332878022386E-4</v>
      </c>
      <c r="V7" s="24">
        <f t="shared" si="6"/>
        <v>3.9948131434083406E-3</v>
      </c>
      <c r="W7" s="24">
        <f t="shared" si="1"/>
        <v>1.2276287525697885E-3</v>
      </c>
      <c r="X7" s="25">
        <f t="shared" si="2"/>
        <v>1.3893800072272849E-3</v>
      </c>
      <c r="Y7" s="8">
        <f t="shared" si="7"/>
        <v>0.61647842812923215</v>
      </c>
      <c r="Z7" s="27">
        <f t="shared" si="8"/>
        <v>0.29139031643773428</v>
      </c>
      <c r="AA7" s="27"/>
      <c r="AB7" s="27"/>
      <c r="AC7" s="56">
        <f t="shared" si="3"/>
        <v>1.7459691084649178E-3</v>
      </c>
      <c r="AD7" s="20">
        <f t="shared" si="4"/>
        <v>1633500</v>
      </c>
      <c r="AE7" s="20">
        <f t="shared" si="9"/>
        <v>951750.00000000012</v>
      </c>
      <c r="AF7" s="20">
        <f t="shared" si="10"/>
        <v>1330613995.95</v>
      </c>
      <c r="AG7">
        <f t="shared" si="11"/>
        <v>12774592.847570408</v>
      </c>
      <c r="AH7">
        <f t="shared" si="12"/>
        <v>366970299.48000002</v>
      </c>
      <c r="AI7">
        <f t="shared" si="13"/>
        <v>8866958805.7200012</v>
      </c>
      <c r="AJ7" s="7" t="s">
        <v>138</v>
      </c>
      <c r="AK7" s="7" t="s">
        <v>149</v>
      </c>
    </row>
    <row r="8" spans="1:37" x14ac:dyDescent="0.25">
      <c r="B8" s="4">
        <v>2022</v>
      </c>
      <c r="C8" s="4" t="s">
        <v>134</v>
      </c>
      <c r="D8" s="4" t="s">
        <v>18</v>
      </c>
      <c r="E8" s="4" t="str">
        <f t="shared" si="0"/>
        <v>Eversource-MA</v>
      </c>
      <c r="F8" s="4" t="s">
        <v>146</v>
      </c>
      <c r="G8" s="4"/>
      <c r="H8" s="4" t="s">
        <v>150</v>
      </c>
      <c r="I8" s="4" t="s">
        <v>151</v>
      </c>
      <c r="J8" s="4" t="s">
        <v>142</v>
      </c>
      <c r="K8" s="5">
        <v>1530955.0358768031</v>
      </c>
      <c r="L8" s="5">
        <v>24595847</v>
      </c>
      <c r="M8" s="8">
        <v>12065000</v>
      </c>
      <c r="N8" s="8">
        <v>9440000</v>
      </c>
      <c r="O8" s="8">
        <f>SUMIFS(EIAwtransport!$J$2:$J$675,EIAwtransport!$E$2:$E$675,Program_data!$E8,EIAwtransport!$H$2:$H$675,Program_data!$F8,EIAwtransport!$I$2:$I$675,Program_data!O$2)</f>
        <v>301436649</v>
      </c>
      <c r="P8" s="5">
        <f>SUMIFS(EIAwtransport!$J$2:$J$675,EIAwtransport!$E$2:$E$675,Program_data!$E8,EIAwtransport!$H$2:$H$675,Program_data!$F8,EIAwtransport!$I$2:$I$675,Program_data!P$2)</f>
        <v>39547368</v>
      </c>
      <c r="Q8" s="5">
        <f>SUMIFS(EIAwtransport!$J$2:$J$675,EIAwtransport!$E$2:$E$675,Program_data!$E8,EIAwtransport!$H$2:$H$675,Program_data!$F8,EIAwtransport!$I$2:$I$675,Program_data!Q$2)</f>
        <v>55207</v>
      </c>
      <c r="R8" s="8">
        <f>SUMIFS(EIAwtransport!$J$2:$J$675,EIAwtransport!$E$2:$E$675,Program_data!$E8,EIAwtransport!$I$2:$I$675,Program_data!R$2)</f>
        <v>985639997</v>
      </c>
      <c r="S8" s="5">
        <f>SUMIFS(EIAwtransport!$J$2:$J$675,EIAwtransport!$E$2:$E$675,Program_data!$E8,EIAwtransport!$I$2:$I$675,Program_data!S$2)</f>
        <v>84062939</v>
      </c>
      <c r="T8" s="5">
        <f>SUMIFS(EIAwtransport!$J$2:$J$675,EIAwtransport!$E$2:$E$675,Program_data!$E8,EIAwtransport!$I$2:$I$675,Program_data!T$2)</f>
        <v>631529</v>
      </c>
      <c r="U8" s="24">
        <f t="shared" si="5"/>
        <v>1.757915965959637E-3</v>
      </c>
      <c r="V8" s="24">
        <f t="shared" si="6"/>
        <v>2.8242130646794372E-2</v>
      </c>
      <c r="W8" s="24">
        <f t="shared" si="1"/>
        <v>1.224077760310289E-2</v>
      </c>
      <c r="X8" s="25">
        <f t="shared" si="2"/>
        <v>1.3853611394377843E-2</v>
      </c>
      <c r="Y8" s="8">
        <f t="shared" si="7"/>
        <v>6.1469522606439551</v>
      </c>
      <c r="Z8" s="27">
        <f t="shared" si="8"/>
        <v>2.9054745188605486</v>
      </c>
      <c r="AA8" s="27"/>
      <c r="AB8" s="27"/>
      <c r="AC8" s="56">
        <f t="shared" si="3"/>
        <v>2.2071001742619521E-2</v>
      </c>
      <c r="AD8" s="20">
        <f t="shared" si="4"/>
        <v>16287750.000000002</v>
      </c>
      <c r="AE8" s="20">
        <f t="shared" si="9"/>
        <v>12744000</v>
      </c>
      <c r="AF8" s="20">
        <f t="shared" si="10"/>
        <v>1330613995.95</v>
      </c>
      <c r="AG8">
        <f t="shared" si="11"/>
        <v>161485137.18428519</v>
      </c>
      <c r="AH8">
        <f t="shared" si="12"/>
        <v>2594369941.5599999</v>
      </c>
      <c r="AI8">
        <f t="shared" si="13"/>
        <v>8866958805.7200012</v>
      </c>
      <c r="AJ8" s="7" t="s">
        <v>138</v>
      </c>
      <c r="AK8" s="7" t="s">
        <v>152</v>
      </c>
    </row>
    <row r="9" spans="1:37" x14ac:dyDescent="0.25">
      <c r="B9" s="4">
        <v>2022</v>
      </c>
      <c r="C9" s="4" t="s">
        <v>134</v>
      </c>
      <c r="D9" s="4" t="s">
        <v>18</v>
      </c>
      <c r="E9" s="4" t="str">
        <f t="shared" si="0"/>
        <v>Eversource-MA</v>
      </c>
      <c r="F9" s="4" t="s">
        <v>146</v>
      </c>
      <c r="G9" s="4"/>
      <c r="H9" s="4" t="s">
        <v>150</v>
      </c>
      <c r="I9" s="4" t="s">
        <v>153</v>
      </c>
      <c r="J9" s="4" t="s">
        <v>32</v>
      </c>
      <c r="K9" s="5">
        <v>310697.11526501639</v>
      </c>
      <c r="L9" s="5">
        <v>7274196</v>
      </c>
      <c r="M9" s="8">
        <v>3460000</v>
      </c>
      <c r="N9" s="8">
        <v>1785000</v>
      </c>
      <c r="O9" s="8">
        <f>SUMIFS(EIAwtransport!$J$2:$J$675,EIAwtransport!$E$2:$E$675,Program_data!$E9,EIAwtransport!$H$2:$H$675,Program_data!$F9,EIAwtransport!$I$2:$I$675,Program_data!O$2)</f>
        <v>301436649</v>
      </c>
      <c r="P9" s="5">
        <f>SUMIFS(EIAwtransport!$J$2:$J$675,EIAwtransport!$E$2:$E$675,Program_data!$E9,EIAwtransport!$H$2:$H$675,Program_data!$F9,EIAwtransport!$I$2:$I$675,Program_data!P$2)</f>
        <v>39547368</v>
      </c>
      <c r="Q9" s="5">
        <f>SUMIFS(EIAwtransport!$J$2:$J$675,EIAwtransport!$E$2:$E$675,Program_data!$E9,EIAwtransport!$H$2:$H$675,Program_data!$F9,EIAwtransport!$I$2:$I$675,Program_data!Q$2)</f>
        <v>55207</v>
      </c>
      <c r="R9" s="8">
        <f>SUMIFS(EIAwtransport!$J$2:$J$675,EIAwtransport!$E$2:$E$675,Program_data!$E9,EIAwtransport!$I$2:$I$675,Program_data!R$2)</f>
        <v>985639997</v>
      </c>
      <c r="S9" s="5">
        <f>SUMIFS(EIAwtransport!$J$2:$J$675,EIAwtransport!$E$2:$E$675,Program_data!$E9,EIAwtransport!$I$2:$I$675,Program_data!S$2)</f>
        <v>84062939</v>
      </c>
      <c r="T9" s="5">
        <f>SUMIFS(EIAwtransport!$J$2:$J$675,EIAwtransport!$E$2:$E$675,Program_data!$E9,EIAwtransport!$I$2:$I$675,Program_data!T$2)</f>
        <v>631529</v>
      </c>
      <c r="U9" s="24">
        <f t="shared" si="5"/>
        <v>3.5675732252264875E-4</v>
      </c>
      <c r="V9" s="24">
        <f t="shared" si="6"/>
        <v>8.3525805711179239E-3</v>
      </c>
      <c r="W9" s="24">
        <f t="shared" si="1"/>
        <v>3.510409490819395E-3</v>
      </c>
      <c r="X9" s="25">
        <f t="shared" si="2"/>
        <v>3.9729378719061195E-3</v>
      </c>
      <c r="Y9" s="8">
        <f t="shared" si="7"/>
        <v>1.7628226126670605</v>
      </c>
      <c r="Z9" s="27">
        <f t="shared" si="8"/>
        <v>0.83323181394591783</v>
      </c>
      <c r="AA9" s="27"/>
      <c r="AB9" s="27"/>
      <c r="AC9" s="56">
        <f t="shared" si="3"/>
        <v>4.4791626218556391E-3</v>
      </c>
      <c r="AD9" s="20">
        <f t="shared" si="4"/>
        <v>4671000</v>
      </c>
      <c r="AE9" s="20">
        <f t="shared" si="9"/>
        <v>2409750</v>
      </c>
      <c r="AF9" s="20">
        <f t="shared" si="10"/>
        <v>1330613995.95</v>
      </c>
      <c r="AG9">
        <f t="shared" si="11"/>
        <v>32772331.718153931</v>
      </c>
      <c r="AH9">
        <f t="shared" si="12"/>
        <v>767282194.08000004</v>
      </c>
      <c r="AI9">
        <f t="shared" si="13"/>
        <v>8866958805.7200012</v>
      </c>
    </row>
    <row r="10" spans="1:37" x14ac:dyDescent="0.25">
      <c r="B10" s="4">
        <v>2023</v>
      </c>
      <c r="C10" s="4" t="s">
        <v>134</v>
      </c>
      <c r="D10" s="4" t="s">
        <v>18</v>
      </c>
      <c r="E10" s="4" t="str">
        <f t="shared" si="0"/>
        <v>Eversource-MA</v>
      </c>
      <c r="F10" s="4" t="s">
        <v>135</v>
      </c>
      <c r="G10" s="4"/>
      <c r="H10" s="4" t="s">
        <v>136</v>
      </c>
      <c r="I10" s="4" t="s">
        <v>137</v>
      </c>
      <c r="J10" s="4" t="s">
        <v>32</v>
      </c>
      <c r="K10" s="5">
        <v>89779</v>
      </c>
      <c r="L10" s="5">
        <v>116811</v>
      </c>
      <c r="M10" s="8">
        <v>1270000</v>
      </c>
      <c r="N10" s="8">
        <v>990000</v>
      </c>
      <c r="O10" s="8">
        <f>SUMIFS(EIAwtransport!$J$2:$J$675,EIAwtransport!$E$2:$E$675,Program_data!$E10,EIAwtransport!$H$2:$H$675,Program_data!$F10,EIAwtransport!$I$2:$I$675,Program_data!O$2)</f>
        <v>684203348</v>
      </c>
      <c r="P10" s="5">
        <f>SUMIFS(EIAwtransport!$J$2:$J$675,EIAwtransport!$E$2:$E$675,Program_data!$E10,EIAwtransport!$H$2:$H$675,Program_data!$F10,EIAwtransport!$I$2:$I$675,Program_data!P$2)</f>
        <v>44515571</v>
      </c>
      <c r="Q10" s="5">
        <f>SUMIFS(EIAwtransport!$J$2:$J$675,EIAwtransport!$E$2:$E$675,Program_data!$E10,EIAwtransport!$H$2:$H$675,Program_data!$F10,EIAwtransport!$I$2:$I$675,Program_data!Q$2)</f>
        <v>576322</v>
      </c>
      <c r="R10" s="8">
        <f>SUMIFS(EIAwtransport!$J$2:$J$675,EIAwtransport!$E$2:$E$675,Program_data!$E10,EIAwtransport!$I$2:$I$675,Program_data!R$2)</f>
        <v>985639997</v>
      </c>
      <c r="S10" s="5">
        <f>SUMIFS(EIAwtransport!$J$2:$J$675,EIAwtransport!$E$2:$E$675,Program_data!$E10,EIAwtransport!$I$2:$I$675,Program_data!S$2)</f>
        <v>84062939</v>
      </c>
      <c r="T10" s="5">
        <f>SUMIFS(EIAwtransport!$J$2:$J$675,EIAwtransport!$E$2:$E$675,Program_data!$E10,EIAwtransport!$I$2:$I$675,Program_data!T$2)</f>
        <v>631529</v>
      </c>
      <c r="U10" s="24">
        <f t="shared" si="5"/>
        <v>1.0308855179244497E-4</v>
      </c>
      <c r="V10" s="24">
        <f t="shared" si="6"/>
        <v>1.3412799010266641E-4</v>
      </c>
      <c r="W10" s="24">
        <f t="shared" si="1"/>
        <v>1.2885029055897778E-3</v>
      </c>
      <c r="X10" s="25">
        <f t="shared" si="2"/>
        <v>1.4582748836187204E-3</v>
      </c>
      <c r="Y10" s="8">
        <f t="shared" si="7"/>
        <v>0.70677513531683001</v>
      </c>
      <c r="Z10" s="27">
        <f t="shared" si="8"/>
        <v>0.27889200379293128</v>
      </c>
      <c r="AA10" s="27"/>
      <c r="AB10" s="27"/>
      <c r="AC10" s="56">
        <f t="shared" si="3"/>
        <v>9.3510051036350375E-4</v>
      </c>
      <c r="AD10" s="20">
        <f t="shared" si="4"/>
        <v>1714500</v>
      </c>
      <c r="AE10" s="20">
        <f t="shared" si="9"/>
        <v>1336500</v>
      </c>
      <c r="AF10" s="20">
        <f t="shared" si="10"/>
        <v>1330613995.95</v>
      </c>
      <c r="AG10">
        <f t="shared" si="11"/>
        <v>9469888.9199999999</v>
      </c>
      <c r="AH10">
        <f t="shared" si="12"/>
        <v>12321224.280000001</v>
      </c>
      <c r="AI10">
        <f t="shared" si="13"/>
        <v>8866958805.7200012</v>
      </c>
    </row>
    <row r="11" spans="1:37" x14ac:dyDescent="0.25">
      <c r="B11" s="4">
        <v>2023</v>
      </c>
      <c r="C11" s="4" t="s">
        <v>134</v>
      </c>
      <c r="D11" s="4" t="s">
        <v>18</v>
      </c>
      <c r="E11" s="4" t="str">
        <f t="shared" si="0"/>
        <v>Eversource-MA</v>
      </c>
      <c r="F11" s="4" t="s">
        <v>135</v>
      </c>
      <c r="G11" s="4"/>
      <c r="H11" s="4" t="s">
        <v>139</v>
      </c>
      <c r="I11" s="4" t="s">
        <v>140</v>
      </c>
      <c r="J11" s="4" t="s">
        <v>27</v>
      </c>
      <c r="K11" s="5">
        <v>1275632</v>
      </c>
      <c r="L11" s="5">
        <v>1316676</v>
      </c>
      <c r="M11" s="8">
        <v>29500000</v>
      </c>
      <c r="N11" s="8">
        <v>24850000</v>
      </c>
      <c r="O11" s="8">
        <f>SUMIFS(EIAwtransport!$J$2:$J$675,EIAwtransport!$E$2:$E$675,Program_data!$E11,EIAwtransport!$H$2:$H$675,Program_data!$F11,EIAwtransport!$I$2:$I$675,Program_data!O$2)</f>
        <v>684203348</v>
      </c>
      <c r="P11" s="5">
        <f>SUMIFS(EIAwtransport!$J$2:$J$675,EIAwtransport!$E$2:$E$675,Program_data!$E11,EIAwtransport!$H$2:$H$675,Program_data!$F11,EIAwtransport!$I$2:$I$675,Program_data!P$2)</f>
        <v>44515571</v>
      </c>
      <c r="Q11" s="5">
        <f>SUMIFS(EIAwtransport!$J$2:$J$675,EIAwtransport!$E$2:$E$675,Program_data!$E11,EIAwtransport!$H$2:$H$675,Program_data!$F11,EIAwtransport!$I$2:$I$675,Program_data!Q$2)</f>
        <v>576322</v>
      </c>
      <c r="R11" s="8">
        <f>SUMIFS(EIAwtransport!$J$2:$J$675,EIAwtransport!$E$2:$E$675,Program_data!$E11,EIAwtransport!$I$2:$I$675,Program_data!R$2)</f>
        <v>985639997</v>
      </c>
      <c r="S11" s="5">
        <f>SUMIFS(EIAwtransport!$J$2:$J$675,EIAwtransport!$E$2:$E$675,Program_data!$E11,EIAwtransport!$I$2:$I$675,Program_data!S$2)</f>
        <v>84062939</v>
      </c>
      <c r="T11" s="5">
        <f>SUMIFS(EIAwtransport!$J$2:$J$675,EIAwtransport!$E$2:$E$675,Program_data!$E11,EIAwtransport!$I$2:$I$675,Program_data!T$2)</f>
        <v>631529</v>
      </c>
      <c r="U11" s="24">
        <f t="shared" si="5"/>
        <v>1.4647418160159966E-3</v>
      </c>
      <c r="V11" s="24">
        <f t="shared" si="6"/>
        <v>1.5118705044594978E-3</v>
      </c>
      <c r="W11" s="24">
        <f t="shared" si="1"/>
        <v>2.9929791901494841E-2</v>
      </c>
      <c r="X11" s="25">
        <f t="shared" si="2"/>
        <v>3.3873314225789174E-2</v>
      </c>
      <c r="Y11" s="8">
        <f t="shared" si="7"/>
        <v>16.417217710115345</v>
      </c>
      <c r="Z11" s="27">
        <f t="shared" si="8"/>
        <v>6.4782000881035211</v>
      </c>
      <c r="AA11" s="27"/>
      <c r="AB11" s="27"/>
      <c r="AC11" s="56">
        <f t="shared" si="3"/>
        <v>1.328644932819498E-2</v>
      </c>
      <c r="AD11" s="20">
        <f t="shared" si="4"/>
        <v>39825000</v>
      </c>
      <c r="AE11" s="20">
        <f t="shared" si="9"/>
        <v>33547500.000000004</v>
      </c>
      <c r="AF11" s="20">
        <f t="shared" si="10"/>
        <v>1330613995.95</v>
      </c>
      <c r="AG11">
        <f t="shared" si="11"/>
        <v>134553663.36000001</v>
      </c>
      <c r="AH11">
        <f t="shared" si="12"/>
        <v>138882984.48000002</v>
      </c>
      <c r="AI11">
        <f t="shared" si="13"/>
        <v>8866958805.7200012</v>
      </c>
    </row>
    <row r="12" spans="1:37" x14ac:dyDescent="0.25">
      <c r="B12" s="4">
        <v>2023</v>
      </c>
      <c r="C12" s="4" t="s">
        <v>134</v>
      </c>
      <c r="D12" s="4" t="s">
        <v>18</v>
      </c>
      <c r="E12" s="4" t="str">
        <f t="shared" si="0"/>
        <v>Eversource-MA</v>
      </c>
      <c r="F12" s="4" t="s">
        <v>135</v>
      </c>
      <c r="G12" s="4"/>
      <c r="H12" s="4" t="s">
        <v>139</v>
      </c>
      <c r="I12" s="4" t="s">
        <v>141</v>
      </c>
      <c r="J12" s="4" t="s">
        <v>142</v>
      </c>
      <c r="K12" s="5">
        <v>431483</v>
      </c>
      <c r="L12" s="5">
        <v>548374</v>
      </c>
      <c r="M12" s="8">
        <v>7950000</v>
      </c>
      <c r="N12" s="8">
        <v>7320000</v>
      </c>
      <c r="O12" s="8">
        <f>SUMIFS(EIAwtransport!$J$2:$J$675,EIAwtransport!$E$2:$E$675,Program_data!$E12,EIAwtransport!$H$2:$H$675,Program_data!$F12,EIAwtransport!$I$2:$I$675,Program_data!O$2)</f>
        <v>684203348</v>
      </c>
      <c r="P12" s="5">
        <f>SUMIFS(EIAwtransport!$J$2:$J$675,EIAwtransport!$E$2:$E$675,Program_data!$E12,EIAwtransport!$H$2:$H$675,Program_data!$F12,EIAwtransport!$I$2:$I$675,Program_data!P$2)</f>
        <v>44515571</v>
      </c>
      <c r="Q12" s="5">
        <f>SUMIFS(EIAwtransport!$J$2:$J$675,EIAwtransport!$E$2:$E$675,Program_data!$E12,EIAwtransport!$H$2:$H$675,Program_data!$F12,EIAwtransport!$I$2:$I$675,Program_data!Q$2)</f>
        <v>576322</v>
      </c>
      <c r="R12" s="8">
        <f>SUMIFS(EIAwtransport!$J$2:$J$675,EIAwtransport!$E$2:$E$675,Program_data!$E12,EIAwtransport!$I$2:$I$675,Program_data!R$2)</f>
        <v>985639997</v>
      </c>
      <c r="S12" s="5">
        <f>SUMIFS(EIAwtransport!$J$2:$J$675,EIAwtransport!$E$2:$E$675,Program_data!$E12,EIAwtransport!$I$2:$I$675,Program_data!S$2)</f>
        <v>84062939</v>
      </c>
      <c r="T12" s="5">
        <f>SUMIFS(EIAwtransport!$J$2:$J$675,EIAwtransport!$E$2:$E$675,Program_data!$E12,EIAwtransport!$I$2:$I$675,Program_data!T$2)</f>
        <v>631529</v>
      </c>
      <c r="U12" s="24">
        <f t="shared" si="5"/>
        <v>4.9544946583343023E-4</v>
      </c>
      <c r="V12" s="24">
        <f t="shared" si="6"/>
        <v>6.2966931577128522E-4</v>
      </c>
      <c r="W12" s="24">
        <f t="shared" si="1"/>
        <v>8.0658252751486092E-3</v>
      </c>
      <c r="X12" s="25">
        <f t="shared" si="2"/>
        <v>9.1285711218652178E-3</v>
      </c>
      <c r="Y12" s="8">
        <f t="shared" si="7"/>
        <v>4.4243010439124397</v>
      </c>
      <c r="Z12" s="27">
        <f t="shared" si="8"/>
        <v>1.7458200237431523</v>
      </c>
      <c r="AA12" s="27"/>
      <c r="AB12" s="27"/>
      <c r="AC12" s="56">
        <f t="shared" si="3"/>
        <v>4.4941464430788463E-3</v>
      </c>
      <c r="AD12" s="20">
        <f t="shared" si="4"/>
        <v>10732500</v>
      </c>
      <c r="AE12" s="20">
        <f t="shared" si="9"/>
        <v>9882000</v>
      </c>
      <c r="AF12" s="20">
        <f t="shared" si="10"/>
        <v>1330613995.95</v>
      </c>
      <c r="AG12">
        <f t="shared" si="11"/>
        <v>45512826.840000004</v>
      </c>
      <c r="AH12">
        <f t="shared" si="12"/>
        <v>57842489.520000003</v>
      </c>
      <c r="AI12">
        <f t="shared" si="13"/>
        <v>8866958805.7200012</v>
      </c>
    </row>
    <row r="13" spans="1:37" x14ac:dyDescent="0.25">
      <c r="B13" s="4">
        <v>2023</v>
      </c>
      <c r="C13" s="4" t="s">
        <v>134</v>
      </c>
      <c r="D13" s="4" t="s">
        <v>18</v>
      </c>
      <c r="E13" s="4" t="str">
        <f t="shared" si="0"/>
        <v>Eversource-MA</v>
      </c>
      <c r="F13" s="4" t="s">
        <v>143</v>
      </c>
      <c r="G13" s="4">
        <v>1</v>
      </c>
      <c r="H13" s="4" t="s">
        <v>144</v>
      </c>
      <c r="I13" s="4" t="s">
        <v>145</v>
      </c>
      <c r="J13" s="4" t="s">
        <v>108</v>
      </c>
      <c r="K13" s="5">
        <v>561158</v>
      </c>
      <c r="L13" s="5">
        <v>561158</v>
      </c>
      <c r="M13" s="8">
        <v>16990000</v>
      </c>
      <c r="N13" s="8">
        <v>14210000</v>
      </c>
      <c r="O13" s="8">
        <f>SUMIFS(EIAwtransport!$J$2:$J$675,EIAwtransport!$E$2:$E$675,Program_data!$E13,EIAwtransport!$H$2:$H$675,Program_data!$F13,EIAwtransport!$I$2:$I$675,Program_data!O$2)</f>
        <v>0</v>
      </c>
      <c r="P13" s="5">
        <f>SUMIFS(EIAwtransport!$J$2:$J$675,EIAwtransport!$E$2:$E$675,Program_data!$E13,EIAwtransport!$H$2:$H$675,Program_data!$F13,EIAwtransport!$I$2:$I$675,Program_data!P$2)</f>
        <v>0</v>
      </c>
      <c r="Q13" s="5">
        <f>SUMIFS(EIAwtransport!$J$2:$J$675,EIAwtransport!$E$2:$E$675,Program_data!$E13,EIAwtransport!$H$2:$H$675,Program_data!$F13,EIAwtransport!$I$2:$I$675,Program_data!Q$2)</f>
        <v>0</v>
      </c>
      <c r="R13" s="8">
        <f>SUMIFS(EIAwtransport!$J$2:$J$675,EIAwtransport!$E$2:$E$675,Program_data!$E13,EIAwtransport!$I$2:$I$675,Program_data!R$2)</f>
        <v>985639997</v>
      </c>
      <c r="S13" s="5">
        <f>SUMIFS(EIAwtransport!$J$2:$J$675,EIAwtransport!$E$2:$E$675,Program_data!$E13,EIAwtransport!$I$2:$I$675,Program_data!S$2)</f>
        <v>84062939</v>
      </c>
      <c r="T13" s="5">
        <f>SUMIFS(EIAwtransport!$J$2:$J$675,EIAwtransport!$E$2:$E$675,Program_data!$E13,EIAwtransport!$I$2:$I$675,Program_data!T$2)</f>
        <v>631529</v>
      </c>
      <c r="U13" s="24">
        <f t="shared" si="5"/>
        <v>6.4434851743442039E-4</v>
      </c>
      <c r="V13" s="24">
        <f t="shared" si="6"/>
        <v>6.4434851743442039E-4</v>
      </c>
      <c r="W13" s="24">
        <f t="shared" si="1"/>
        <v>1.7237530996827028E-2</v>
      </c>
      <c r="X13" s="25">
        <f t="shared" si="2"/>
        <v>1.9508732498174853E-2</v>
      </c>
      <c r="Y13" s="8">
        <f t="shared" si="7"/>
        <v>30.276677869690889</v>
      </c>
      <c r="Z13" s="27">
        <f t="shared" si="8"/>
        <v>3.7310040507416553</v>
      </c>
      <c r="AA13" s="27"/>
      <c r="AB13" s="27"/>
      <c r="AC13" s="56">
        <f t="shared" si="3"/>
        <v>5.844787001354026E-3</v>
      </c>
      <c r="AD13" s="20">
        <f t="shared" si="4"/>
        <v>22936500</v>
      </c>
      <c r="AE13" s="20">
        <f t="shared" si="9"/>
        <v>19183500</v>
      </c>
      <c r="AF13" s="20">
        <f t="shared" si="10"/>
        <v>1330613995.95</v>
      </c>
      <c r="AG13">
        <f t="shared" si="11"/>
        <v>59190945.840000004</v>
      </c>
      <c r="AH13">
        <f t="shared" si="12"/>
        <v>59190945.840000004</v>
      </c>
      <c r="AI13">
        <f t="shared" si="13"/>
        <v>8866958805.7200012</v>
      </c>
    </row>
    <row r="14" spans="1:37" x14ac:dyDescent="0.25">
      <c r="B14" s="4">
        <v>2023</v>
      </c>
      <c r="C14" s="4" t="s">
        <v>134</v>
      </c>
      <c r="D14" s="4" t="s">
        <v>18</v>
      </c>
      <c r="E14" s="4" t="str">
        <f t="shared" si="0"/>
        <v>Eversource-MA</v>
      </c>
      <c r="F14" s="4" t="s">
        <v>146</v>
      </c>
      <c r="G14" s="4"/>
      <c r="H14" s="4" t="s">
        <v>147</v>
      </c>
      <c r="I14" s="4" t="s">
        <v>148</v>
      </c>
      <c r="J14" s="4" t="s">
        <v>32</v>
      </c>
      <c r="K14" s="5">
        <v>123285</v>
      </c>
      <c r="L14" s="5">
        <v>187097</v>
      </c>
      <c r="M14" s="8">
        <v>1250000</v>
      </c>
      <c r="N14" s="8">
        <v>745000</v>
      </c>
      <c r="O14" s="8">
        <f>SUMIFS(EIAwtransport!$J$2:$J$675,EIAwtransport!$E$2:$E$675,Program_data!$E14,EIAwtransport!$H$2:$H$675,Program_data!$F14,EIAwtransport!$I$2:$I$675,Program_data!O$2)</f>
        <v>301436649</v>
      </c>
      <c r="P14" s="5">
        <f>SUMIFS(EIAwtransport!$J$2:$J$675,EIAwtransport!$E$2:$E$675,Program_data!$E14,EIAwtransport!$H$2:$H$675,Program_data!$F14,EIAwtransport!$I$2:$I$675,Program_data!P$2)</f>
        <v>39547368</v>
      </c>
      <c r="Q14" s="5">
        <f>SUMIFS(EIAwtransport!$J$2:$J$675,EIAwtransport!$E$2:$E$675,Program_data!$E14,EIAwtransport!$H$2:$H$675,Program_data!$F14,EIAwtransport!$I$2:$I$675,Program_data!Q$2)</f>
        <v>55207</v>
      </c>
      <c r="R14" s="8">
        <f>SUMIFS(EIAwtransport!$J$2:$J$675,EIAwtransport!$E$2:$E$675,Program_data!$E14,EIAwtransport!$I$2:$I$675,Program_data!R$2)</f>
        <v>985639997</v>
      </c>
      <c r="S14" s="5">
        <f>SUMIFS(EIAwtransport!$J$2:$J$675,EIAwtransport!$E$2:$E$675,Program_data!$E14,EIAwtransport!$I$2:$I$675,Program_data!S$2)</f>
        <v>84062939</v>
      </c>
      <c r="T14" s="5">
        <f>SUMIFS(EIAwtransport!$J$2:$J$675,EIAwtransport!$E$2:$E$675,Program_data!$E14,EIAwtransport!$I$2:$I$675,Program_data!T$2)</f>
        <v>631529</v>
      </c>
      <c r="U14" s="24">
        <f t="shared" si="5"/>
        <v>1.4156174726530233E-4</v>
      </c>
      <c r="V14" s="24">
        <f t="shared" si="6"/>
        <v>2.1483374480347377E-4</v>
      </c>
      <c r="W14" s="24">
        <f t="shared" si="1"/>
        <v>1.2682115212497814E-3</v>
      </c>
      <c r="X14" s="25">
        <f t="shared" si="2"/>
        <v>1.4353099248215753E-3</v>
      </c>
      <c r="Y14" s="8">
        <f t="shared" si="7"/>
        <v>0.56929919724258793</v>
      </c>
      <c r="Z14" s="27">
        <f t="shared" si="8"/>
        <v>0.27450000373320005</v>
      </c>
      <c r="AA14" s="27"/>
      <c r="AB14" s="27"/>
      <c r="AC14" s="56">
        <f t="shared" si="3"/>
        <v>1.2840849911467556E-3</v>
      </c>
      <c r="AD14" s="20">
        <f t="shared" si="4"/>
        <v>1687500</v>
      </c>
      <c r="AE14" s="20">
        <f t="shared" si="9"/>
        <v>1005750.0000000001</v>
      </c>
      <c r="AF14" s="20">
        <f t="shared" si="10"/>
        <v>1330613995.95</v>
      </c>
      <c r="AG14">
        <f t="shared" si="11"/>
        <v>13004101.800000001</v>
      </c>
      <c r="AH14">
        <f t="shared" si="12"/>
        <v>19734991.560000002</v>
      </c>
      <c r="AI14">
        <f t="shared" si="13"/>
        <v>8866958805.7200012</v>
      </c>
    </row>
    <row r="15" spans="1:37" x14ac:dyDescent="0.25">
      <c r="B15" s="4">
        <v>2023</v>
      </c>
      <c r="C15" s="4" t="s">
        <v>134</v>
      </c>
      <c r="D15" s="4" t="s">
        <v>18</v>
      </c>
      <c r="E15" s="4" t="str">
        <f t="shared" si="0"/>
        <v>Eversource-MA</v>
      </c>
      <c r="F15" s="4" t="s">
        <v>146</v>
      </c>
      <c r="G15" s="4"/>
      <c r="H15" s="4" t="s">
        <v>150</v>
      </c>
      <c r="I15" s="4" t="s">
        <v>151</v>
      </c>
      <c r="J15" s="4" t="s">
        <v>142</v>
      </c>
      <c r="K15" s="5">
        <v>1683955</v>
      </c>
      <c r="L15" s="5">
        <v>1868792</v>
      </c>
      <c r="M15" s="8">
        <v>15700000</v>
      </c>
      <c r="N15" s="8">
        <v>12940000</v>
      </c>
      <c r="O15" s="8">
        <f>SUMIFS(EIAwtransport!$J$2:$J$675,EIAwtransport!$E$2:$E$675,Program_data!$E15,EIAwtransport!$H$2:$H$675,Program_data!$F15,EIAwtransport!$I$2:$I$675,Program_data!O$2)</f>
        <v>301436649</v>
      </c>
      <c r="P15" s="5">
        <f>SUMIFS(EIAwtransport!$J$2:$J$675,EIAwtransport!$E$2:$E$675,Program_data!$E15,EIAwtransport!$H$2:$H$675,Program_data!$F15,EIAwtransport!$I$2:$I$675,Program_data!P$2)</f>
        <v>39547368</v>
      </c>
      <c r="Q15" s="5">
        <f>SUMIFS(EIAwtransport!$J$2:$J$675,EIAwtransport!$E$2:$E$675,Program_data!$E15,EIAwtransport!$H$2:$H$675,Program_data!$F15,EIAwtransport!$I$2:$I$675,Program_data!Q$2)</f>
        <v>55207</v>
      </c>
      <c r="R15" s="8">
        <f>SUMIFS(EIAwtransport!$J$2:$J$675,EIAwtransport!$E$2:$E$675,Program_data!$E15,EIAwtransport!$I$2:$I$675,Program_data!R$2)</f>
        <v>985639997</v>
      </c>
      <c r="S15" s="5">
        <f>SUMIFS(EIAwtransport!$J$2:$J$675,EIAwtransport!$E$2:$E$675,Program_data!$E15,EIAwtransport!$I$2:$I$675,Program_data!S$2)</f>
        <v>84062939</v>
      </c>
      <c r="T15" s="5">
        <f>SUMIFS(EIAwtransport!$J$2:$J$675,EIAwtransport!$E$2:$E$675,Program_data!$E15,EIAwtransport!$I$2:$I$675,Program_data!T$2)</f>
        <v>631529</v>
      </c>
      <c r="U15" s="24">
        <f t="shared" si="5"/>
        <v>1.9335978595623326E-3</v>
      </c>
      <c r="V15" s="24">
        <f t="shared" si="6"/>
        <v>2.145836564021729E-3</v>
      </c>
      <c r="W15" s="24">
        <f t="shared" si="1"/>
        <v>1.5928736706897255E-2</v>
      </c>
      <c r="X15" s="25">
        <f t="shared" si="2"/>
        <v>1.8027492655758984E-2</v>
      </c>
      <c r="Y15" s="8">
        <f t="shared" si="7"/>
        <v>7.150397917366905</v>
      </c>
      <c r="Z15" s="27">
        <f t="shared" si="8"/>
        <v>3.4477200468889926</v>
      </c>
      <c r="AA15" s="27"/>
      <c r="AB15" s="27"/>
      <c r="AC15" s="56">
        <f t="shared" si="3"/>
        <v>1.75393708988647E-2</v>
      </c>
      <c r="AD15" s="20">
        <f t="shared" si="4"/>
        <v>21195000</v>
      </c>
      <c r="AE15" s="20">
        <f t="shared" si="9"/>
        <v>17469000</v>
      </c>
      <c r="AF15" s="20">
        <f t="shared" si="10"/>
        <v>1330613995.95</v>
      </c>
      <c r="AG15">
        <f t="shared" si="11"/>
        <v>177623573.40000001</v>
      </c>
      <c r="AH15">
        <f t="shared" si="12"/>
        <v>197120180.16</v>
      </c>
      <c r="AI15">
        <f t="shared" si="13"/>
        <v>8866958805.7200012</v>
      </c>
    </row>
    <row r="16" spans="1:37" x14ac:dyDescent="0.25">
      <c r="B16" s="4">
        <v>2023</v>
      </c>
      <c r="C16" s="4" t="s">
        <v>134</v>
      </c>
      <c r="D16" s="4" t="s">
        <v>18</v>
      </c>
      <c r="E16" s="4" t="str">
        <f t="shared" si="0"/>
        <v>Eversource-MA</v>
      </c>
      <c r="F16" s="4" t="s">
        <v>146</v>
      </c>
      <c r="G16" s="4"/>
      <c r="H16" s="4" t="s">
        <v>150</v>
      </c>
      <c r="I16" s="4" t="s">
        <v>153</v>
      </c>
      <c r="J16" s="4" t="s">
        <v>32</v>
      </c>
      <c r="K16" s="5">
        <v>388442</v>
      </c>
      <c r="L16" s="5">
        <v>542976</v>
      </c>
      <c r="M16" s="8">
        <v>4110000</v>
      </c>
      <c r="N16" s="8">
        <v>2385000</v>
      </c>
      <c r="O16" s="8">
        <f>SUMIFS(EIAwtransport!$J$2:$J$675,EIAwtransport!$E$2:$E$675,Program_data!$E16,EIAwtransport!$H$2:$H$675,Program_data!$F16,EIAwtransport!$I$2:$I$675,Program_data!O$2)</f>
        <v>301436649</v>
      </c>
      <c r="P16" s="5">
        <f>SUMIFS(EIAwtransport!$J$2:$J$675,EIAwtransport!$E$2:$E$675,Program_data!$E16,EIAwtransport!$H$2:$H$675,Program_data!$F16,EIAwtransport!$I$2:$I$675,Program_data!P$2)</f>
        <v>39547368</v>
      </c>
      <c r="Q16" s="5">
        <f>SUMIFS(EIAwtransport!$J$2:$J$675,EIAwtransport!$E$2:$E$675,Program_data!$E16,EIAwtransport!$H$2:$H$675,Program_data!$F16,EIAwtransport!$I$2:$I$675,Program_data!Q$2)</f>
        <v>55207</v>
      </c>
      <c r="R16" s="8">
        <f>SUMIFS(EIAwtransport!$J$2:$J$675,EIAwtransport!$E$2:$E$675,Program_data!$E16,EIAwtransport!$I$2:$I$675,Program_data!R$2)</f>
        <v>985639997</v>
      </c>
      <c r="S16" s="5">
        <f>SUMIFS(EIAwtransport!$J$2:$J$675,EIAwtransport!$E$2:$E$675,Program_data!$E16,EIAwtransport!$I$2:$I$675,Program_data!S$2)</f>
        <v>84062939</v>
      </c>
      <c r="T16" s="5">
        <f>SUMIFS(EIAwtransport!$J$2:$J$675,EIAwtransport!$E$2:$E$675,Program_data!$E16,EIAwtransport!$I$2:$I$675,Program_data!T$2)</f>
        <v>631529</v>
      </c>
      <c r="U16" s="24">
        <f t="shared" si="5"/>
        <v>4.4602772625403384E-4</v>
      </c>
      <c r="V16" s="24">
        <f t="shared" si="6"/>
        <v>6.2347107339193566E-4</v>
      </c>
      <c r="W16" s="24">
        <f t="shared" si="1"/>
        <v>4.1698794818692811E-3</v>
      </c>
      <c r="X16" s="25">
        <f t="shared" si="2"/>
        <v>4.7192990328133394E-3</v>
      </c>
      <c r="Y16" s="8">
        <f t="shared" si="7"/>
        <v>1.8718557605336292</v>
      </c>
      <c r="Z16" s="27">
        <f t="shared" si="8"/>
        <v>0.90255601227476179</v>
      </c>
      <c r="AA16" s="27"/>
      <c r="AB16" s="27"/>
      <c r="AC16" s="56">
        <f t="shared" si="3"/>
        <v>4.0458493906884701E-3</v>
      </c>
      <c r="AD16" s="20">
        <f t="shared" si="4"/>
        <v>5548500</v>
      </c>
      <c r="AE16" s="20">
        <f t="shared" si="9"/>
        <v>3219750</v>
      </c>
      <c r="AF16" s="20">
        <f t="shared" si="10"/>
        <v>1330613995.95</v>
      </c>
      <c r="AG16">
        <f t="shared" si="11"/>
        <v>40972862.160000004</v>
      </c>
      <c r="AH16">
        <f t="shared" si="12"/>
        <v>57273108.480000004</v>
      </c>
      <c r="AI16">
        <f t="shared" si="13"/>
        <v>8866958805.7200012</v>
      </c>
    </row>
    <row r="17" spans="2:35" x14ac:dyDescent="0.25">
      <c r="B17" s="4">
        <v>2024</v>
      </c>
      <c r="C17" s="4" t="s">
        <v>134</v>
      </c>
      <c r="D17" s="4" t="s">
        <v>18</v>
      </c>
      <c r="E17" s="4" t="str">
        <f t="shared" si="0"/>
        <v>Eversource-MA</v>
      </c>
      <c r="F17" s="4" t="s">
        <v>135</v>
      </c>
      <c r="G17" s="4"/>
      <c r="H17" s="4" t="s">
        <v>136</v>
      </c>
      <c r="I17" s="4" t="s">
        <v>137</v>
      </c>
      <c r="J17" s="4" t="s">
        <v>32</v>
      </c>
      <c r="K17" s="5">
        <v>154553</v>
      </c>
      <c r="L17" s="5">
        <v>211550</v>
      </c>
      <c r="M17" s="8">
        <v>2785000</v>
      </c>
      <c r="N17" s="8">
        <v>2210000</v>
      </c>
      <c r="O17" s="8">
        <f>SUMIFS(EIAwtransport!$J$2:$J$675,EIAwtransport!$E$2:$E$675,Program_data!$E17,EIAwtransport!$H$2:$H$675,Program_data!$F17,EIAwtransport!$I$2:$I$675,Program_data!O$2)</f>
        <v>684203348</v>
      </c>
      <c r="P17" s="5">
        <f>SUMIFS(EIAwtransport!$J$2:$J$675,EIAwtransport!$E$2:$E$675,Program_data!$E17,EIAwtransport!$H$2:$H$675,Program_data!$F17,EIAwtransport!$I$2:$I$675,Program_data!P$2)</f>
        <v>44515571</v>
      </c>
      <c r="Q17" s="5">
        <f>SUMIFS(EIAwtransport!$J$2:$J$675,EIAwtransport!$E$2:$E$675,Program_data!$E17,EIAwtransport!$H$2:$H$675,Program_data!$F17,EIAwtransport!$I$2:$I$675,Program_data!Q$2)</f>
        <v>576322</v>
      </c>
      <c r="R17" s="8">
        <f>SUMIFS(EIAwtransport!$J$2:$J$675,EIAwtransport!$E$2:$E$675,Program_data!$E17,EIAwtransport!$I$2:$I$675,Program_data!R$2)</f>
        <v>985639997</v>
      </c>
      <c r="S17" s="5">
        <f>SUMIFS(EIAwtransport!$J$2:$J$675,EIAwtransport!$E$2:$E$675,Program_data!$E17,EIAwtransport!$I$2:$I$675,Program_data!S$2)</f>
        <v>84062939</v>
      </c>
      <c r="T17" s="5">
        <f>SUMIFS(EIAwtransport!$J$2:$J$675,EIAwtransport!$E$2:$E$675,Program_data!$E17,EIAwtransport!$I$2:$I$675,Program_data!T$2)</f>
        <v>631529</v>
      </c>
      <c r="U17" s="24">
        <f t="shared" si="5"/>
        <v>1.7746516384875913E-4</v>
      </c>
      <c r="V17" s="24">
        <f t="shared" si="6"/>
        <v>2.4291185167680339E-4</v>
      </c>
      <c r="W17" s="24">
        <f t="shared" si="1"/>
        <v>2.8255752693445131E-3</v>
      </c>
      <c r="X17" s="25">
        <f t="shared" si="2"/>
        <v>3.1978705125024699E-3</v>
      </c>
      <c r="Y17" s="8">
        <f t="shared" si="7"/>
        <v>0.63629320482266838</v>
      </c>
      <c r="Z17" s="27">
        <f>IFERROR(M17/SUMIFS($K$3:$K$1492,$E$3:$E$1492,E17,$B$3:$B$1492,B17,$A$3:$A$1492,""),"")</f>
        <v>0.26647295629594747</v>
      </c>
      <c r="AA17" s="27"/>
      <c r="AB17" s="27"/>
      <c r="AC17" s="56">
        <f t="shared" si="3"/>
        <v>8.2315532581437212E-4</v>
      </c>
      <c r="AD17" s="20">
        <f>M17*1.35</f>
        <v>3759750.0000000005</v>
      </c>
      <c r="AE17" s="20">
        <f t="shared" si="9"/>
        <v>2983500</v>
      </c>
      <c r="AF17" s="20">
        <f t="shared" si="10"/>
        <v>1330613995.95</v>
      </c>
      <c r="AG17">
        <f t="shared" si="11"/>
        <v>16302250.440000001</v>
      </c>
      <c r="AH17">
        <f t="shared" si="12"/>
        <v>22314294</v>
      </c>
      <c r="AI17">
        <f t="shared" si="13"/>
        <v>8866958805.7200012</v>
      </c>
    </row>
    <row r="18" spans="2:35" x14ac:dyDescent="0.25">
      <c r="B18" s="4">
        <v>2024</v>
      </c>
      <c r="C18" s="4" t="s">
        <v>134</v>
      </c>
      <c r="D18" s="4" t="s">
        <v>18</v>
      </c>
      <c r="E18" s="4" t="str">
        <f t="shared" si="0"/>
        <v>Eversource-MA</v>
      </c>
      <c r="F18" s="4" t="s">
        <v>135</v>
      </c>
      <c r="G18" s="4"/>
      <c r="H18" s="4" t="s">
        <v>139</v>
      </c>
      <c r="I18" s="4" t="s">
        <v>140</v>
      </c>
      <c r="J18" s="4" t="s">
        <v>27</v>
      </c>
      <c r="K18" s="5">
        <v>2676921</v>
      </c>
      <c r="L18" s="5">
        <v>2769383</v>
      </c>
      <c r="M18" s="8">
        <v>58770000</v>
      </c>
      <c r="N18" s="8">
        <v>50930000</v>
      </c>
      <c r="O18" s="8">
        <f>SUMIFS(EIAwtransport!$J$2:$J$675,EIAwtransport!$E$2:$E$675,Program_data!$E18,EIAwtransport!$H$2:$H$675,Program_data!$F18,EIAwtransport!$I$2:$I$675,Program_data!O$2)</f>
        <v>684203348</v>
      </c>
      <c r="P18" s="5">
        <f>SUMIFS(EIAwtransport!$J$2:$J$675,EIAwtransport!$E$2:$E$675,Program_data!$E18,EIAwtransport!$H$2:$H$675,Program_data!$F18,EIAwtransport!$I$2:$I$675,Program_data!P$2)</f>
        <v>44515571</v>
      </c>
      <c r="Q18" s="5">
        <f>SUMIFS(EIAwtransport!$J$2:$J$675,EIAwtransport!$E$2:$E$675,Program_data!$E18,EIAwtransport!$H$2:$H$675,Program_data!$F18,EIAwtransport!$I$2:$I$675,Program_data!Q$2)</f>
        <v>576322</v>
      </c>
      <c r="R18" s="8">
        <f>SUMIFS(EIAwtransport!$J$2:$J$675,EIAwtransport!$E$2:$E$675,Program_data!$E18,EIAwtransport!$I$2:$I$675,Program_data!R$2)</f>
        <v>985639997</v>
      </c>
      <c r="S18" s="5">
        <f>SUMIFS(EIAwtransport!$J$2:$J$675,EIAwtransport!$E$2:$E$675,Program_data!$E18,EIAwtransport!$I$2:$I$675,Program_data!S$2)</f>
        <v>84062939</v>
      </c>
      <c r="T18" s="5">
        <f>SUMIFS(EIAwtransport!$J$2:$J$675,EIAwtransport!$E$2:$E$675,Program_data!$E18,EIAwtransport!$I$2:$I$675,Program_data!T$2)</f>
        <v>631529</v>
      </c>
      <c r="U18" s="24">
        <f t="shared" ref="U18:U29" si="14">IFERROR(K18/10.36/S18,"")</f>
        <v>3.0737690234106368E-3</v>
      </c>
      <c r="V18" s="24">
        <f t="shared" ref="V18:V29" si="15">IFERROR(L18/10.36/S18,"")</f>
        <v>3.1799383244257187E-3</v>
      </c>
      <c r="W18" s="24">
        <f t="shared" ref="W18:W29" si="16">IFERROR(M18/R18,"")</f>
        <v>5.9626232883079722E-2</v>
      </c>
      <c r="X18" s="25">
        <f t="shared" ref="X18:X29" si="17">IFERROR(M18/S18/10.36,"")</f>
        <v>6.7482531425411177E-2</v>
      </c>
      <c r="Y18" s="8">
        <f t="shared" si="7"/>
        <v>13.427271686688769</v>
      </c>
      <c r="Z18" s="27">
        <f t="shared" si="8"/>
        <v>5.6232013075450027</v>
      </c>
      <c r="AA18" s="27"/>
      <c r="AB18" s="27"/>
      <c r="AC18" s="56">
        <f t="shared" si="3"/>
        <v>1.4257385996611744E-2</v>
      </c>
      <c r="AD18" s="20">
        <f t="shared" ref="AD18:AD81" si="18">M18*1.35</f>
        <v>79339500</v>
      </c>
      <c r="AE18" s="20">
        <f t="shared" si="9"/>
        <v>68755500</v>
      </c>
      <c r="AF18" s="20">
        <f t="shared" si="10"/>
        <v>1330613995.95</v>
      </c>
      <c r="AG18">
        <f t="shared" si="11"/>
        <v>282361627.07999998</v>
      </c>
      <c r="AH18">
        <f t="shared" si="12"/>
        <v>292114518.84000003</v>
      </c>
      <c r="AI18">
        <f t="shared" si="13"/>
        <v>8866958805.7200012</v>
      </c>
    </row>
    <row r="19" spans="2:35" x14ac:dyDescent="0.25">
      <c r="B19" s="4">
        <v>2024</v>
      </c>
      <c r="C19" s="4" t="s">
        <v>134</v>
      </c>
      <c r="D19" s="4" t="s">
        <v>18</v>
      </c>
      <c r="E19" s="4" t="str">
        <f>D19&amp;"-"&amp;C19</f>
        <v>Eversource-MA</v>
      </c>
      <c r="F19" s="4" t="s">
        <v>135</v>
      </c>
      <c r="G19" s="4"/>
      <c r="H19" s="4" t="s">
        <v>139</v>
      </c>
      <c r="I19" s="4" t="s">
        <v>154</v>
      </c>
      <c r="J19" s="4" t="s">
        <v>155</v>
      </c>
      <c r="K19" s="5"/>
      <c r="L19" s="5"/>
      <c r="M19" s="8">
        <v>12585000</v>
      </c>
      <c r="N19" s="8"/>
      <c r="O19" s="8">
        <f>SUMIFS(EIAwtransport!$J$2:$J$675,EIAwtransport!$E$2:$E$675,Program_data!$E19,EIAwtransport!$H$2:$H$675,Program_data!$F19,EIAwtransport!$I$2:$I$675,Program_data!O$2)</f>
        <v>684203348</v>
      </c>
      <c r="P19" s="5">
        <f>SUMIFS(EIAwtransport!$J$2:$J$675,EIAwtransport!$E$2:$E$675,Program_data!$E19,EIAwtransport!$H$2:$H$675,Program_data!$F19,EIAwtransport!$I$2:$I$675,Program_data!P$2)</f>
        <v>44515571</v>
      </c>
      <c r="Q19" s="5">
        <f>SUMIFS(EIAwtransport!$J$2:$J$675,EIAwtransport!$E$2:$E$675,Program_data!$E19,EIAwtransport!$H$2:$H$675,Program_data!$F19,EIAwtransport!$I$2:$I$675,Program_data!Q$2)</f>
        <v>576322</v>
      </c>
      <c r="R19" s="8">
        <f>SUMIFS(EIAwtransport!$J$2:$J$675,EIAwtransport!$E$2:$E$675,Program_data!$E19,EIAwtransport!$I$2:$I$675,Program_data!R$2)</f>
        <v>985639997</v>
      </c>
      <c r="S19" s="5">
        <f>SUMIFS(EIAwtransport!$J$2:$J$675,EIAwtransport!$E$2:$E$675,Program_data!$E19,EIAwtransport!$I$2:$I$675,Program_data!S$2)</f>
        <v>84062939</v>
      </c>
      <c r="T19" s="5">
        <f>SUMIFS(EIAwtransport!$J$2:$J$675,EIAwtransport!$E$2:$E$675,Program_data!$E19,EIAwtransport!$I$2:$I$675,Program_data!T$2)</f>
        <v>631529</v>
      </c>
      <c r="U19" s="24">
        <f t="shared" si="14"/>
        <v>0</v>
      </c>
      <c r="V19" s="24">
        <f t="shared" si="15"/>
        <v>0</v>
      </c>
      <c r="W19" s="24">
        <f t="shared" si="16"/>
        <v>1.27683535959428E-2</v>
      </c>
      <c r="X19" s="25">
        <f t="shared" si="17"/>
        <v>1.4450700323103621E-2</v>
      </c>
      <c r="Y19" s="8">
        <f t="shared" si="7"/>
        <v>2.8753141769096162</v>
      </c>
      <c r="Z19" s="27">
        <f t="shared" si="8"/>
        <v>1.2041515816820463</v>
      </c>
      <c r="AA19" s="27"/>
      <c r="AB19" s="27"/>
      <c r="AC19" s="56"/>
      <c r="AD19" s="20">
        <f t="shared" si="18"/>
        <v>16989750</v>
      </c>
      <c r="AE19" s="20">
        <f t="shared" si="9"/>
        <v>0</v>
      </c>
      <c r="AF19" s="20">
        <f t="shared" si="10"/>
        <v>1330613995.95</v>
      </c>
      <c r="AG19">
        <f t="shared" si="11"/>
        <v>0</v>
      </c>
      <c r="AH19">
        <f t="shared" si="12"/>
        <v>0</v>
      </c>
      <c r="AI19">
        <f t="shared" si="13"/>
        <v>8866958805.7200012</v>
      </c>
    </row>
    <row r="20" spans="2:35" x14ac:dyDescent="0.25">
      <c r="B20" s="4">
        <v>2024</v>
      </c>
      <c r="C20" s="4" t="s">
        <v>134</v>
      </c>
      <c r="D20" s="4" t="s">
        <v>18</v>
      </c>
      <c r="E20" s="4" t="str">
        <f>D20&amp;"-"&amp;C20</f>
        <v>Eversource-MA</v>
      </c>
      <c r="F20" s="4" t="s">
        <v>135</v>
      </c>
      <c r="G20" s="4"/>
      <c r="H20" s="4" t="s">
        <v>139</v>
      </c>
      <c r="I20" s="4" t="s">
        <v>156</v>
      </c>
      <c r="J20" s="4" t="s">
        <v>157</v>
      </c>
      <c r="K20" s="5">
        <v>520952</v>
      </c>
      <c r="L20" s="5">
        <v>520952</v>
      </c>
      <c r="M20" s="8">
        <v>0</v>
      </c>
      <c r="N20" s="8"/>
      <c r="O20" s="8">
        <f>SUMIFS(EIAwtransport!$J$2:$J$675,EIAwtransport!$E$2:$E$675,Program_data!$E20,EIAwtransport!$H$2:$H$675,Program_data!$F20,EIAwtransport!$I$2:$I$675,Program_data!O$2)</f>
        <v>684203348</v>
      </c>
      <c r="P20" s="5">
        <f>SUMIFS(EIAwtransport!$J$2:$J$675,EIAwtransport!$E$2:$E$675,Program_data!$E20,EIAwtransport!$H$2:$H$675,Program_data!$F20,EIAwtransport!$I$2:$I$675,Program_data!P$2)</f>
        <v>44515571</v>
      </c>
      <c r="Q20" s="5">
        <f>SUMIFS(EIAwtransport!$J$2:$J$675,EIAwtransport!$E$2:$E$675,Program_data!$E20,EIAwtransport!$H$2:$H$675,Program_data!$F20,EIAwtransport!$I$2:$I$675,Program_data!Q$2)</f>
        <v>576322</v>
      </c>
      <c r="R20" s="8">
        <f>SUMIFS(EIAwtransport!$J$2:$J$675,EIAwtransport!$E$2:$E$675,Program_data!$E20,EIAwtransport!$I$2:$I$675,Program_data!R$2)</f>
        <v>985639997</v>
      </c>
      <c r="S20" s="5">
        <f>SUMIFS(EIAwtransport!$J$2:$J$675,EIAwtransport!$E$2:$E$675,Program_data!$E20,EIAwtransport!$I$2:$I$675,Program_data!S$2)</f>
        <v>84062939</v>
      </c>
      <c r="T20" s="5">
        <f>SUMIFS(EIAwtransport!$J$2:$J$675,EIAwtransport!$E$2:$E$675,Program_data!$E20,EIAwtransport!$I$2:$I$675,Program_data!T$2)</f>
        <v>631529</v>
      </c>
      <c r="U20" s="24">
        <f t="shared" si="14"/>
        <v>5.9818206076451934E-4</v>
      </c>
      <c r="V20" s="24">
        <f t="shared" si="15"/>
        <v>5.9818206076451934E-4</v>
      </c>
      <c r="W20" s="24">
        <f t="shared" si="16"/>
        <v>0</v>
      </c>
      <c r="X20" s="25">
        <f t="shared" si="17"/>
        <v>0</v>
      </c>
      <c r="Y20" s="8">
        <f t="shared" si="7"/>
        <v>0</v>
      </c>
      <c r="Z20" s="27">
        <f t="shared" si="8"/>
        <v>0</v>
      </c>
      <c r="AA20" s="27"/>
      <c r="AB20" s="27"/>
      <c r="AC20" s="56"/>
      <c r="AD20" s="20">
        <f t="shared" si="18"/>
        <v>0</v>
      </c>
      <c r="AE20" s="20">
        <f t="shared" si="9"/>
        <v>0</v>
      </c>
      <c r="AF20" s="20">
        <f t="shared" si="10"/>
        <v>1330613995.95</v>
      </c>
      <c r="AG20">
        <f t="shared" si="11"/>
        <v>54950016.960000001</v>
      </c>
      <c r="AH20">
        <f t="shared" si="12"/>
        <v>54950016.960000001</v>
      </c>
      <c r="AI20">
        <f t="shared" si="13"/>
        <v>8866958805.7200012</v>
      </c>
    </row>
    <row r="21" spans="2:35" x14ac:dyDescent="0.25">
      <c r="B21" s="4">
        <v>2024</v>
      </c>
      <c r="C21" s="4" t="s">
        <v>134</v>
      </c>
      <c r="D21" s="4" t="s">
        <v>18</v>
      </c>
      <c r="E21" s="4" t="str">
        <f t="shared" si="0"/>
        <v>Eversource-MA</v>
      </c>
      <c r="F21" s="4" t="s">
        <v>135</v>
      </c>
      <c r="G21" s="4"/>
      <c r="H21" s="4" t="s">
        <v>139</v>
      </c>
      <c r="I21" s="4" t="s">
        <v>141</v>
      </c>
      <c r="J21" s="4" t="s">
        <v>21</v>
      </c>
      <c r="K21" s="5">
        <v>1024487</v>
      </c>
      <c r="L21" s="5">
        <v>1258341</v>
      </c>
      <c r="M21" s="8">
        <v>16230000</v>
      </c>
      <c r="N21" s="8">
        <v>14865000</v>
      </c>
      <c r="O21" s="8">
        <f>SUMIFS(EIAwtransport!$J$2:$J$675,EIAwtransport!$E$2:$E$675,Program_data!$E21,EIAwtransport!$H$2:$H$675,Program_data!$F21,EIAwtransport!$I$2:$I$675,Program_data!O$2)</f>
        <v>684203348</v>
      </c>
      <c r="P21" s="5">
        <f>SUMIFS(EIAwtransport!$J$2:$J$675,EIAwtransport!$E$2:$E$675,Program_data!$E21,EIAwtransport!$H$2:$H$675,Program_data!$F21,EIAwtransport!$I$2:$I$675,Program_data!P$2)</f>
        <v>44515571</v>
      </c>
      <c r="Q21" s="5">
        <f>SUMIFS(EIAwtransport!$J$2:$J$675,EIAwtransport!$E$2:$E$675,Program_data!$E21,EIAwtransport!$H$2:$H$675,Program_data!$F21,EIAwtransport!$I$2:$I$675,Program_data!Q$2)</f>
        <v>576322</v>
      </c>
      <c r="R21" s="8">
        <f>SUMIFS(EIAwtransport!$J$2:$J$675,EIAwtransport!$E$2:$E$675,Program_data!$E21,EIAwtransport!$I$2:$I$675,Program_data!R$2)</f>
        <v>985639997</v>
      </c>
      <c r="S21" s="5">
        <f>SUMIFS(EIAwtransport!$J$2:$J$675,EIAwtransport!$E$2:$E$675,Program_data!$E21,EIAwtransport!$I$2:$I$675,Program_data!S$2)</f>
        <v>84062939</v>
      </c>
      <c r="T21" s="5">
        <f>SUMIFS(EIAwtransport!$J$2:$J$675,EIAwtransport!$E$2:$E$675,Program_data!$E21,EIAwtransport!$I$2:$I$675,Program_data!T$2)</f>
        <v>631529</v>
      </c>
      <c r="U21" s="24">
        <f t="shared" si="14"/>
        <v>1.1763650871605448E-3</v>
      </c>
      <c r="V21" s="24">
        <f t="shared" si="15"/>
        <v>1.4448874608879246E-3</v>
      </c>
      <c r="W21" s="24">
        <f t="shared" si="16"/>
        <v>1.6466458391907163E-2</v>
      </c>
      <c r="X21" s="25">
        <f t="shared" si="17"/>
        <v>1.8636064063883333E-2</v>
      </c>
      <c r="Y21" s="8">
        <f t="shared" si="7"/>
        <v>3.7080928956093029</v>
      </c>
      <c r="Z21" s="27">
        <f t="shared" si="8"/>
        <v>1.5529106214302431</v>
      </c>
      <c r="AA21" s="27"/>
      <c r="AB21" s="27"/>
      <c r="AC21" s="56">
        <f>IFERROR(K21/SUMIFS($M$3:$M$1234,$E$3:$E$1234,E21,$B$3:$B$1234,B21),"")</f>
        <v>5.4564578512069561E-3</v>
      </c>
      <c r="AD21" s="20">
        <f t="shared" si="18"/>
        <v>21910500</v>
      </c>
      <c r="AE21" s="20">
        <f t="shared" si="9"/>
        <v>20067750</v>
      </c>
      <c r="AF21" s="20">
        <f t="shared" si="10"/>
        <v>1330613995.95</v>
      </c>
      <c r="AG21">
        <f t="shared" si="11"/>
        <v>108062888.76000001</v>
      </c>
      <c r="AH21">
        <f t="shared" si="12"/>
        <v>132729808.68000001</v>
      </c>
      <c r="AI21">
        <f t="shared" si="13"/>
        <v>8866958805.7200012</v>
      </c>
    </row>
    <row r="22" spans="2:35" x14ac:dyDescent="0.25">
      <c r="B22" s="4">
        <v>2024</v>
      </c>
      <c r="C22" s="4" t="s">
        <v>134</v>
      </c>
      <c r="D22" s="4" t="s">
        <v>18</v>
      </c>
      <c r="E22" s="4" t="str">
        <f>D22&amp;"-"&amp;C22</f>
        <v>Eversource-MA</v>
      </c>
      <c r="F22" s="4" t="s">
        <v>135</v>
      </c>
      <c r="G22" s="4"/>
      <c r="H22" s="4" t="s">
        <v>139</v>
      </c>
      <c r="I22" s="4" t="s">
        <v>158</v>
      </c>
      <c r="J22" s="4" t="s">
        <v>155</v>
      </c>
      <c r="K22" s="5"/>
      <c r="L22" s="5"/>
      <c r="M22" s="8">
        <v>4260000</v>
      </c>
      <c r="N22" s="8">
        <v>415000</v>
      </c>
      <c r="O22" s="8">
        <f>SUMIFS(EIAwtransport!$J$2:$J$675,EIAwtransport!$E$2:$E$675,Program_data!$E22,EIAwtransport!$H$2:$H$675,Program_data!$F22,EIAwtransport!$I$2:$I$675,Program_data!O$2)</f>
        <v>684203348</v>
      </c>
      <c r="P22" s="5">
        <f>SUMIFS(EIAwtransport!$J$2:$J$675,EIAwtransport!$E$2:$E$675,Program_data!$E22,EIAwtransport!$H$2:$H$675,Program_data!$F22,EIAwtransport!$I$2:$I$675,Program_data!P$2)</f>
        <v>44515571</v>
      </c>
      <c r="Q22" s="5">
        <f>SUMIFS(EIAwtransport!$J$2:$J$675,EIAwtransport!$E$2:$E$675,Program_data!$E22,EIAwtransport!$H$2:$H$675,Program_data!$F22,EIAwtransport!$I$2:$I$675,Program_data!Q$2)</f>
        <v>576322</v>
      </c>
      <c r="R22" s="8">
        <f>SUMIFS(EIAwtransport!$J$2:$J$675,EIAwtransport!$E$2:$E$675,Program_data!$E22,EIAwtransport!$I$2:$I$675,Program_data!R$2)</f>
        <v>985639997</v>
      </c>
      <c r="S22" s="5">
        <f>SUMIFS(EIAwtransport!$J$2:$J$675,EIAwtransport!$E$2:$E$675,Program_data!$E22,EIAwtransport!$I$2:$I$675,Program_data!S$2)</f>
        <v>84062939</v>
      </c>
      <c r="T22" s="5">
        <f>SUMIFS(EIAwtransport!$J$2:$J$675,EIAwtransport!$E$2:$E$675,Program_data!$E22,EIAwtransport!$I$2:$I$675,Program_data!T$2)</f>
        <v>631529</v>
      </c>
      <c r="U22" s="24">
        <f t="shared" si="14"/>
        <v>0</v>
      </c>
      <c r="V22" s="24">
        <f t="shared" si="15"/>
        <v>0</v>
      </c>
      <c r="W22" s="24">
        <f t="shared" si="16"/>
        <v>4.3220648644192554E-3</v>
      </c>
      <c r="X22" s="25">
        <f t="shared" si="17"/>
        <v>4.8915362237919278E-3</v>
      </c>
      <c r="Y22" s="8">
        <f t="shared" si="7"/>
        <v>0.97328870827453051</v>
      </c>
      <c r="Z22" s="27">
        <f t="shared" si="8"/>
        <v>0.40760315756579396</v>
      </c>
      <c r="AA22" s="27"/>
      <c r="AB22" s="27"/>
      <c r="AC22" s="56"/>
      <c r="AD22" s="20">
        <f t="shared" si="18"/>
        <v>5751000</v>
      </c>
      <c r="AE22" s="20">
        <f t="shared" si="9"/>
        <v>560250</v>
      </c>
      <c r="AF22" s="20">
        <f t="shared" si="10"/>
        <v>1330613995.95</v>
      </c>
      <c r="AG22">
        <f t="shared" si="11"/>
        <v>0</v>
      </c>
      <c r="AH22">
        <f t="shared" si="12"/>
        <v>0</v>
      </c>
      <c r="AI22">
        <f t="shared" si="13"/>
        <v>8866958805.7200012</v>
      </c>
    </row>
    <row r="23" spans="2:35" x14ac:dyDescent="0.25">
      <c r="B23" s="4">
        <v>2024</v>
      </c>
      <c r="C23" s="4" t="s">
        <v>134</v>
      </c>
      <c r="D23" s="4" t="s">
        <v>18</v>
      </c>
      <c r="E23" s="4" t="str">
        <f>D23&amp;"-"&amp;C23</f>
        <v>Eversource-MA</v>
      </c>
      <c r="F23" s="4" t="s">
        <v>143</v>
      </c>
      <c r="G23" s="4">
        <v>1</v>
      </c>
      <c r="H23" s="4" t="s">
        <v>144</v>
      </c>
      <c r="I23" s="4" t="s">
        <v>145</v>
      </c>
      <c r="J23" s="4" t="s">
        <v>27</v>
      </c>
      <c r="K23" s="5">
        <v>376500.41518724244</v>
      </c>
      <c r="L23" s="5">
        <v>376500.41518724244</v>
      </c>
      <c r="M23" s="8">
        <v>9136769.9874556847</v>
      </c>
      <c r="N23" s="8">
        <v>8725005.7626561485</v>
      </c>
      <c r="O23" s="8">
        <f>SUMIFS(EIAwtransport!$J$2:$J$675,EIAwtransport!$E$2:$E$675,Program_data!$E23,EIAwtransport!$H$2:$H$675,Program_data!$F23,EIAwtransport!$I$2:$I$675,Program_data!O$2)</f>
        <v>0</v>
      </c>
      <c r="P23" s="5">
        <f>SUMIFS(EIAwtransport!$J$2:$J$675,EIAwtransport!$E$2:$E$675,Program_data!$E23,EIAwtransport!$H$2:$H$675,Program_data!$F23,EIAwtransport!$I$2:$I$675,Program_data!P$2)</f>
        <v>0</v>
      </c>
      <c r="Q23" s="5">
        <f>SUMIFS(EIAwtransport!$J$2:$J$675,EIAwtransport!$E$2:$E$675,Program_data!$E23,EIAwtransport!$H$2:$H$675,Program_data!$F23,EIAwtransport!$I$2:$I$675,Program_data!Q$2)</f>
        <v>0</v>
      </c>
      <c r="R23" s="8">
        <f>SUMIFS(EIAwtransport!$J$2:$J$675,EIAwtransport!$E$2:$E$675,Program_data!$E23,EIAwtransport!$I$2:$I$675,Program_data!R$2)</f>
        <v>985639997</v>
      </c>
      <c r="S23" s="5">
        <f>SUMIFS(EIAwtransport!$J$2:$J$675,EIAwtransport!$E$2:$E$675,Program_data!$E23,EIAwtransport!$I$2:$I$675,Program_data!S$2)</f>
        <v>84062939</v>
      </c>
      <c r="T23" s="5">
        <f>SUMIFS(EIAwtransport!$J$2:$J$675,EIAwtransport!$E$2:$E$675,Program_data!$E23,EIAwtransport!$I$2:$I$675,Program_data!T$2)</f>
        <v>631529</v>
      </c>
      <c r="U23" s="24">
        <f t="shared" si="14"/>
        <v>4.3231582609415419E-4</v>
      </c>
      <c r="V23" s="24">
        <f t="shared" si="15"/>
        <v>4.3231582609415419E-4</v>
      </c>
      <c r="W23" s="24">
        <f t="shared" si="16"/>
        <v>9.2698855720804163E-3</v>
      </c>
      <c r="X23" s="25">
        <f t="shared" si="17"/>
        <v>1.0491277315045634E-2</v>
      </c>
      <c r="Y23" s="8">
        <f t="shared" si="7"/>
        <v>7.7028855459606547</v>
      </c>
      <c r="Z23" s="27">
        <f t="shared" si="8"/>
        <v>0.87421978799044986</v>
      </c>
      <c r="AA23" s="27"/>
      <c r="AB23" s="27"/>
      <c r="AC23" s="56"/>
      <c r="AD23" s="20">
        <f t="shared" si="18"/>
        <v>12334639.483065175</v>
      </c>
      <c r="AE23" s="20">
        <f t="shared" si="9"/>
        <v>11778757.779585801</v>
      </c>
      <c r="AF23" s="20">
        <f t="shared" si="10"/>
        <v>1330613995.95</v>
      </c>
      <c r="AG23">
        <f t="shared" si="11"/>
        <v>39713263.793950334</v>
      </c>
      <c r="AH23">
        <f t="shared" si="12"/>
        <v>39713263.793950334</v>
      </c>
      <c r="AI23">
        <f t="shared" si="13"/>
        <v>8866958805.7200012</v>
      </c>
    </row>
    <row r="24" spans="2:35" x14ac:dyDescent="0.25">
      <c r="B24" s="4">
        <v>2024</v>
      </c>
      <c r="C24" s="4" t="s">
        <v>134</v>
      </c>
      <c r="D24" s="4" t="s">
        <v>18</v>
      </c>
      <c r="E24" s="4" t="str">
        <f t="shared" si="0"/>
        <v>Eversource-MA</v>
      </c>
      <c r="F24" s="4" t="s">
        <v>143</v>
      </c>
      <c r="G24" s="4">
        <v>1</v>
      </c>
      <c r="H24" s="4" t="s">
        <v>144</v>
      </c>
      <c r="I24" s="4" t="s">
        <v>145</v>
      </c>
      <c r="J24" s="4" t="s">
        <v>21</v>
      </c>
      <c r="K24" s="5">
        <v>809648.58481275756</v>
      </c>
      <c r="L24" s="5">
        <v>809648.58481275756</v>
      </c>
      <c r="M24" s="8">
        <v>26903230.012544315</v>
      </c>
      <c r="N24" s="8">
        <v>19824994.237343851</v>
      </c>
      <c r="O24" s="8">
        <f>SUMIFS(EIAwtransport!$J$2:$J$675,EIAwtransport!$E$2:$E$675,Program_data!$E24,EIAwtransport!$H$2:$H$675,Program_data!$F24,EIAwtransport!$I$2:$I$675,Program_data!O$2)</f>
        <v>0</v>
      </c>
      <c r="P24" s="5">
        <f>SUMIFS(EIAwtransport!$J$2:$J$675,EIAwtransport!$E$2:$E$675,Program_data!$E24,EIAwtransport!$H$2:$H$675,Program_data!$F24,EIAwtransport!$I$2:$I$675,Program_data!P$2)</f>
        <v>0</v>
      </c>
      <c r="Q24" s="5">
        <f>SUMIFS(EIAwtransport!$J$2:$J$675,EIAwtransport!$E$2:$E$675,Program_data!$E24,EIAwtransport!$H$2:$H$675,Program_data!$F24,EIAwtransport!$I$2:$I$675,Program_data!Q$2)</f>
        <v>0</v>
      </c>
      <c r="R24" s="8">
        <f>SUMIFS(EIAwtransport!$J$2:$J$675,EIAwtransport!$E$2:$E$675,Program_data!$E24,EIAwtransport!$I$2:$I$675,Program_data!R$2)</f>
        <v>985639997</v>
      </c>
      <c r="S24" s="5">
        <f>SUMIFS(EIAwtransport!$J$2:$J$675,EIAwtransport!$E$2:$E$675,Program_data!$E24,EIAwtransport!$I$2:$I$675,Program_data!S$2)</f>
        <v>84062939</v>
      </c>
      <c r="T24" s="5">
        <f>SUMIFS(EIAwtransport!$J$2:$J$675,EIAwtransport!$E$2:$E$675,Program_data!$E24,EIAwtransport!$I$2:$I$675,Program_data!T$2)</f>
        <v>631529</v>
      </c>
      <c r="U24" s="24">
        <f t="shared" si="14"/>
        <v>9.2967731951959509E-4</v>
      </c>
      <c r="V24" s="24">
        <f t="shared" si="15"/>
        <v>9.2967731951959509E-4</v>
      </c>
      <c r="W24" s="24">
        <f t="shared" si="16"/>
        <v>2.7295189008593283E-2</v>
      </c>
      <c r="X24" s="25">
        <f t="shared" si="17"/>
        <v>3.0891578437410024E-2</v>
      </c>
      <c r="Y24" s="8">
        <f t="shared" si="7"/>
        <v>22.68115558209324</v>
      </c>
      <c r="Z24" s="27">
        <f t="shared" si="8"/>
        <v>2.5741411976131214</v>
      </c>
      <c r="AA24" s="27"/>
      <c r="AB24" s="27"/>
      <c r="AC24" s="56">
        <f>IFERROR(K24/SUMIFS($M$3:$M$1234,$E$3:$E$1234,E24,$B$3:$B$1234,B24),"")</f>
        <v>4.3122200450763865E-3</v>
      </c>
      <c r="AD24" s="20">
        <f t="shared" si="18"/>
        <v>36319360.516934827</v>
      </c>
      <c r="AE24" s="20">
        <f t="shared" si="9"/>
        <v>26763742.220414203</v>
      </c>
      <c r="AF24" s="20">
        <f t="shared" si="10"/>
        <v>1330613995.95</v>
      </c>
      <c r="AG24">
        <f t="shared" si="11"/>
        <v>85401732.726049677</v>
      </c>
      <c r="AH24">
        <f t="shared" si="12"/>
        <v>85401732.726049677</v>
      </c>
      <c r="AI24">
        <f t="shared" si="13"/>
        <v>8866958805.7200012</v>
      </c>
    </row>
    <row r="25" spans="2:35" x14ac:dyDescent="0.25">
      <c r="B25" s="4">
        <v>2024</v>
      </c>
      <c r="C25" s="4" t="s">
        <v>134</v>
      </c>
      <c r="D25" s="4" t="s">
        <v>18</v>
      </c>
      <c r="E25" s="4" t="str">
        <f>D25&amp;"-"&amp;C25</f>
        <v>Eversource-MA</v>
      </c>
      <c r="F25" s="4" t="s">
        <v>143</v>
      </c>
      <c r="G25" s="4">
        <v>1</v>
      </c>
      <c r="H25" s="4" t="s">
        <v>144</v>
      </c>
      <c r="I25" s="4" t="s">
        <v>158</v>
      </c>
      <c r="J25" s="4" t="s">
        <v>155</v>
      </c>
      <c r="K25" s="5"/>
      <c r="L25" s="5"/>
      <c r="M25" s="8">
        <v>3851788</v>
      </c>
      <c r="N25" s="8"/>
      <c r="O25" s="8">
        <f>SUMIFS(EIAwtransport!$J$2:$J$675,EIAwtransport!$E$2:$E$675,Program_data!$E25,EIAwtransport!$H$2:$H$675,Program_data!$F25,EIAwtransport!$I$2:$I$675,Program_data!O$2)</f>
        <v>0</v>
      </c>
      <c r="P25" s="5">
        <f>SUMIFS(EIAwtransport!$J$2:$J$675,EIAwtransport!$E$2:$E$675,Program_data!$E25,EIAwtransport!$H$2:$H$675,Program_data!$F25,EIAwtransport!$I$2:$I$675,Program_data!P$2)</f>
        <v>0</v>
      </c>
      <c r="Q25" s="5">
        <f>SUMIFS(EIAwtransport!$J$2:$J$675,EIAwtransport!$E$2:$E$675,Program_data!$E25,EIAwtransport!$H$2:$H$675,Program_data!$F25,EIAwtransport!$I$2:$I$675,Program_data!Q$2)</f>
        <v>0</v>
      </c>
      <c r="R25" s="8">
        <f>SUMIFS(EIAwtransport!$J$2:$J$675,EIAwtransport!$E$2:$E$675,Program_data!$E25,EIAwtransport!$I$2:$I$675,Program_data!R$2)</f>
        <v>985639997</v>
      </c>
      <c r="S25" s="5">
        <f>SUMIFS(EIAwtransport!$J$2:$J$675,EIAwtransport!$E$2:$E$675,Program_data!$E25,EIAwtransport!$I$2:$I$675,Program_data!S$2)</f>
        <v>84062939</v>
      </c>
      <c r="T25" s="5">
        <f>SUMIFS(EIAwtransport!$J$2:$J$675,EIAwtransport!$E$2:$E$675,Program_data!$E25,EIAwtransport!$I$2:$I$675,Program_data!T$2)</f>
        <v>631529</v>
      </c>
      <c r="U25" s="24">
        <f t="shared" si="14"/>
        <v>0</v>
      </c>
      <c r="V25" s="24">
        <f t="shared" si="15"/>
        <v>0</v>
      </c>
      <c r="W25" s="24">
        <f t="shared" si="16"/>
        <v>3.9079055352093228E-3</v>
      </c>
      <c r="X25" s="25">
        <f t="shared" si="17"/>
        <v>4.4228076357669165E-3</v>
      </c>
      <c r="Y25" s="8">
        <f t="shared" si="7"/>
        <v>3.2473053553980149</v>
      </c>
      <c r="Z25" s="27">
        <f t="shared" si="8"/>
        <v>0.36854482419578272</v>
      </c>
      <c r="AA25" s="27"/>
      <c r="AB25" s="27"/>
      <c r="AC25" s="56"/>
      <c r="AD25" s="20">
        <f t="shared" si="18"/>
        <v>5199913.8000000007</v>
      </c>
      <c r="AE25" s="20">
        <f t="shared" si="9"/>
        <v>0</v>
      </c>
      <c r="AF25" s="20">
        <f t="shared" si="10"/>
        <v>1330613995.95</v>
      </c>
      <c r="AG25">
        <f t="shared" si="11"/>
        <v>0</v>
      </c>
      <c r="AH25">
        <f t="shared" si="12"/>
        <v>0</v>
      </c>
      <c r="AI25">
        <f t="shared" si="13"/>
        <v>8866958805.7200012</v>
      </c>
    </row>
    <row r="26" spans="2:35" x14ac:dyDescent="0.25">
      <c r="B26" s="4">
        <v>2024</v>
      </c>
      <c r="C26" s="4" t="s">
        <v>134</v>
      </c>
      <c r="D26" s="4" t="s">
        <v>18</v>
      </c>
      <c r="E26" s="4" t="str">
        <f t="shared" si="0"/>
        <v>Eversource-MA</v>
      </c>
      <c r="F26" s="4" t="s">
        <v>146</v>
      </c>
      <c r="G26" s="4"/>
      <c r="H26" s="4" t="s">
        <v>147</v>
      </c>
      <c r="I26" s="4" t="s">
        <v>148</v>
      </c>
      <c r="J26" s="4" t="s">
        <v>32</v>
      </c>
      <c r="K26" s="5">
        <v>416325</v>
      </c>
      <c r="L26" s="5">
        <v>633079</v>
      </c>
      <c r="M26" s="8">
        <v>2780000</v>
      </c>
      <c r="N26" s="8">
        <v>1845000</v>
      </c>
      <c r="O26" s="8">
        <f>SUMIFS(EIAwtransport!$J$2:$J$675,EIAwtransport!$E$2:$E$675,Program_data!$E26,EIAwtransport!$H$2:$H$675,Program_data!$F26,EIAwtransport!$I$2:$I$675,Program_data!O$2)</f>
        <v>301436649</v>
      </c>
      <c r="P26" s="5">
        <f>SUMIFS(EIAwtransport!$J$2:$J$675,EIAwtransport!$E$2:$E$675,Program_data!$E26,EIAwtransport!$H$2:$H$675,Program_data!$F26,EIAwtransport!$I$2:$I$675,Program_data!P$2)</f>
        <v>39547368</v>
      </c>
      <c r="Q26" s="5">
        <f>SUMIFS(EIAwtransport!$J$2:$J$675,EIAwtransport!$E$2:$E$675,Program_data!$E26,EIAwtransport!$H$2:$H$675,Program_data!$F26,EIAwtransport!$I$2:$I$675,Program_data!Q$2)</f>
        <v>55207</v>
      </c>
      <c r="R26" s="8">
        <f>SUMIFS(EIAwtransport!$J$2:$J$675,EIAwtransport!$E$2:$E$675,Program_data!$E26,EIAwtransport!$I$2:$I$675,Program_data!R$2)</f>
        <v>985639997</v>
      </c>
      <c r="S26" s="5">
        <f>SUMIFS(EIAwtransport!$J$2:$J$675,EIAwtransport!$E$2:$E$675,Program_data!$E26,EIAwtransport!$I$2:$I$675,Program_data!S$2)</f>
        <v>84062939</v>
      </c>
      <c r="T26" s="5">
        <f>SUMIFS(EIAwtransport!$J$2:$J$675,EIAwtransport!$E$2:$E$675,Program_data!$E26,EIAwtransport!$I$2:$I$675,Program_data!T$2)</f>
        <v>631529</v>
      </c>
      <c r="U26" s="24">
        <f t="shared" si="14"/>
        <v>4.7804432356107383E-4</v>
      </c>
      <c r="V26" s="24">
        <f t="shared" si="15"/>
        <v>7.2693165751689433E-4</v>
      </c>
      <c r="W26" s="24">
        <f t="shared" si="16"/>
        <v>2.8205024232595137E-3</v>
      </c>
      <c r="X26" s="25">
        <f t="shared" si="17"/>
        <v>3.1921292728031834E-3</v>
      </c>
      <c r="Y26" s="8">
        <f t="shared" si="7"/>
        <v>0.56870719353228538</v>
      </c>
      <c r="Z26" s="27">
        <f t="shared" si="8"/>
        <v>0.26599454883401574</v>
      </c>
      <c r="AA26" s="27"/>
      <c r="AB26" s="27"/>
      <c r="AC26" s="56">
        <f>IFERROR(K26/SUMIFS($M$3:$M$1234,$E$3:$E$1234,E26,$B$3:$B$1234,B26),"")</f>
        <v>2.2173632412160779E-3</v>
      </c>
      <c r="AD26" s="20">
        <f t="shared" si="18"/>
        <v>3753000.0000000005</v>
      </c>
      <c r="AE26" s="20">
        <f t="shared" si="9"/>
        <v>2490750</v>
      </c>
      <c r="AF26" s="20">
        <f t="shared" si="10"/>
        <v>1330613995.95</v>
      </c>
      <c r="AG26">
        <f t="shared" si="11"/>
        <v>43913961</v>
      </c>
      <c r="AH26">
        <f t="shared" si="12"/>
        <v>66777172.920000002</v>
      </c>
      <c r="AI26">
        <f t="shared" si="13"/>
        <v>8866958805.7200012</v>
      </c>
    </row>
    <row r="27" spans="2:35" x14ac:dyDescent="0.25">
      <c r="B27" s="4">
        <v>2024</v>
      </c>
      <c r="C27" s="4" t="s">
        <v>134</v>
      </c>
      <c r="D27" s="4" t="s">
        <v>18</v>
      </c>
      <c r="E27" s="4" t="str">
        <f>D27&amp;"-"&amp;C27</f>
        <v>Eversource-MA</v>
      </c>
      <c r="F27" s="4" t="s">
        <v>146</v>
      </c>
      <c r="G27" s="4"/>
      <c r="H27" s="4" t="s">
        <v>150</v>
      </c>
      <c r="I27" s="4" t="s">
        <v>151</v>
      </c>
      <c r="J27" s="4" t="s">
        <v>21</v>
      </c>
      <c r="K27" s="5">
        <v>3456127</v>
      </c>
      <c r="L27" s="5">
        <v>3772734</v>
      </c>
      <c r="M27" s="8">
        <v>35400000</v>
      </c>
      <c r="N27" s="8">
        <v>30440000</v>
      </c>
      <c r="O27" s="8">
        <f>SUMIFS(EIAwtransport!$J$2:$J$675,EIAwtransport!$E$2:$E$675,Program_data!$E27,EIAwtransport!$H$2:$H$675,Program_data!$F27,EIAwtransport!$I$2:$I$675,Program_data!O$2)</f>
        <v>301436649</v>
      </c>
      <c r="P27" s="5">
        <f>SUMIFS(EIAwtransport!$J$2:$J$675,EIAwtransport!$E$2:$E$675,Program_data!$E27,EIAwtransport!$H$2:$H$675,Program_data!$F27,EIAwtransport!$I$2:$I$675,Program_data!P$2)</f>
        <v>39547368</v>
      </c>
      <c r="Q27" s="5">
        <f>SUMIFS(EIAwtransport!$J$2:$J$675,EIAwtransport!$E$2:$E$675,Program_data!$E27,EIAwtransport!$H$2:$H$675,Program_data!$F27,EIAwtransport!$I$2:$I$675,Program_data!Q$2)</f>
        <v>55207</v>
      </c>
      <c r="R27" s="8">
        <f>SUMIFS(EIAwtransport!$J$2:$J$675,EIAwtransport!$E$2:$E$675,Program_data!$E27,EIAwtransport!$I$2:$I$675,Program_data!R$2)</f>
        <v>985639997</v>
      </c>
      <c r="S27" s="5">
        <f>SUMIFS(EIAwtransport!$J$2:$J$675,EIAwtransport!$E$2:$E$675,Program_data!$E27,EIAwtransport!$I$2:$I$675,Program_data!S$2)</f>
        <v>84062939</v>
      </c>
      <c r="T27" s="5">
        <f>SUMIFS(EIAwtransport!$J$2:$J$675,EIAwtransport!$E$2:$E$675,Program_data!$E27,EIAwtransport!$I$2:$I$675,Program_data!T$2)</f>
        <v>631529</v>
      </c>
      <c r="U27" s="24">
        <f t="shared" si="14"/>
        <v>3.9684907076350528E-3</v>
      </c>
      <c r="V27" s="24">
        <f t="shared" si="15"/>
        <v>4.3320340431294404E-3</v>
      </c>
      <c r="W27" s="24">
        <f t="shared" si="16"/>
        <v>3.5915750281793807E-2</v>
      </c>
      <c r="X27" s="25">
        <f t="shared" si="17"/>
        <v>4.0647977070947014E-2</v>
      </c>
      <c r="Y27" s="8">
        <f t="shared" si="7"/>
        <v>7.241811025555001</v>
      </c>
      <c r="Z27" s="27">
        <f t="shared" si="8"/>
        <v>3.3871248304763157</v>
      </c>
      <c r="AA27" s="27"/>
      <c r="AB27" s="27"/>
      <c r="AC27" s="56">
        <f>IFERROR(K27/SUMIFS($M$3:$M$1234,$E$3:$E$1234,E27,$B$3:$B$1234,B27),"")</f>
        <v>1.8407467643726416E-2</v>
      </c>
      <c r="AD27" s="20">
        <f t="shared" si="18"/>
        <v>47790000</v>
      </c>
      <c r="AE27" s="20">
        <f t="shared" si="9"/>
        <v>41094000</v>
      </c>
      <c r="AF27" s="20">
        <f t="shared" si="10"/>
        <v>1330613995.95</v>
      </c>
      <c r="AG27">
        <f t="shared" si="11"/>
        <v>364552275.96000004</v>
      </c>
      <c r="AH27">
        <f t="shared" si="12"/>
        <v>397947982.31999999</v>
      </c>
      <c r="AI27">
        <f t="shared" si="13"/>
        <v>8866958805.7200012</v>
      </c>
    </row>
    <row r="28" spans="2:35" x14ac:dyDescent="0.25">
      <c r="B28" s="4">
        <v>2024</v>
      </c>
      <c r="C28" s="4" t="s">
        <v>134</v>
      </c>
      <c r="D28" s="4" t="s">
        <v>18</v>
      </c>
      <c r="E28" s="4" t="str">
        <f t="shared" si="0"/>
        <v>Eversource-MA</v>
      </c>
      <c r="F28" s="4" t="s">
        <v>146</v>
      </c>
      <c r="G28" s="4"/>
      <c r="H28" s="4" t="s">
        <v>150</v>
      </c>
      <c r="I28" s="4" t="s">
        <v>153</v>
      </c>
      <c r="J28" s="4" t="s">
        <v>32</v>
      </c>
      <c r="K28" s="5">
        <v>1015828</v>
      </c>
      <c r="L28" s="5">
        <v>1404647</v>
      </c>
      <c r="M28" s="8">
        <v>12175000</v>
      </c>
      <c r="N28" s="8">
        <v>7595000</v>
      </c>
      <c r="O28" s="8">
        <f>SUMIFS(EIAwtransport!$J$2:$J$675,EIAwtransport!$E$2:$E$675,Program_data!$E28,EIAwtransport!$H$2:$H$675,Program_data!$F28,EIAwtransport!$I$2:$I$675,Program_data!O$2)</f>
        <v>301436649</v>
      </c>
      <c r="P28" s="5">
        <f>SUMIFS(EIAwtransport!$J$2:$J$675,EIAwtransport!$E$2:$E$675,Program_data!$E28,EIAwtransport!$H$2:$H$675,Program_data!$F28,EIAwtransport!$I$2:$I$675,Program_data!P$2)</f>
        <v>39547368</v>
      </c>
      <c r="Q28" s="5">
        <f>SUMIFS(EIAwtransport!$J$2:$J$675,EIAwtransport!$E$2:$E$675,Program_data!$E28,EIAwtransport!$H$2:$H$675,Program_data!$F28,EIAwtransport!$I$2:$I$675,Program_data!Q$2)</f>
        <v>55207</v>
      </c>
      <c r="R28" s="8">
        <f>SUMIFS(EIAwtransport!$J$2:$J$675,EIAwtransport!$E$2:$E$675,Program_data!$E28,EIAwtransport!$I$2:$I$675,Program_data!R$2)</f>
        <v>985639997</v>
      </c>
      <c r="S28" s="5">
        <f>SUMIFS(EIAwtransport!$J$2:$J$675,EIAwtransport!$E$2:$E$675,Program_data!$E28,EIAwtransport!$I$2:$I$675,Program_data!S$2)</f>
        <v>84062939</v>
      </c>
      <c r="T28" s="5">
        <f>SUMIFS(EIAwtransport!$J$2:$J$675,EIAwtransport!$E$2:$E$675,Program_data!$E28,EIAwtransport!$I$2:$I$675,Program_data!T$2)</f>
        <v>631529</v>
      </c>
      <c r="U28" s="24">
        <f t="shared" si="14"/>
        <v>1.1664224082493209E-3</v>
      </c>
      <c r="V28" s="24">
        <f t="shared" si="15"/>
        <v>1.6128830239766812E-3</v>
      </c>
      <c r="W28" s="24">
        <f t="shared" si="16"/>
        <v>1.2352380216972872E-2</v>
      </c>
      <c r="X28" s="25">
        <f t="shared" si="17"/>
        <v>1.3979918667762143E-2</v>
      </c>
      <c r="Y28" s="8">
        <f t="shared" si="7"/>
        <v>2.4906511083653147</v>
      </c>
      <c r="Z28" s="27">
        <f t="shared" si="8"/>
        <v>1.1649221698036483</v>
      </c>
      <c r="AA28" s="27"/>
      <c r="AB28" s="27"/>
      <c r="AC28" s="56">
        <f>IFERROR(K28/SUMIFS($M$3:$M$1234,$E$3:$E$1234,E28,$B$3:$B$1234,B28),"")</f>
        <v>5.4103396783715752E-3</v>
      </c>
      <c r="AD28" s="20">
        <f t="shared" si="18"/>
        <v>16436250.000000002</v>
      </c>
      <c r="AE28" s="20">
        <f t="shared" si="9"/>
        <v>10253250</v>
      </c>
      <c r="AF28" s="20">
        <f t="shared" si="10"/>
        <v>1330613995.95</v>
      </c>
      <c r="AG28">
        <f t="shared" si="11"/>
        <v>107149537.44</v>
      </c>
      <c r="AH28">
        <f t="shared" si="12"/>
        <v>148162165.56</v>
      </c>
      <c r="AI28">
        <f t="shared" si="13"/>
        <v>8866958805.7200012</v>
      </c>
    </row>
    <row r="29" spans="2:35" x14ac:dyDescent="0.25">
      <c r="B29" s="4">
        <v>2024</v>
      </c>
      <c r="C29" s="4" t="s">
        <v>134</v>
      </c>
      <c r="D29" s="4" t="s">
        <v>18</v>
      </c>
      <c r="E29" s="4" t="str">
        <f>D29&amp;"-"&amp;C29</f>
        <v>Eversource-MA</v>
      </c>
      <c r="F29" s="4" t="s">
        <v>146</v>
      </c>
      <c r="G29" s="4"/>
      <c r="H29" s="4" t="s">
        <v>150</v>
      </c>
      <c r="I29" s="4" t="s">
        <v>158</v>
      </c>
      <c r="J29" s="4" t="s">
        <v>155</v>
      </c>
      <c r="K29" s="5"/>
      <c r="L29" s="5"/>
      <c r="M29" s="8">
        <v>2880000</v>
      </c>
      <c r="N29" s="8"/>
      <c r="O29" s="8">
        <f>SUMIFS(EIAwtransport!$J$2:$J$675,EIAwtransport!$E$2:$E$675,Program_data!$E29,EIAwtransport!$H$2:$H$675,Program_data!$F29,EIAwtransport!$I$2:$I$675,Program_data!O$2)</f>
        <v>301436649</v>
      </c>
      <c r="P29" s="5">
        <f>SUMIFS(EIAwtransport!$J$2:$J$675,EIAwtransport!$E$2:$E$675,Program_data!$E29,EIAwtransport!$H$2:$H$675,Program_data!$F29,EIAwtransport!$I$2:$I$675,Program_data!P$2)</f>
        <v>39547368</v>
      </c>
      <c r="Q29" s="5">
        <f>SUMIFS(EIAwtransport!$J$2:$J$675,EIAwtransport!$E$2:$E$675,Program_data!$E29,EIAwtransport!$H$2:$H$675,Program_data!$F29,EIAwtransport!$I$2:$I$675,Program_data!Q$2)</f>
        <v>55207</v>
      </c>
      <c r="R29" s="8">
        <f>SUMIFS(EIAwtransport!$J$2:$J$675,EIAwtransport!$E$2:$E$675,Program_data!$E29,EIAwtransport!$I$2:$I$675,Program_data!R$2)</f>
        <v>985639997</v>
      </c>
      <c r="S29" s="5">
        <f>SUMIFS(EIAwtransport!$J$2:$J$675,EIAwtransport!$E$2:$E$675,Program_data!$E29,EIAwtransport!$I$2:$I$675,Program_data!S$2)</f>
        <v>84062939</v>
      </c>
      <c r="T29" s="5">
        <f>SUMIFS(EIAwtransport!$J$2:$J$675,EIAwtransport!$E$2:$E$675,Program_data!$E29,EIAwtransport!$I$2:$I$675,Program_data!T$2)</f>
        <v>631529</v>
      </c>
      <c r="U29" s="24">
        <f t="shared" si="14"/>
        <v>0</v>
      </c>
      <c r="V29" s="24">
        <f t="shared" si="15"/>
        <v>0</v>
      </c>
      <c r="W29" s="24">
        <f t="shared" si="16"/>
        <v>2.9219593449594963E-3</v>
      </c>
      <c r="X29" s="25">
        <f t="shared" si="17"/>
        <v>3.3069540667889094E-3</v>
      </c>
      <c r="Y29" s="8">
        <f t="shared" si="7"/>
        <v>0.58916428682481359</v>
      </c>
      <c r="Z29" s="27">
        <f t="shared" si="8"/>
        <v>0.27556269807264944</v>
      </c>
      <c r="AA29" s="27"/>
      <c r="AB29" s="27"/>
      <c r="AC29" s="56"/>
      <c r="AD29" s="20">
        <f t="shared" si="18"/>
        <v>3888000.0000000005</v>
      </c>
      <c r="AE29" s="20">
        <f t="shared" si="9"/>
        <v>0</v>
      </c>
      <c r="AF29" s="20">
        <f t="shared" si="10"/>
        <v>1330613995.95</v>
      </c>
      <c r="AG29">
        <f t="shared" si="11"/>
        <v>0</v>
      </c>
      <c r="AH29">
        <f t="shared" si="12"/>
        <v>0</v>
      </c>
      <c r="AI29">
        <f t="shared" si="13"/>
        <v>8866958805.7200012</v>
      </c>
    </row>
    <row r="30" spans="2:35" x14ac:dyDescent="0.25">
      <c r="B30" s="4">
        <v>2022</v>
      </c>
      <c r="C30" s="4" t="s">
        <v>134</v>
      </c>
      <c r="D30" s="4" t="s">
        <v>159</v>
      </c>
      <c r="E30" s="4" t="str">
        <f t="shared" si="0"/>
        <v>Ngrid-MA</v>
      </c>
      <c r="F30" s="4" t="s">
        <v>135</v>
      </c>
      <c r="G30" s="4"/>
      <c r="H30" s="4" t="s">
        <v>136</v>
      </c>
      <c r="I30" s="4" t="s">
        <v>137</v>
      </c>
      <c r="J30" s="4" t="s">
        <v>32</v>
      </c>
      <c r="K30" s="5">
        <v>461728.86076247424</v>
      </c>
      <c r="L30" s="5">
        <v>702376</v>
      </c>
      <c r="M30" s="8">
        <v>6267341.5016537793</v>
      </c>
      <c r="N30" s="8">
        <v>5518813.3214729168</v>
      </c>
      <c r="O30" s="8">
        <f>SUMIFS(EIAwtransport!$J$2:$J$675,EIAwtransport!$E$2:$E$675,Program_data!$E30,EIAwtransport!$H$2:$H$675,Program_data!$F30,EIAwtransport!$I$2:$I$675,Program_data!O$2)</f>
        <v>803991920</v>
      </c>
      <c r="P30" s="5">
        <f>SUMIFS(EIAwtransport!$J$2:$J$675,EIAwtransport!$E$2:$E$675,Program_data!$E30,EIAwtransport!$H$2:$H$675,Program_data!$F30,EIAwtransport!$I$2:$I$675,Program_data!P$2)</f>
        <v>48678482</v>
      </c>
      <c r="Q30" s="5">
        <f>SUMIFS(EIAwtransport!$J$2:$J$675,EIAwtransport!$E$2:$E$675,Program_data!$E30,EIAwtransport!$H$2:$H$675,Program_data!$F30,EIAwtransport!$I$2:$I$675,Program_data!Q$2)</f>
        <v>670202</v>
      </c>
      <c r="R30" s="8">
        <f>SUMIFS(EIAwtransport!$J$2:$J$675,EIAwtransport!$E$2:$E$675,Program_data!$E30,EIAwtransport!$I$2:$I$675,Program_data!R$2)</f>
        <v>1231007132</v>
      </c>
      <c r="S30" s="5">
        <f>SUMIFS(EIAwtransport!$J$2:$J$675,EIAwtransport!$E$2:$E$675,Program_data!$E30,EIAwtransport!$I$2:$I$675,Program_data!S$2)</f>
        <v>120192643</v>
      </c>
      <c r="T30" s="5">
        <f>SUMIFS(EIAwtransport!$J$2:$J$675,EIAwtransport!$E$2:$E$675,Program_data!$E30,EIAwtransport!$I$2:$I$675,Program_data!T$2)</f>
        <v>731793</v>
      </c>
      <c r="U30" s="55">
        <f t="shared" ref="U30:U40" si="19">IFERROR(K30/10.36/S30,"")</f>
        <v>3.7080824367528625E-4</v>
      </c>
      <c r="V30" s="24">
        <f t="shared" si="6"/>
        <v>5.6406872754192778E-4</v>
      </c>
      <c r="W30" s="24">
        <f t="shared" ref="W30:W40" si="20">IFERROR(M30/R30,"")</f>
        <v>5.0912308618970533E-3</v>
      </c>
      <c r="X30" s="25">
        <f t="shared" ref="X30:X40" si="21">IFERROR(M30/S30/10.36,"")</f>
        <v>5.0332177436423833E-3</v>
      </c>
      <c r="Y30" s="8">
        <f t="shared" si="7"/>
        <v>0.70296621894491262</v>
      </c>
      <c r="Z30" s="27">
        <f t="shared" si="8"/>
        <v>0.40408914357238751</v>
      </c>
      <c r="AA30" s="27"/>
      <c r="AB30" s="27"/>
      <c r="AC30" s="56">
        <f t="shared" ref="AC30:AC49" si="22">IFERROR(K30/SUMIFS($M$3:$M$1234,$E$3:$E$1234,E30,$B$3:$B$1234,B30),"")</f>
        <v>2.4780216307527842E-3</v>
      </c>
      <c r="AD30" s="20">
        <f t="shared" si="18"/>
        <v>8460911.0272326022</v>
      </c>
      <c r="AE30" s="20">
        <f t="shared" si="9"/>
        <v>7450397.9839884378</v>
      </c>
      <c r="AF30" s="20">
        <f t="shared" si="10"/>
        <v>1661859628.2</v>
      </c>
      <c r="AG30">
        <f t="shared" si="11"/>
        <v>48703160.233225785</v>
      </c>
      <c r="AH30">
        <f t="shared" si="12"/>
        <v>74086620.480000004</v>
      </c>
      <c r="AI30">
        <f t="shared" si="13"/>
        <v>12677919983.640001</v>
      </c>
    </row>
    <row r="31" spans="2:35" x14ac:dyDescent="0.25">
      <c r="B31" s="4">
        <v>2022</v>
      </c>
      <c r="C31" s="4" t="s">
        <v>134</v>
      </c>
      <c r="D31" s="4" t="s">
        <v>159</v>
      </c>
      <c r="E31" s="4" t="str">
        <f t="shared" si="0"/>
        <v>Ngrid-MA</v>
      </c>
      <c r="F31" s="4" t="s">
        <v>135</v>
      </c>
      <c r="G31" s="4"/>
      <c r="H31" s="4" t="s">
        <v>139</v>
      </c>
      <c r="I31" s="4" t="s">
        <v>140</v>
      </c>
      <c r="J31" s="4" t="s">
        <v>27</v>
      </c>
      <c r="K31" s="5">
        <v>2342143.2389959916</v>
      </c>
      <c r="L31" s="5">
        <v>2457814</v>
      </c>
      <c r="M31" s="8">
        <v>69390132.226335943</v>
      </c>
      <c r="N31" s="8">
        <v>64237651.15319968</v>
      </c>
      <c r="O31" s="8">
        <f>SUMIFS(EIAwtransport!$J$2:$J$675,EIAwtransport!$E$2:$E$675,Program_data!$E31,EIAwtransport!$H$2:$H$675,Program_data!$F31,EIAwtransport!$I$2:$I$675,Program_data!O$2)</f>
        <v>803991920</v>
      </c>
      <c r="P31" s="5">
        <f>SUMIFS(EIAwtransport!$J$2:$J$675,EIAwtransport!$E$2:$E$675,Program_data!$E31,EIAwtransport!$H$2:$H$675,Program_data!$F31,EIAwtransport!$I$2:$I$675,Program_data!P$2)</f>
        <v>48678482</v>
      </c>
      <c r="Q31" s="5">
        <f>SUMIFS(EIAwtransport!$J$2:$J$675,EIAwtransport!$E$2:$E$675,Program_data!$E31,EIAwtransport!$H$2:$H$675,Program_data!$F31,EIAwtransport!$I$2:$I$675,Program_data!Q$2)</f>
        <v>670202</v>
      </c>
      <c r="R31" s="8">
        <f>SUMIFS(EIAwtransport!$J$2:$J$675,EIAwtransport!$E$2:$E$675,Program_data!$E31,EIAwtransport!$I$2:$I$675,Program_data!R$2)</f>
        <v>1231007132</v>
      </c>
      <c r="S31" s="5">
        <f>SUMIFS(EIAwtransport!$J$2:$J$675,EIAwtransport!$E$2:$E$675,Program_data!$E31,EIAwtransport!$I$2:$I$675,Program_data!S$2)</f>
        <v>120192643</v>
      </c>
      <c r="T31" s="5">
        <f>SUMIFS(EIAwtransport!$J$2:$J$675,EIAwtransport!$E$2:$E$675,Program_data!$E31,EIAwtransport!$I$2:$I$675,Program_data!T$2)</f>
        <v>731793</v>
      </c>
      <c r="U31" s="55">
        <f t="shared" si="19"/>
        <v>1.8809437630861511E-3</v>
      </c>
      <c r="V31" s="24">
        <f t="shared" si="6"/>
        <v>1.9738373969422872E-3</v>
      </c>
      <c r="W31" s="24">
        <f t="shared" si="20"/>
        <v>5.6368586682027398E-2</v>
      </c>
      <c r="X31" s="25">
        <f t="shared" si="21"/>
        <v>5.5726282772867286E-2</v>
      </c>
      <c r="Y31" s="8">
        <f t="shared" si="7"/>
        <v>7.7830319076060386</v>
      </c>
      <c r="Z31" s="27">
        <f t="shared" si="8"/>
        <v>4.4739542430097172</v>
      </c>
      <c r="AA31" s="27"/>
      <c r="AB31" s="27"/>
      <c r="AC31" s="56">
        <f t="shared" si="22"/>
        <v>1.2569891340491987E-2</v>
      </c>
      <c r="AD31" s="20">
        <f t="shared" si="18"/>
        <v>93676678.505553529</v>
      </c>
      <c r="AE31" s="20">
        <f t="shared" si="9"/>
        <v>86720829.056819573</v>
      </c>
      <c r="AF31" s="20">
        <f t="shared" si="10"/>
        <v>1661859628.2</v>
      </c>
      <c r="AG31">
        <f t="shared" si="11"/>
        <v>247049268.8492972</v>
      </c>
      <c r="AH31">
        <f t="shared" si="12"/>
        <v>259250220.72</v>
      </c>
      <c r="AI31">
        <f t="shared" si="13"/>
        <v>12677919983.640001</v>
      </c>
    </row>
    <row r="32" spans="2:35" x14ac:dyDescent="0.25">
      <c r="B32" s="4">
        <v>2022</v>
      </c>
      <c r="C32" s="4" t="s">
        <v>134</v>
      </c>
      <c r="D32" s="4" t="s">
        <v>159</v>
      </c>
      <c r="E32" s="4" t="str">
        <f t="shared" si="0"/>
        <v>Ngrid-MA</v>
      </c>
      <c r="F32" s="4" t="s">
        <v>135</v>
      </c>
      <c r="G32" s="4"/>
      <c r="H32" s="4" t="s">
        <v>139</v>
      </c>
      <c r="I32" s="4" t="s">
        <v>141</v>
      </c>
      <c r="J32" s="4" t="s">
        <v>142</v>
      </c>
      <c r="K32" s="5">
        <v>2024699.0405337538</v>
      </c>
      <c r="L32" s="5">
        <v>2490909</v>
      </c>
      <c r="M32" s="8">
        <v>27440576.298445228</v>
      </c>
      <c r="N32" s="8">
        <v>24679459.899999999</v>
      </c>
      <c r="O32" s="8">
        <f>SUMIFS(EIAwtransport!$J$2:$J$675,EIAwtransport!$E$2:$E$675,Program_data!$E32,EIAwtransport!$H$2:$H$675,Program_data!$F32,EIAwtransport!$I$2:$I$675,Program_data!O$2)</f>
        <v>803991920</v>
      </c>
      <c r="P32" s="5">
        <f>SUMIFS(EIAwtransport!$J$2:$J$675,EIAwtransport!$E$2:$E$675,Program_data!$E32,EIAwtransport!$H$2:$H$675,Program_data!$F32,EIAwtransport!$I$2:$I$675,Program_data!P$2)</f>
        <v>48678482</v>
      </c>
      <c r="Q32" s="5">
        <f>SUMIFS(EIAwtransport!$J$2:$J$675,EIAwtransport!$E$2:$E$675,Program_data!$E32,EIAwtransport!$H$2:$H$675,Program_data!$F32,EIAwtransport!$I$2:$I$675,Program_data!Q$2)</f>
        <v>670202</v>
      </c>
      <c r="R32" s="8">
        <f>SUMIFS(EIAwtransport!$J$2:$J$675,EIAwtransport!$E$2:$E$675,Program_data!$E32,EIAwtransport!$I$2:$I$675,Program_data!R$2)</f>
        <v>1231007132</v>
      </c>
      <c r="S32" s="5">
        <f>SUMIFS(EIAwtransport!$J$2:$J$675,EIAwtransport!$E$2:$E$675,Program_data!$E32,EIAwtransport!$I$2:$I$675,Program_data!S$2)</f>
        <v>120192643</v>
      </c>
      <c r="T32" s="5">
        <f>SUMIFS(EIAwtransport!$J$2:$J$675,EIAwtransport!$E$2:$E$675,Program_data!$E32,EIAwtransport!$I$2:$I$675,Program_data!T$2)</f>
        <v>731793</v>
      </c>
      <c r="U32" s="55">
        <f t="shared" si="19"/>
        <v>1.6260085929035682E-3</v>
      </c>
      <c r="V32" s="24">
        <f t="shared" si="6"/>
        <v>2.0004155467338519E-3</v>
      </c>
      <c r="W32" s="24">
        <f t="shared" si="20"/>
        <v>2.2291159478388164E-2</v>
      </c>
      <c r="X32" s="25">
        <f t="shared" si="21"/>
        <v>2.2037158097203184E-2</v>
      </c>
      <c r="Y32" s="8">
        <f t="shared" si="7"/>
        <v>3.0778278415333489</v>
      </c>
      <c r="Z32" s="27">
        <f t="shared" si="8"/>
        <v>1.7692412281420364</v>
      </c>
      <c r="AA32" s="27"/>
      <c r="AB32" s="27"/>
      <c r="AC32" s="56">
        <f t="shared" si="22"/>
        <v>1.0866221379191753E-2</v>
      </c>
      <c r="AD32" s="20">
        <f t="shared" si="18"/>
        <v>37044778.002901062</v>
      </c>
      <c r="AE32" s="20">
        <f t="shared" si="9"/>
        <v>33317270.864999998</v>
      </c>
      <c r="AF32" s="20">
        <f t="shared" si="10"/>
        <v>1661859628.2</v>
      </c>
      <c r="AG32">
        <f t="shared" si="11"/>
        <v>213565254.79550037</v>
      </c>
      <c r="AH32">
        <f t="shared" si="12"/>
        <v>262741081.32000002</v>
      </c>
      <c r="AI32">
        <f t="shared" si="13"/>
        <v>12677919983.640001</v>
      </c>
    </row>
    <row r="33" spans="2:35" x14ac:dyDescent="0.25">
      <c r="B33" s="4">
        <v>2022</v>
      </c>
      <c r="C33" s="4" t="s">
        <v>134</v>
      </c>
      <c r="D33" s="4" t="s">
        <v>159</v>
      </c>
      <c r="E33" s="4" t="str">
        <f t="shared" si="0"/>
        <v>Ngrid-MA</v>
      </c>
      <c r="F33" s="4" t="s">
        <v>135</v>
      </c>
      <c r="G33" s="4"/>
      <c r="H33" s="4" t="s">
        <v>139</v>
      </c>
      <c r="I33" s="4" t="s">
        <v>156</v>
      </c>
      <c r="J33" s="4" t="s">
        <v>157</v>
      </c>
      <c r="K33" s="5">
        <v>4086994.548</v>
      </c>
      <c r="L33" s="5">
        <v>4086995</v>
      </c>
      <c r="M33" s="8">
        <v>2441106.6819784148</v>
      </c>
      <c r="N33" s="8">
        <v>0</v>
      </c>
      <c r="O33" s="8">
        <f>SUMIFS(EIAwtransport!$J$2:$J$675,EIAwtransport!$E$2:$E$675,Program_data!$E33,EIAwtransport!$H$2:$H$675,Program_data!$F33,EIAwtransport!$I$2:$I$675,Program_data!O$2)</f>
        <v>803991920</v>
      </c>
      <c r="P33" s="5">
        <f>SUMIFS(EIAwtransport!$J$2:$J$675,EIAwtransport!$E$2:$E$675,Program_data!$E33,EIAwtransport!$H$2:$H$675,Program_data!$F33,EIAwtransport!$I$2:$I$675,Program_data!P$2)</f>
        <v>48678482</v>
      </c>
      <c r="Q33" s="5">
        <f>SUMIFS(EIAwtransport!$J$2:$J$675,EIAwtransport!$E$2:$E$675,Program_data!$E33,EIAwtransport!$H$2:$H$675,Program_data!$F33,EIAwtransport!$I$2:$I$675,Program_data!Q$2)</f>
        <v>670202</v>
      </c>
      <c r="R33" s="8">
        <f>SUMIFS(EIAwtransport!$J$2:$J$675,EIAwtransport!$E$2:$E$675,Program_data!$E33,EIAwtransport!$I$2:$I$675,Program_data!R$2)</f>
        <v>1231007132</v>
      </c>
      <c r="S33" s="5">
        <f>SUMIFS(EIAwtransport!$J$2:$J$675,EIAwtransport!$E$2:$E$675,Program_data!$E33,EIAwtransport!$I$2:$I$675,Program_data!S$2)</f>
        <v>120192643</v>
      </c>
      <c r="T33" s="5">
        <f>SUMIFS(EIAwtransport!$J$2:$J$675,EIAwtransport!$E$2:$E$675,Program_data!$E33,EIAwtransport!$I$2:$I$675,Program_data!T$2)</f>
        <v>731793</v>
      </c>
      <c r="U33" s="55">
        <f t="shared" si="19"/>
        <v>3.2822104032044891E-3</v>
      </c>
      <c r="V33" s="24">
        <f t="shared" si="6"/>
        <v>3.2822107661996162E-3</v>
      </c>
      <c r="W33" s="24">
        <f t="shared" si="20"/>
        <v>1.9830158725501314E-3</v>
      </c>
      <c r="X33" s="25">
        <f t="shared" si="21"/>
        <v>1.9604199743408972E-3</v>
      </c>
      <c r="Y33" s="8">
        <f t="shared" si="7"/>
        <v>0.27380278126199409</v>
      </c>
      <c r="Z33" s="27">
        <f t="shared" si="8"/>
        <v>0.1573912492608229</v>
      </c>
      <c r="AA33" s="27"/>
      <c r="AB33" s="27"/>
      <c r="AC33" s="56">
        <f t="shared" si="22"/>
        <v>2.1934216713220878E-2</v>
      </c>
      <c r="AD33" s="20">
        <f t="shared" si="18"/>
        <v>3295494.0206708601</v>
      </c>
      <c r="AE33" s="20">
        <f t="shared" si="9"/>
        <v>0</v>
      </c>
      <c r="AF33" s="20">
        <f t="shared" si="10"/>
        <v>1661859628.2</v>
      </c>
      <c r="AG33">
        <f t="shared" si="11"/>
        <v>431096184.92304003</v>
      </c>
      <c r="AH33">
        <f t="shared" si="12"/>
        <v>431096232.60000002</v>
      </c>
      <c r="AI33">
        <f t="shared" si="13"/>
        <v>12677919983.640001</v>
      </c>
    </row>
    <row r="34" spans="2:35" x14ac:dyDescent="0.25">
      <c r="B34" s="4">
        <v>2022</v>
      </c>
      <c r="C34" s="4" t="s">
        <v>134</v>
      </c>
      <c r="D34" s="4" t="s">
        <v>159</v>
      </c>
      <c r="E34" s="4" t="str">
        <f t="shared" si="0"/>
        <v>Ngrid-MA</v>
      </c>
      <c r="F34" s="4" t="s">
        <v>143</v>
      </c>
      <c r="G34" s="4">
        <v>1</v>
      </c>
      <c r="H34" s="4" t="s">
        <v>144</v>
      </c>
      <c r="I34" s="4" t="s">
        <v>145</v>
      </c>
      <c r="J34" s="4" t="s">
        <v>108</v>
      </c>
      <c r="K34" s="5">
        <v>1571935.197240243</v>
      </c>
      <c r="L34" s="5">
        <v>1571935</v>
      </c>
      <c r="M34" s="8">
        <v>39009232.228641428</v>
      </c>
      <c r="N34" s="8">
        <v>30391525.995000001</v>
      </c>
      <c r="O34" s="8">
        <f>SUMIFS(EIAwtransport!$J$2:$J$675,EIAwtransport!$E$2:$E$675,Program_data!$E34,EIAwtransport!$H$2:$H$675,Program_data!$F34,EIAwtransport!$I$2:$I$675,Program_data!O$2)</f>
        <v>0</v>
      </c>
      <c r="P34" s="5">
        <f>SUMIFS(EIAwtransport!$J$2:$J$675,EIAwtransport!$E$2:$E$675,Program_data!$E34,EIAwtransport!$H$2:$H$675,Program_data!$F34,EIAwtransport!$I$2:$I$675,Program_data!P$2)</f>
        <v>0</v>
      </c>
      <c r="Q34" s="5">
        <f>SUMIFS(EIAwtransport!$J$2:$J$675,EIAwtransport!$E$2:$E$675,Program_data!$E34,EIAwtransport!$H$2:$H$675,Program_data!$F34,EIAwtransport!$I$2:$I$675,Program_data!Q$2)</f>
        <v>0</v>
      </c>
      <c r="R34" s="8">
        <f>SUMIFS(EIAwtransport!$J$2:$J$675,EIAwtransport!$E$2:$E$675,Program_data!$E34,EIAwtransport!$I$2:$I$675,Program_data!R$2)</f>
        <v>1231007132</v>
      </c>
      <c r="S34" s="5">
        <f>SUMIFS(EIAwtransport!$J$2:$J$675,EIAwtransport!$E$2:$E$675,Program_data!$E34,EIAwtransport!$I$2:$I$675,Program_data!S$2)</f>
        <v>120192643</v>
      </c>
      <c r="T34" s="5">
        <f>SUMIFS(EIAwtransport!$J$2:$J$675,EIAwtransport!$E$2:$E$675,Program_data!$E34,EIAwtransport!$I$2:$I$675,Program_data!T$2)</f>
        <v>731793</v>
      </c>
      <c r="U34" s="55">
        <f t="shared" si="19"/>
        <v>1.2624000342917087E-3</v>
      </c>
      <c r="V34" s="24">
        <f t="shared" si="6"/>
        <v>1.26239987589072E-3</v>
      </c>
      <c r="W34" s="24">
        <f t="shared" si="20"/>
        <v>3.1688875892427755E-2</v>
      </c>
      <c r="X34" s="25">
        <f t="shared" si="21"/>
        <v>3.1327790222896758E-2</v>
      </c>
      <c r="Y34" s="8">
        <f t="shared" si="7"/>
        <v>24.816056219828727</v>
      </c>
      <c r="Z34" s="27">
        <f t="shared" si="8"/>
        <v>2.5151345651946064</v>
      </c>
      <c r="AA34" s="27"/>
      <c r="AB34" s="27"/>
      <c r="AC34" s="56">
        <f t="shared" si="22"/>
        <v>8.4363134989450181E-3</v>
      </c>
      <c r="AD34" s="20">
        <f t="shared" si="18"/>
        <v>52662463.508665934</v>
      </c>
      <c r="AE34" s="20">
        <f t="shared" si="9"/>
        <v>41028560.093250006</v>
      </c>
      <c r="AF34" s="20">
        <f t="shared" si="10"/>
        <v>1661859628.2</v>
      </c>
      <c r="AG34">
        <f t="shared" si="11"/>
        <v>165807724.60490084</v>
      </c>
      <c r="AH34">
        <f t="shared" si="12"/>
        <v>165807703.80000001</v>
      </c>
      <c r="AI34">
        <f t="shared" si="13"/>
        <v>12677919983.640001</v>
      </c>
    </row>
    <row r="35" spans="2:35" x14ac:dyDescent="0.25">
      <c r="B35" s="4">
        <v>2022</v>
      </c>
      <c r="C35" s="4" t="s">
        <v>134</v>
      </c>
      <c r="D35" s="4" t="s">
        <v>159</v>
      </c>
      <c r="E35" s="4" t="str">
        <f t="shared" si="0"/>
        <v>Ngrid-MA</v>
      </c>
      <c r="F35" s="4" t="s">
        <v>146</v>
      </c>
      <c r="G35" s="4"/>
      <c r="H35" s="4" t="s">
        <v>147</v>
      </c>
      <c r="I35" s="4" t="s">
        <v>148</v>
      </c>
      <c r="J35" s="4" t="s">
        <v>32</v>
      </c>
      <c r="K35" s="5">
        <v>715027.15000000014</v>
      </c>
      <c r="L35" s="5">
        <v>1112988</v>
      </c>
      <c r="M35" s="8">
        <v>4688178.0419468889</v>
      </c>
      <c r="N35" s="8">
        <v>2337400</v>
      </c>
      <c r="O35" s="8">
        <f>SUMIFS(EIAwtransport!$J$2:$J$675,EIAwtransport!$E$2:$E$675,Program_data!$E35,EIAwtransport!$H$2:$H$675,Program_data!$F35,EIAwtransport!$I$2:$I$675,Program_data!O$2)</f>
        <v>427015212</v>
      </c>
      <c r="P35" s="5">
        <f>SUMIFS(EIAwtransport!$J$2:$J$675,EIAwtransport!$E$2:$E$675,Program_data!$E35,EIAwtransport!$H$2:$H$675,Program_data!$F35,EIAwtransport!$I$2:$I$675,Program_data!P$2)</f>
        <v>71514161</v>
      </c>
      <c r="Q35" s="5">
        <f>SUMIFS(EIAwtransport!$J$2:$J$675,EIAwtransport!$E$2:$E$675,Program_data!$E35,EIAwtransport!$H$2:$H$675,Program_data!$F35,EIAwtransport!$I$2:$I$675,Program_data!Q$2)</f>
        <v>61591</v>
      </c>
      <c r="R35" s="8">
        <f>SUMIFS(EIAwtransport!$J$2:$J$675,EIAwtransport!$E$2:$E$675,Program_data!$E35,EIAwtransport!$I$2:$I$675,Program_data!R$2)</f>
        <v>1231007132</v>
      </c>
      <c r="S35" s="5">
        <f>SUMIFS(EIAwtransport!$J$2:$J$675,EIAwtransport!$E$2:$E$675,Program_data!$E35,EIAwtransport!$I$2:$I$675,Program_data!S$2)</f>
        <v>120192643</v>
      </c>
      <c r="T35" s="5">
        <f>SUMIFS(EIAwtransport!$J$2:$J$675,EIAwtransport!$E$2:$E$675,Program_data!$E35,EIAwtransport!$I$2:$I$675,Program_data!T$2)</f>
        <v>731793</v>
      </c>
      <c r="U35" s="55">
        <f t="shared" si="19"/>
        <v>5.7422869610925095E-4</v>
      </c>
      <c r="V35" s="24">
        <f t="shared" si="6"/>
        <v>8.9382570721299596E-4</v>
      </c>
      <c r="W35" s="24">
        <f t="shared" si="20"/>
        <v>3.8084085137102919E-3</v>
      </c>
      <c r="X35" s="25">
        <f t="shared" si="21"/>
        <v>3.7650127888922578E-3</v>
      </c>
      <c r="Y35" s="8">
        <f t="shared" si="7"/>
        <v>0.93347262318223567</v>
      </c>
      <c r="Z35" s="27">
        <f t="shared" si="8"/>
        <v>0.30227199991979048</v>
      </c>
      <c r="AA35" s="27"/>
      <c r="AB35" s="27"/>
      <c r="AC35" s="56">
        <f t="shared" si="22"/>
        <v>3.8374312174239518E-3</v>
      </c>
      <c r="AD35" s="20">
        <f t="shared" si="18"/>
        <v>6329040.3566283006</v>
      </c>
      <c r="AE35" s="20">
        <f t="shared" si="9"/>
        <v>3155490</v>
      </c>
      <c r="AF35" s="20">
        <f t="shared" si="10"/>
        <v>1661859628.2</v>
      </c>
      <c r="AG35">
        <f t="shared" si="11"/>
        <v>75421063.78200002</v>
      </c>
      <c r="AH35">
        <f t="shared" si="12"/>
        <v>117397974.24000001</v>
      </c>
      <c r="AI35">
        <f t="shared" si="13"/>
        <v>12677919983.640001</v>
      </c>
    </row>
    <row r="36" spans="2:35" x14ac:dyDescent="0.25">
      <c r="B36" s="4">
        <v>2022</v>
      </c>
      <c r="C36" s="4" t="s">
        <v>134</v>
      </c>
      <c r="D36" s="4" t="s">
        <v>159</v>
      </c>
      <c r="E36" s="4" t="str">
        <f t="shared" si="0"/>
        <v>Ngrid-MA</v>
      </c>
      <c r="F36" s="4" t="s">
        <v>146</v>
      </c>
      <c r="G36" s="4"/>
      <c r="H36" s="4" t="s">
        <v>150</v>
      </c>
      <c r="I36" s="4" t="s">
        <v>151</v>
      </c>
      <c r="J36" s="4" t="s">
        <v>142</v>
      </c>
      <c r="K36" s="5">
        <v>3571368.2680396689</v>
      </c>
      <c r="L36" s="5">
        <v>3933754</v>
      </c>
      <c r="M36" s="8">
        <v>29690030.19952473</v>
      </c>
      <c r="N36" s="8">
        <v>23200557.32676756</v>
      </c>
      <c r="O36" s="8">
        <f>SUMIFS(EIAwtransport!$J$2:$J$675,EIAwtransport!$E$2:$E$675,Program_data!$E36,EIAwtransport!$H$2:$H$675,Program_data!$F36,EIAwtransport!$I$2:$I$675,Program_data!O$2)</f>
        <v>427015212</v>
      </c>
      <c r="P36" s="5">
        <f>SUMIFS(EIAwtransport!$J$2:$J$675,EIAwtransport!$E$2:$E$675,Program_data!$E36,EIAwtransport!$H$2:$H$675,Program_data!$F36,EIAwtransport!$I$2:$I$675,Program_data!P$2)</f>
        <v>71514161</v>
      </c>
      <c r="Q36" s="5">
        <f>SUMIFS(EIAwtransport!$J$2:$J$675,EIAwtransport!$E$2:$E$675,Program_data!$E36,EIAwtransport!$H$2:$H$675,Program_data!$F36,EIAwtransport!$I$2:$I$675,Program_data!Q$2)</f>
        <v>61591</v>
      </c>
      <c r="R36" s="8">
        <f>SUMIFS(EIAwtransport!$J$2:$J$675,EIAwtransport!$E$2:$E$675,Program_data!$E36,EIAwtransport!$I$2:$I$675,Program_data!R$2)</f>
        <v>1231007132</v>
      </c>
      <c r="S36" s="5">
        <f>SUMIFS(EIAwtransport!$J$2:$J$675,EIAwtransport!$E$2:$E$675,Program_data!$E36,EIAwtransport!$I$2:$I$675,Program_data!S$2)</f>
        <v>120192643</v>
      </c>
      <c r="T36" s="5">
        <f>SUMIFS(EIAwtransport!$J$2:$J$675,EIAwtransport!$E$2:$E$675,Program_data!$E36,EIAwtransport!$I$2:$I$675,Program_data!T$2)</f>
        <v>731793</v>
      </c>
      <c r="U36" s="55">
        <f t="shared" si="19"/>
        <v>2.8681178664088105E-3</v>
      </c>
      <c r="V36" s="24">
        <f t="shared" si="6"/>
        <v>3.159144978249497E-3</v>
      </c>
      <c r="W36" s="24">
        <f t="shared" si="20"/>
        <v>2.4118487560090537E-2</v>
      </c>
      <c r="X36" s="25">
        <f t="shared" si="21"/>
        <v>2.3843664298505821E-2</v>
      </c>
      <c r="Y36" s="8">
        <f t="shared" si="7"/>
        <v>5.9116420333731261</v>
      </c>
      <c r="Z36" s="27">
        <f t="shared" si="8"/>
        <v>1.9142755940135829</v>
      </c>
      <c r="AA36" s="27"/>
      <c r="AB36" s="27"/>
      <c r="AC36" s="56">
        <f t="shared" si="22"/>
        <v>1.9166936641067035E-2</v>
      </c>
      <c r="AD36" s="20">
        <f t="shared" si="18"/>
        <v>40081540.769358389</v>
      </c>
      <c r="AE36" s="20">
        <f t="shared" si="9"/>
        <v>31320752.391136207</v>
      </c>
      <c r="AF36" s="20">
        <f t="shared" si="10"/>
        <v>1661859628.2</v>
      </c>
      <c r="AG36">
        <f t="shared" si="11"/>
        <v>376707924.91282427</v>
      </c>
      <c r="AH36">
        <f t="shared" si="12"/>
        <v>414932371.92000002</v>
      </c>
      <c r="AI36">
        <f t="shared" si="13"/>
        <v>12677919983.640001</v>
      </c>
    </row>
    <row r="37" spans="2:35" x14ac:dyDescent="0.25">
      <c r="B37" s="4">
        <v>2022</v>
      </c>
      <c r="C37" s="4" t="s">
        <v>134</v>
      </c>
      <c r="D37" s="4" t="s">
        <v>159</v>
      </c>
      <c r="E37" s="4" t="str">
        <f t="shared" si="0"/>
        <v>Ngrid-MA</v>
      </c>
      <c r="F37" s="4" t="s">
        <v>146</v>
      </c>
      <c r="G37" s="4"/>
      <c r="H37" s="4" t="s">
        <v>150</v>
      </c>
      <c r="I37" s="4" t="s">
        <v>153</v>
      </c>
      <c r="J37" s="4" t="s">
        <v>32</v>
      </c>
      <c r="K37" s="5">
        <v>735902.96063666663</v>
      </c>
      <c r="L37" s="5">
        <v>1213971</v>
      </c>
      <c r="M37" s="8">
        <v>7403035.7158435583</v>
      </c>
      <c r="N37" s="8">
        <v>4921147.3685555551</v>
      </c>
      <c r="O37" s="8">
        <f>SUMIFS(EIAwtransport!$J$2:$J$675,EIAwtransport!$E$2:$E$675,Program_data!$E37,EIAwtransport!$H$2:$H$675,Program_data!$F37,EIAwtransport!$I$2:$I$675,Program_data!O$2)</f>
        <v>427015212</v>
      </c>
      <c r="P37" s="5">
        <f>SUMIFS(EIAwtransport!$J$2:$J$675,EIAwtransport!$E$2:$E$675,Program_data!$E37,EIAwtransport!$H$2:$H$675,Program_data!$F37,EIAwtransport!$I$2:$I$675,Program_data!P$2)</f>
        <v>71514161</v>
      </c>
      <c r="Q37" s="5">
        <f>SUMIFS(EIAwtransport!$J$2:$J$675,EIAwtransport!$E$2:$E$675,Program_data!$E37,EIAwtransport!$H$2:$H$675,Program_data!$F37,EIAwtransport!$I$2:$I$675,Program_data!Q$2)</f>
        <v>61591</v>
      </c>
      <c r="R37" s="8">
        <f>SUMIFS(EIAwtransport!$J$2:$J$675,EIAwtransport!$E$2:$E$675,Program_data!$E37,EIAwtransport!$I$2:$I$675,Program_data!R$2)</f>
        <v>1231007132</v>
      </c>
      <c r="S37" s="5">
        <f>SUMIFS(EIAwtransport!$J$2:$J$675,EIAwtransport!$E$2:$E$675,Program_data!$E37,EIAwtransport!$I$2:$I$675,Program_data!S$2)</f>
        <v>120192643</v>
      </c>
      <c r="T37" s="5">
        <f>SUMIFS(EIAwtransport!$J$2:$J$675,EIAwtransport!$E$2:$E$675,Program_data!$E37,EIAwtransport!$I$2:$I$675,Program_data!T$2)</f>
        <v>731793</v>
      </c>
      <c r="U37" s="55">
        <f t="shared" si="19"/>
        <v>5.9099377911640198E-4</v>
      </c>
      <c r="V37" s="24">
        <f t="shared" si="6"/>
        <v>9.7492379757110393E-4</v>
      </c>
      <c r="W37" s="24">
        <f t="shared" si="20"/>
        <v>6.0138040823662408E-3</v>
      </c>
      <c r="X37" s="25">
        <f t="shared" si="21"/>
        <v>5.9452785063602983E-3</v>
      </c>
      <c r="Y37" s="8">
        <f t="shared" si="7"/>
        <v>1.4740334320388753</v>
      </c>
      <c r="Z37" s="27">
        <f t="shared" si="8"/>
        <v>0.47731344485722516</v>
      </c>
      <c r="AA37" s="27"/>
      <c r="AB37" s="27"/>
      <c r="AC37" s="56">
        <f t="shared" si="22"/>
        <v>3.9494682043078417E-3</v>
      </c>
      <c r="AD37" s="20">
        <f t="shared" si="18"/>
        <v>9994098.2163888048</v>
      </c>
      <c r="AE37" s="20">
        <f t="shared" si="9"/>
        <v>6643548.9475499997</v>
      </c>
      <c r="AF37" s="20">
        <f t="shared" si="10"/>
        <v>1661859628.2</v>
      </c>
      <c r="AG37">
        <f t="shared" si="11"/>
        <v>77623044.287955597</v>
      </c>
      <c r="AH37">
        <f t="shared" si="12"/>
        <v>128049661.08</v>
      </c>
      <c r="AI37">
        <f t="shared" si="13"/>
        <v>12677919983.640001</v>
      </c>
    </row>
    <row r="38" spans="2:35" x14ac:dyDescent="0.25">
      <c r="B38" s="4">
        <v>2023</v>
      </c>
      <c r="C38" s="4" t="s">
        <v>134</v>
      </c>
      <c r="D38" s="4" t="s">
        <v>159</v>
      </c>
      <c r="E38" s="4" t="str">
        <f t="shared" si="0"/>
        <v>Ngrid-MA</v>
      </c>
      <c r="F38" s="4" t="s">
        <v>135</v>
      </c>
      <c r="G38" s="4"/>
      <c r="H38" s="4" t="s">
        <v>136</v>
      </c>
      <c r="I38" s="4" t="s">
        <v>137</v>
      </c>
      <c r="J38" s="4" t="s">
        <v>32</v>
      </c>
      <c r="K38" s="5">
        <v>515461</v>
      </c>
      <c r="L38" s="5">
        <v>702376</v>
      </c>
      <c r="M38" s="8">
        <v>6253253</v>
      </c>
      <c r="N38" s="8">
        <v>5514540.0097355135</v>
      </c>
      <c r="O38" s="8">
        <f>SUMIFS(EIAwtransport!$J$2:$J$675,EIAwtransport!$E$2:$E$675,Program_data!$E38,EIAwtransport!$H$2:$H$675,Program_data!$F38,EIAwtransport!$I$2:$I$675,Program_data!O$2)</f>
        <v>803991920</v>
      </c>
      <c r="P38" s="5">
        <f>SUMIFS(EIAwtransport!$J$2:$J$675,EIAwtransport!$E$2:$E$675,Program_data!$E38,EIAwtransport!$H$2:$H$675,Program_data!$F38,EIAwtransport!$I$2:$I$675,Program_data!P$2)</f>
        <v>48678482</v>
      </c>
      <c r="Q38" s="5">
        <f>SUMIFS(EIAwtransport!$J$2:$J$675,EIAwtransport!$E$2:$E$675,Program_data!$E38,EIAwtransport!$H$2:$H$675,Program_data!$F38,EIAwtransport!$I$2:$I$675,Program_data!Q$2)</f>
        <v>670202</v>
      </c>
      <c r="R38" s="8">
        <f>SUMIFS(EIAwtransport!$J$2:$J$675,EIAwtransport!$E$2:$E$675,Program_data!$E38,EIAwtransport!$I$2:$I$675,Program_data!R$2)</f>
        <v>1231007132</v>
      </c>
      <c r="S38" s="5">
        <f>SUMIFS(EIAwtransport!$J$2:$J$675,EIAwtransport!$E$2:$E$675,Program_data!$E38,EIAwtransport!$I$2:$I$675,Program_data!S$2)</f>
        <v>120192643</v>
      </c>
      <c r="T38" s="5">
        <f>SUMIFS(EIAwtransport!$J$2:$J$675,EIAwtransport!$E$2:$E$675,Program_data!$E38,EIAwtransport!$I$2:$I$675,Program_data!T$2)</f>
        <v>731793</v>
      </c>
      <c r="U38" s="55">
        <f t="shared" si="19"/>
        <v>4.1395980268045844E-4</v>
      </c>
      <c r="V38" s="24">
        <f t="shared" si="6"/>
        <v>5.6406872754192778E-4</v>
      </c>
      <c r="W38" s="24">
        <f t="shared" si="20"/>
        <v>5.0797861665028924E-3</v>
      </c>
      <c r="X38" s="25">
        <f t="shared" si="21"/>
        <v>5.0219034572760784E-3</v>
      </c>
      <c r="Y38" s="8">
        <f t="shared" si="7"/>
        <v>0.6771435034591613</v>
      </c>
      <c r="Z38" s="27">
        <f t="shared" si="8"/>
        <v>0.38871617457591989</v>
      </c>
      <c r="AA38" s="27"/>
      <c r="AB38" s="27"/>
      <c r="AC38" s="56">
        <f t="shared" si="22"/>
        <v>2.2495274728183464E-3</v>
      </c>
      <c r="AD38" s="20">
        <f t="shared" si="18"/>
        <v>8441891.5500000007</v>
      </c>
      <c r="AE38" s="20">
        <f t="shared" si="9"/>
        <v>7444629.0131429434</v>
      </c>
      <c r="AF38" s="20">
        <f t="shared" si="10"/>
        <v>1661859628.2</v>
      </c>
      <c r="AG38">
        <f t="shared" si="11"/>
        <v>54370826.280000001</v>
      </c>
      <c r="AH38">
        <f t="shared" si="12"/>
        <v>74086620.480000004</v>
      </c>
      <c r="AI38">
        <f t="shared" si="13"/>
        <v>12677919983.640001</v>
      </c>
    </row>
    <row r="39" spans="2:35" x14ac:dyDescent="0.25">
      <c r="B39" s="4">
        <v>2023</v>
      </c>
      <c r="C39" s="4" t="s">
        <v>134</v>
      </c>
      <c r="D39" s="4" t="s">
        <v>159</v>
      </c>
      <c r="E39" s="4" t="str">
        <f t="shared" si="0"/>
        <v>Ngrid-MA</v>
      </c>
      <c r="F39" s="4" t="s">
        <v>135</v>
      </c>
      <c r="G39" s="4"/>
      <c r="H39" s="4" t="s">
        <v>139</v>
      </c>
      <c r="I39" s="4" t="s">
        <v>140</v>
      </c>
      <c r="J39" s="4" t="s">
        <v>27</v>
      </c>
      <c r="K39" s="5">
        <v>2457242</v>
      </c>
      <c r="L39" s="5">
        <v>2579804</v>
      </c>
      <c r="M39" s="8">
        <v>75119410</v>
      </c>
      <c r="N39" s="8">
        <v>70161559.090728968</v>
      </c>
      <c r="O39" s="8">
        <f>SUMIFS(EIAwtransport!$J$2:$J$675,EIAwtransport!$E$2:$E$675,Program_data!$E39,EIAwtransport!$H$2:$H$675,Program_data!$F39,EIAwtransport!$I$2:$I$675,Program_data!O$2)</f>
        <v>803991920</v>
      </c>
      <c r="P39" s="5">
        <f>SUMIFS(EIAwtransport!$J$2:$J$675,EIAwtransport!$E$2:$E$675,Program_data!$E39,EIAwtransport!$H$2:$H$675,Program_data!$F39,EIAwtransport!$I$2:$I$675,Program_data!P$2)</f>
        <v>48678482</v>
      </c>
      <c r="Q39" s="5">
        <f>SUMIFS(EIAwtransport!$J$2:$J$675,EIAwtransport!$E$2:$E$675,Program_data!$E39,EIAwtransport!$H$2:$H$675,Program_data!$F39,EIAwtransport!$I$2:$I$675,Program_data!Q$2)</f>
        <v>670202</v>
      </c>
      <c r="R39" s="8">
        <f>SUMIFS(EIAwtransport!$J$2:$J$675,EIAwtransport!$E$2:$E$675,Program_data!$E39,EIAwtransport!$I$2:$I$675,Program_data!R$2)</f>
        <v>1231007132</v>
      </c>
      <c r="S39" s="5">
        <f>SUMIFS(EIAwtransport!$J$2:$J$675,EIAwtransport!$E$2:$E$675,Program_data!$E39,EIAwtransport!$I$2:$I$675,Program_data!S$2)</f>
        <v>120192643</v>
      </c>
      <c r="T39" s="5">
        <f>SUMIFS(EIAwtransport!$J$2:$J$675,EIAwtransport!$E$2:$E$675,Program_data!$E39,EIAwtransport!$I$2:$I$675,Program_data!T$2)</f>
        <v>731793</v>
      </c>
      <c r="U39" s="55">
        <f t="shared" si="19"/>
        <v>1.9733780314284397E-3</v>
      </c>
      <c r="V39" s="24">
        <f t="shared" si="6"/>
        <v>2.0718059267224045E-3</v>
      </c>
      <c r="W39" s="24">
        <f t="shared" si="20"/>
        <v>6.1022725252577986E-2</v>
      </c>
      <c r="X39" s="25">
        <f t="shared" si="21"/>
        <v>6.0327388766700983E-2</v>
      </c>
      <c r="Y39" s="8">
        <f t="shared" si="7"/>
        <v>8.1344254686616964</v>
      </c>
      <c r="Z39" s="27">
        <f t="shared" si="8"/>
        <v>4.6695903222850736</v>
      </c>
      <c r="AA39" s="27"/>
      <c r="AB39" s="27"/>
      <c r="AC39" s="56">
        <f t="shared" si="22"/>
        <v>1.0723669465513586E-2</v>
      </c>
      <c r="AD39" s="20">
        <f t="shared" si="18"/>
        <v>101411203.5</v>
      </c>
      <c r="AE39" s="20">
        <f t="shared" si="9"/>
        <v>94718104.772484109</v>
      </c>
      <c r="AF39" s="20">
        <f t="shared" si="10"/>
        <v>1661859628.2</v>
      </c>
      <c r="AG39">
        <f t="shared" si="11"/>
        <v>259189886.16</v>
      </c>
      <c r="AH39">
        <f t="shared" si="12"/>
        <v>272117725.92000002</v>
      </c>
      <c r="AI39">
        <f t="shared" si="13"/>
        <v>12677919983.640001</v>
      </c>
    </row>
    <row r="40" spans="2:35" x14ac:dyDescent="0.25">
      <c r="B40" s="4">
        <v>2023</v>
      </c>
      <c r="C40" s="4" t="s">
        <v>134</v>
      </c>
      <c r="D40" s="4" t="s">
        <v>159</v>
      </c>
      <c r="E40" s="4" t="str">
        <f t="shared" si="0"/>
        <v>Ngrid-MA</v>
      </c>
      <c r="F40" s="4" t="s">
        <v>135</v>
      </c>
      <c r="G40" s="4"/>
      <c r="H40" s="4" t="s">
        <v>139</v>
      </c>
      <c r="I40" s="4" t="s">
        <v>141</v>
      </c>
      <c r="J40" s="4" t="s">
        <v>142</v>
      </c>
      <c r="K40" s="5">
        <f>2175055-K41</f>
        <v>1737070</v>
      </c>
      <c r="L40" s="5">
        <f>2670515-L41</f>
        <v>2094182</v>
      </c>
      <c r="M40" s="8">
        <v>30955373</v>
      </c>
      <c r="N40" s="8">
        <f>27744523.3-N41</f>
        <v>20243673.300000001</v>
      </c>
      <c r="O40" s="8">
        <f>SUMIFS(EIAwtransport!$J$2:$J$675,EIAwtransport!$E$2:$E$675,Program_data!$E40,EIAwtransport!$H$2:$H$675,Program_data!$F40,EIAwtransport!$I$2:$I$675,Program_data!O$2)</f>
        <v>803991920</v>
      </c>
      <c r="P40" s="5">
        <f>SUMIFS(EIAwtransport!$J$2:$J$675,EIAwtransport!$E$2:$E$675,Program_data!$E40,EIAwtransport!$H$2:$H$675,Program_data!$F40,EIAwtransport!$I$2:$I$675,Program_data!P$2)</f>
        <v>48678482</v>
      </c>
      <c r="Q40" s="5">
        <f>SUMIFS(EIAwtransport!$J$2:$J$675,EIAwtransport!$E$2:$E$675,Program_data!$E40,EIAwtransport!$H$2:$H$675,Program_data!$F40,EIAwtransport!$I$2:$I$675,Program_data!Q$2)</f>
        <v>670202</v>
      </c>
      <c r="R40" s="8">
        <f>SUMIFS(EIAwtransport!$J$2:$J$675,EIAwtransport!$E$2:$E$675,Program_data!$E40,EIAwtransport!$I$2:$I$675,Program_data!R$2)</f>
        <v>1231007132</v>
      </c>
      <c r="S40" s="5">
        <f>SUMIFS(EIAwtransport!$J$2:$J$675,EIAwtransport!$E$2:$E$675,Program_data!$E40,EIAwtransport!$I$2:$I$675,Program_data!S$2)</f>
        <v>120192643</v>
      </c>
      <c r="T40" s="5">
        <f>SUMIFS(EIAwtransport!$J$2:$J$675,EIAwtransport!$E$2:$E$675,Program_data!$E40,EIAwtransport!$I$2:$I$675,Program_data!T$2)</f>
        <v>731793</v>
      </c>
      <c r="U40" s="55">
        <f t="shared" si="19"/>
        <v>1.3950175754172361E-3</v>
      </c>
      <c r="V40" s="24">
        <f t="shared" si="6"/>
        <v>1.6818094239854572E-3</v>
      </c>
      <c r="W40" s="24">
        <f t="shared" si="20"/>
        <v>2.5146379899283963E-2</v>
      </c>
      <c r="X40" s="25">
        <f t="shared" si="21"/>
        <v>2.485984409873878E-2</v>
      </c>
      <c r="Y40" s="8">
        <f t="shared" si="7"/>
        <v>3.3520520797903313</v>
      </c>
      <c r="Z40" s="27">
        <f t="shared" si="8"/>
        <v>1.9242551317099625</v>
      </c>
      <c r="AA40" s="27"/>
      <c r="AB40" s="27"/>
      <c r="AC40" s="56">
        <f t="shared" si="22"/>
        <v>7.5807610802923302E-3</v>
      </c>
      <c r="AD40" s="20">
        <f t="shared" si="18"/>
        <v>41789753.550000004</v>
      </c>
      <c r="AE40" s="20">
        <f t="shared" si="9"/>
        <v>27328958.955000002</v>
      </c>
      <c r="AF40" s="20">
        <f t="shared" si="10"/>
        <v>1661859628.2</v>
      </c>
      <c r="AG40">
        <f t="shared" si="11"/>
        <v>183226143.59999999</v>
      </c>
      <c r="AH40">
        <f t="shared" si="12"/>
        <v>220894317.36000001</v>
      </c>
      <c r="AI40">
        <f t="shared" si="13"/>
        <v>12677919983.640001</v>
      </c>
    </row>
    <row r="41" spans="2:35" x14ac:dyDescent="0.25">
      <c r="B41" s="4">
        <v>2023</v>
      </c>
      <c r="C41" s="4" t="s">
        <v>134</v>
      </c>
      <c r="D41" s="4" t="s">
        <v>159</v>
      </c>
      <c r="E41" s="4" t="str">
        <f t="shared" ref="E41" si="23">D41&amp;"-"&amp;C41</f>
        <v>Ngrid-MA</v>
      </c>
      <c r="F41" s="4" t="s">
        <v>135</v>
      </c>
      <c r="G41" s="4"/>
      <c r="H41" s="4" t="s">
        <v>160</v>
      </c>
      <c r="I41" s="4" t="s">
        <v>161</v>
      </c>
      <c r="J41" s="4" t="s">
        <v>162</v>
      </c>
      <c r="K41" s="5">
        <v>437985</v>
      </c>
      <c r="L41" s="5">
        <v>576333</v>
      </c>
      <c r="N41" s="8">
        <v>7500850</v>
      </c>
      <c r="O41" s="8">
        <f>SUMIFS(EIAwtransport!$J$2:$J$675,EIAwtransport!$E$2:$E$675,Program_data!$E41,EIAwtransport!$H$2:$H$675,Program_data!$F41,EIAwtransport!$I$2:$I$675,Program_data!O$2)</f>
        <v>803991920</v>
      </c>
      <c r="P41" s="5">
        <f>SUMIFS(EIAwtransport!$J$2:$J$675,EIAwtransport!$E$2:$E$675,Program_data!$E41,EIAwtransport!$H$2:$H$675,Program_data!$F41,EIAwtransport!$I$2:$I$675,Program_data!P$2)</f>
        <v>48678482</v>
      </c>
      <c r="Q41" s="5">
        <f>SUMIFS(EIAwtransport!$J$2:$J$675,EIAwtransport!$E$2:$E$675,Program_data!$E41,EIAwtransport!$H$2:$H$675,Program_data!$F41,EIAwtransport!$I$2:$I$675,Program_data!Q$2)</f>
        <v>670202</v>
      </c>
      <c r="R41" s="8">
        <f>SUMIFS(EIAwtransport!$J$2:$J$675,EIAwtransport!$E$2:$E$675,Program_data!$E41,EIAwtransport!$I$2:$I$675,Program_data!R$2)</f>
        <v>1231007132</v>
      </c>
      <c r="S41" s="5">
        <f>SUMIFS(EIAwtransport!$J$2:$J$675,EIAwtransport!$E$2:$E$675,Program_data!$E41,EIAwtransport!$I$2:$I$675,Program_data!S$2)</f>
        <v>120192643</v>
      </c>
      <c r="T41" s="5">
        <f>SUMIFS(EIAwtransport!$J$2:$J$675,EIAwtransport!$E$2:$E$675,Program_data!$E41,EIAwtransport!$I$2:$I$675,Program_data!T$2)</f>
        <v>731793</v>
      </c>
      <c r="U41" s="55"/>
      <c r="V41" s="24">
        <f t="shared" si="6"/>
        <v>4.6284528792330876E-4</v>
      </c>
      <c r="W41" s="24"/>
      <c r="X41" s="25"/>
      <c r="Y41" s="8">
        <f t="shared" si="7"/>
        <v>0</v>
      </c>
      <c r="Z41" s="27">
        <f t="shared" si="8"/>
        <v>0</v>
      </c>
      <c r="AA41" s="27"/>
      <c r="AB41" s="27"/>
      <c r="AC41" s="56">
        <f t="shared" si="22"/>
        <v>1.9114138415560894E-3</v>
      </c>
      <c r="AD41" s="20">
        <f t="shared" si="18"/>
        <v>0</v>
      </c>
      <c r="AE41" s="20">
        <f t="shared" si="9"/>
        <v>10126147.5</v>
      </c>
      <c r="AF41" s="20">
        <f t="shared" si="10"/>
        <v>1661859628.2</v>
      </c>
      <c r="AG41">
        <f t="shared" si="11"/>
        <v>46198657.800000004</v>
      </c>
      <c r="AH41">
        <f t="shared" si="12"/>
        <v>60791604.840000004</v>
      </c>
      <c r="AI41">
        <f t="shared" si="13"/>
        <v>12677919983.640001</v>
      </c>
    </row>
    <row r="42" spans="2:35" x14ac:dyDescent="0.25">
      <c r="B42" s="4">
        <v>2023</v>
      </c>
      <c r="C42" s="4" t="s">
        <v>134</v>
      </c>
      <c r="D42" s="4" t="s">
        <v>159</v>
      </c>
      <c r="E42" s="4" t="str">
        <f t="shared" si="0"/>
        <v>Ngrid-MA</v>
      </c>
      <c r="F42" s="4" t="s">
        <v>135</v>
      </c>
      <c r="G42" s="4"/>
      <c r="H42" s="4" t="s">
        <v>139</v>
      </c>
      <c r="I42" s="4" t="s">
        <v>156</v>
      </c>
      <c r="J42" s="4" t="s">
        <v>157</v>
      </c>
      <c r="K42" s="5">
        <v>4086995</v>
      </c>
      <c r="L42" s="5">
        <v>4086995</v>
      </c>
      <c r="M42" s="8">
        <v>2487797</v>
      </c>
      <c r="N42" s="8">
        <v>0</v>
      </c>
      <c r="O42" s="8">
        <f>SUMIFS(EIAwtransport!$J$2:$J$675,EIAwtransport!$E$2:$E$675,Program_data!$E42,EIAwtransport!$H$2:$H$675,Program_data!$F42,EIAwtransport!$I$2:$I$675,Program_data!O$2)</f>
        <v>803991920</v>
      </c>
      <c r="P42" s="5">
        <f>SUMIFS(EIAwtransport!$J$2:$J$675,EIAwtransport!$E$2:$E$675,Program_data!$E42,EIAwtransport!$H$2:$H$675,Program_data!$F42,EIAwtransport!$I$2:$I$675,Program_data!P$2)</f>
        <v>48678482</v>
      </c>
      <c r="Q42" s="5">
        <f>SUMIFS(EIAwtransport!$J$2:$J$675,EIAwtransport!$E$2:$E$675,Program_data!$E42,EIAwtransport!$H$2:$H$675,Program_data!$F42,EIAwtransport!$I$2:$I$675,Program_data!Q$2)</f>
        <v>670202</v>
      </c>
      <c r="R42" s="8">
        <f>SUMIFS(EIAwtransport!$J$2:$J$675,EIAwtransport!$E$2:$E$675,Program_data!$E42,EIAwtransport!$I$2:$I$675,Program_data!R$2)</f>
        <v>1231007132</v>
      </c>
      <c r="S42" s="5">
        <f>SUMIFS(EIAwtransport!$J$2:$J$675,EIAwtransport!$E$2:$E$675,Program_data!$E42,EIAwtransport!$I$2:$I$675,Program_data!S$2)</f>
        <v>120192643</v>
      </c>
      <c r="T42" s="5">
        <f>SUMIFS(EIAwtransport!$J$2:$J$675,EIAwtransport!$E$2:$E$675,Program_data!$E42,EIAwtransport!$I$2:$I$675,Program_data!T$2)</f>
        <v>731793</v>
      </c>
      <c r="U42" s="55">
        <f>IFERROR(K42/10.36/S42,"")</f>
        <v>3.2822107661996162E-3</v>
      </c>
      <c r="V42" s="24">
        <f t="shared" si="6"/>
        <v>3.2822107661996162E-3</v>
      </c>
      <c r="W42" s="24">
        <f>IFERROR(M42/R42,"")</f>
        <v>2.0209444245526923E-3</v>
      </c>
      <c r="X42" s="25">
        <f>IFERROR(M42/S42/10.36,"")</f>
        <v>1.9979163413508228E-3</v>
      </c>
      <c r="Y42" s="8">
        <f t="shared" si="7"/>
        <v>0.26939507748610059</v>
      </c>
      <c r="Z42" s="27">
        <f t="shared" si="8"/>
        <v>0.15464701859359439</v>
      </c>
      <c r="AA42" s="27"/>
      <c r="AB42" s="27"/>
      <c r="AC42" s="56">
        <f t="shared" si="22"/>
        <v>1.7836087567771795E-2</v>
      </c>
      <c r="AD42" s="20">
        <f t="shared" si="18"/>
        <v>3358525.95</v>
      </c>
      <c r="AE42" s="20">
        <f t="shared" si="9"/>
        <v>0</v>
      </c>
      <c r="AF42" s="20">
        <f t="shared" si="10"/>
        <v>1661859628.2</v>
      </c>
      <c r="AG42">
        <f t="shared" si="11"/>
        <v>431096232.60000002</v>
      </c>
      <c r="AH42">
        <f t="shared" si="12"/>
        <v>431096232.60000002</v>
      </c>
      <c r="AI42">
        <f t="shared" si="13"/>
        <v>12677919983.640001</v>
      </c>
    </row>
    <row r="43" spans="2:35" x14ac:dyDescent="0.25">
      <c r="B43" s="4">
        <v>2023</v>
      </c>
      <c r="C43" s="4" t="s">
        <v>134</v>
      </c>
      <c r="D43" s="4" t="s">
        <v>159</v>
      </c>
      <c r="E43" s="4" t="str">
        <f t="shared" si="0"/>
        <v>Ngrid-MA</v>
      </c>
      <c r="F43" s="4" t="s">
        <v>143</v>
      </c>
      <c r="G43" s="4">
        <v>1</v>
      </c>
      <c r="H43" s="4" t="s">
        <v>144</v>
      </c>
      <c r="I43" s="4" t="s">
        <v>145</v>
      </c>
      <c r="J43" s="4" t="s">
        <v>108</v>
      </c>
      <c r="K43" s="5">
        <f>1564392-K44</f>
        <v>1513888.84</v>
      </c>
      <c r="L43" s="5">
        <f>1564392-L44</f>
        <v>1513888.84</v>
      </c>
      <c r="M43" s="8">
        <v>43733400</v>
      </c>
      <c r="N43" s="8">
        <f>33280011.055-N44</f>
        <v>31800075.055</v>
      </c>
      <c r="O43" s="8">
        <f>SUMIFS(EIAwtransport!$J$2:$J$675,EIAwtransport!$E$2:$E$675,Program_data!$E43,EIAwtransport!$H$2:$H$675,Program_data!$F43,EIAwtransport!$I$2:$I$675,Program_data!O$2)</f>
        <v>0</v>
      </c>
      <c r="P43" s="5">
        <f>SUMIFS(EIAwtransport!$J$2:$J$675,EIAwtransport!$E$2:$E$675,Program_data!$E43,EIAwtransport!$H$2:$H$675,Program_data!$F43,EIAwtransport!$I$2:$I$675,Program_data!P$2)</f>
        <v>0</v>
      </c>
      <c r="Q43" s="5">
        <f>SUMIFS(EIAwtransport!$J$2:$J$675,EIAwtransport!$E$2:$E$675,Program_data!$E43,EIAwtransport!$H$2:$H$675,Program_data!$F43,EIAwtransport!$I$2:$I$675,Program_data!Q$2)</f>
        <v>0</v>
      </c>
      <c r="R43" s="8">
        <f>SUMIFS(EIAwtransport!$J$2:$J$675,EIAwtransport!$E$2:$E$675,Program_data!$E43,EIAwtransport!$I$2:$I$675,Program_data!R$2)</f>
        <v>1231007132</v>
      </c>
      <c r="S43" s="5">
        <f>SUMIFS(EIAwtransport!$J$2:$J$675,EIAwtransport!$E$2:$E$675,Program_data!$E43,EIAwtransport!$I$2:$I$675,Program_data!S$2)</f>
        <v>120192643</v>
      </c>
      <c r="T43" s="5">
        <f>SUMIFS(EIAwtransport!$J$2:$J$675,EIAwtransport!$E$2:$E$675,Program_data!$E43,EIAwtransport!$I$2:$I$675,Program_data!T$2)</f>
        <v>731793</v>
      </c>
      <c r="U43" s="55">
        <f>IFERROR(K43/10.36/S43,"")</f>
        <v>1.2157837847801252E-3</v>
      </c>
      <c r="V43" s="24">
        <f t="shared" si="6"/>
        <v>1.2157837847801252E-3</v>
      </c>
      <c r="W43" s="24">
        <f>IFERROR(M43/R43,"")</f>
        <v>3.5526520410118959E-2</v>
      </c>
      <c r="X43" s="25">
        <f>IFERROR(M43/S43/10.36,"")</f>
        <v>3.512170587987367E-2</v>
      </c>
      <c r="Y43" s="8">
        <f t="shared" si="7"/>
        <v>27.955525213629322</v>
      </c>
      <c r="Z43" s="27">
        <f t="shared" si="8"/>
        <v>2.718565832727148</v>
      </c>
      <c r="AA43" s="27"/>
      <c r="AB43" s="27"/>
      <c r="AC43" s="56">
        <f t="shared" si="22"/>
        <v>6.6067743949068851E-3</v>
      </c>
      <c r="AD43" s="20">
        <f t="shared" si="18"/>
        <v>59040090.000000007</v>
      </c>
      <c r="AE43" s="20">
        <f t="shared" si="9"/>
        <v>42930101.324250005</v>
      </c>
      <c r="AF43" s="20">
        <f t="shared" si="10"/>
        <v>1661859628.2</v>
      </c>
      <c r="AG43">
        <f t="shared" si="11"/>
        <v>159684994.84320003</v>
      </c>
      <c r="AH43">
        <f t="shared" si="12"/>
        <v>159684994.84320003</v>
      </c>
      <c r="AI43">
        <f t="shared" si="13"/>
        <v>12677919983.640001</v>
      </c>
    </row>
    <row r="44" spans="2:35" x14ac:dyDescent="0.25">
      <c r="B44" s="4">
        <v>2023</v>
      </c>
      <c r="C44" s="4" t="s">
        <v>134</v>
      </c>
      <c r="D44" s="4" t="s">
        <v>159</v>
      </c>
      <c r="E44" s="4" t="str">
        <f t="shared" si="0"/>
        <v>Ngrid-MA</v>
      </c>
      <c r="F44" s="4" t="s">
        <v>143</v>
      </c>
      <c r="G44" s="4">
        <v>1</v>
      </c>
      <c r="H44" s="4" t="s">
        <v>163</v>
      </c>
      <c r="I44" s="4" t="s">
        <v>164</v>
      </c>
      <c r="J44" s="4" t="s">
        <v>162</v>
      </c>
      <c r="K44" s="5">
        <v>50503.16</v>
      </c>
      <c r="L44" s="5">
        <v>50503.16</v>
      </c>
      <c r="N44" s="8">
        <v>1479936</v>
      </c>
      <c r="O44" s="8">
        <f>SUMIFS(EIAwtransport!$J$2:$J$675,EIAwtransport!$E$2:$E$675,Program_data!$E44,EIAwtransport!$H$2:$H$675,Program_data!$F44,EIAwtransport!$I$2:$I$675,Program_data!O$2)</f>
        <v>0</v>
      </c>
      <c r="P44" s="5">
        <f>SUMIFS(EIAwtransport!$J$2:$J$675,EIAwtransport!$E$2:$E$675,Program_data!$E44,EIAwtransport!$H$2:$H$675,Program_data!$F44,EIAwtransport!$I$2:$I$675,Program_data!P$2)</f>
        <v>0</v>
      </c>
      <c r="Q44" s="5">
        <f>SUMIFS(EIAwtransport!$J$2:$J$675,EIAwtransport!$E$2:$E$675,Program_data!$E44,EIAwtransport!$H$2:$H$675,Program_data!$F44,EIAwtransport!$I$2:$I$675,Program_data!Q$2)</f>
        <v>0</v>
      </c>
      <c r="R44" s="8">
        <f>SUMIFS(EIAwtransport!$J$2:$J$675,EIAwtransport!$E$2:$E$675,Program_data!$E44,EIAwtransport!$I$2:$I$675,Program_data!R$2)</f>
        <v>1231007132</v>
      </c>
      <c r="S44" s="5">
        <f>SUMIFS(EIAwtransport!$J$2:$J$675,EIAwtransport!$E$2:$E$675,Program_data!$E44,EIAwtransport!$I$2:$I$675,Program_data!S$2)</f>
        <v>120192643</v>
      </c>
      <c r="T44" s="5">
        <f>SUMIFS(EIAwtransport!$J$2:$J$675,EIAwtransport!$E$2:$E$675,Program_data!$E44,EIAwtransport!$I$2:$I$675,Program_data!T$2)</f>
        <v>731793</v>
      </c>
      <c r="U44" s="55"/>
      <c r="V44" s="24">
        <f t="shared" si="6"/>
        <v>4.055840916837476E-5</v>
      </c>
      <c r="W44" s="24"/>
      <c r="X44" s="25"/>
      <c r="Y44" s="8">
        <f t="shared" si="7"/>
        <v>0</v>
      </c>
      <c r="Z44" s="27">
        <f t="shared" si="8"/>
        <v>0</v>
      </c>
      <c r="AA44" s="27"/>
      <c r="AB44" s="27"/>
      <c r="AC44" s="56">
        <f t="shared" si="22"/>
        <v>2.2040124448627655E-4</v>
      </c>
      <c r="AD44" s="20">
        <f t="shared" si="18"/>
        <v>0</v>
      </c>
      <c r="AE44" s="20">
        <f t="shared" si="9"/>
        <v>1997913.6</v>
      </c>
      <c r="AF44" s="20">
        <f t="shared" si="10"/>
        <v>1661859628.2</v>
      </c>
      <c r="AG44">
        <f t="shared" si="11"/>
        <v>5327073.3168000001</v>
      </c>
      <c r="AH44">
        <f t="shared" si="12"/>
        <v>5327073.3168000001</v>
      </c>
      <c r="AI44">
        <f t="shared" si="13"/>
        <v>12677919983.640001</v>
      </c>
    </row>
    <row r="45" spans="2:35" x14ac:dyDescent="0.25">
      <c r="B45" s="4">
        <v>2023</v>
      </c>
      <c r="C45" s="4" t="s">
        <v>134</v>
      </c>
      <c r="D45" s="4" t="s">
        <v>159</v>
      </c>
      <c r="E45" s="4" t="str">
        <f t="shared" si="0"/>
        <v>Ngrid-MA</v>
      </c>
      <c r="F45" s="4" t="s">
        <v>146</v>
      </c>
      <c r="G45" s="4"/>
      <c r="H45" s="4" t="s">
        <v>147</v>
      </c>
      <c r="I45" s="4" t="s">
        <v>148</v>
      </c>
      <c r="J45" s="4" t="s">
        <v>32</v>
      </c>
      <c r="K45" s="5">
        <v>708661</v>
      </c>
      <c r="L45" s="5">
        <v>1106622</v>
      </c>
      <c r="M45" s="8">
        <v>4718077</v>
      </c>
      <c r="N45" s="8">
        <v>2346044</v>
      </c>
      <c r="O45" s="8">
        <f>SUMIFS(EIAwtransport!$J$2:$J$675,EIAwtransport!$E$2:$E$675,Program_data!$E45,EIAwtransport!$H$2:$H$675,Program_data!$F45,EIAwtransport!$I$2:$I$675,Program_data!O$2)</f>
        <v>427015212</v>
      </c>
      <c r="P45" s="5">
        <f>SUMIFS(EIAwtransport!$J$2:$J$675,EIAwtransport!$E$2:$E$675,Program_data!$E45,EIAwtransport!$H$2:$H$675,Program_data!$F45,EIAwtransport!$I$2:$I$675,Program_data!P$2)</f>
        <v>71514161</v>
      </c>
      <c r="Q45" s="5">
        <f>SUMIFS(EIAwtransport!$J$2:$J$675,EIAwtransport!$E$2:$E$675,Program_data!$E45,EIAwtransport!$H$2:$H$675,Program_data!$F45,EIAwtransport!$I$2:$I$675,Program_data!Q$2)</f>
        <v>61591</v>
      </c>
      <c r="R45" s="8">
        <f>SUMIFS(EIAwtransport!$J$2:$J$675,EIAwtransport!$E$2:$E$675,Program_data!$E45,EIAwtransport!$I$2:$I$675,Program_data!R$2)</f>
        <v>1231007132</v>
      </c>
      <c r="S45" s="5">
        <f>SUMIFS(EIAwtransport!$J$2:$J$675,EIAwtransport!$E$2:$E$675,Program_data!$E45,EIAwtransport!$I$2:$I$675,Program_data!S$2)</f>
        <v>120192643</v>
      </c>
      <c r="T45" s="5">
        <f>SUMIFS(EIAwtransport!$J$2:$J$675,EIAwtransport!$E$2:$E$675,Program_data!$E45,EIAwtransport!$I$2:$I$675,Program_data!T$2)</f>
        <v>731793</v>
      </c>
      <c r="U45" s="55">
        <f>IFERROR(K45/10.36/S45,"")</f>
        <v>5.69116126588309E-4</v>
      </c>
      <c r="V45" s="24">
        <f t="shared" si="6"/>
        <v>8.8871325815503843E-4</v>
      </c>
      <c r="W45" s="24">
        <f>IFERROR(M45/R45,"")</f>
        <v>3.8326967223452284E-3</v>
      </c>
      <c r="X45" s="25">
        <f>IFERROR(M45/S45/10.36,"")</f>
        <v>3.7890242403425464E-3</v>
      </c>
      <c r="Y45" s="8">
        <f t="shared" si="7"/>
        <v>0.89225826351371929</v>
      </c>
      <c r="Z45" s="27">
        <f t="shared" si="8"/>
        <v>0.29328620524303628</v>
      </c>
      <c r="AA45" s="27"/>
      <c r="AB45" s="27"/>
      <c r="AC45" s="56">
        <f t="shared" si="22"/>
        <v>3.0926731380549102E-3</v>
      </c>
      <c r="AD45" s="20">
        <f t="shared" si="18"/>
        <v>6369403.9500000002</v>
      </c>
      <c r="AE45" s="20">
        <f t="shared" si="9"/>
        <v>3167159.4000000004</v>
      </c>
      <c r="AF45" s="20">
        <f t="shared" si="10"/>
        <v>1661859628.2</v>
      </c>
      <c r="AG45">
        <f t="shared" si="11"/>
        <v>74749562.280000001</v>
      </c>
      <c r="AH45">
        <f t="shared" si="12"/>
        <v>116726488.56</v>
      </c>
      <c r="AI45">
        <f t="shared" si="13"/>
        <v>12677919983.640001</v>
      </c>
    </row>
    <row r="46" spans="2:35" x14ac:dyDescent="0.25">
      <c r="B46" s="4">
        <v>2023</v>
      </c>
      <c r="C46" s="4" t="s">
        <v>134</v>
      </c>
      <c r="D46" s="4" t="s">
        <v>159</v>
      </c>
      <c r="E46" s="4" t="str">
        <f t="shared" si="0"/>
        <v>Ngrid-MA</v>
      </c>
      <c r="F46" s="4" t="s">
        <v>146</v>
      </c>
      <c r="G46" s="4"/>
      <c r="H46" s="4" t="s">
        <v>150</v>
      </c>
      <c r="I46" s="4" t="s">
        <v>151</v>
      </c>
      <c r="J46" s="4"/>
      <c r="K46" s="5">
        <v>3862272</v>
      </c>
      <c r="L46" s="5">
        <v>4217436</v>
      </c>
      <c r="M46" s="8">
        <v>37041691</v>
      </c>
      <c r="N46" s="8">
        <v>30377497.633223876</v>
      </c>
      <c r="O46" s="8">
        <f>SUMIFS(EIAwtransport!$J$2:$J$675,EIAwtransport!$E$2:$E$675,Program_data!$E46,EIAwtransport!$H$2:$H$675,Program_data!$F46,EIAwtransport!$I$2:$I$675,Program_data!O$2)</f>
        <v>427015212</v>
      </c>
      <c r="P46" s="5">
        <f>SUMIFS(EIAwtransport!$J$2:$J$675,EIAwtransport!$E$2:$E$675,Program_data!$E46,EIAwtransport!$H$2:$H$675,Program_data!$F46,EIAwtransport!$I$2:$I$675,Program_data!P$2)</f>
        <v>71514161</v>
      </c>
      <c r="Q46" s="5">
        <f>SUMIFS(EIAwtransport!$J$2:$J$675,EIAwtransport!$E$2:$E$675,Program_data!$E46,EIAwtransport!$H$2:$H$675,Program_data!$F46,EIAwtransport!$I$2:$I$675,Program_data!Q$2)</f>
        <v>61591</v>
      </c>
      <c r="R46" s="8">
        <f>SUMIFS(EIAwtransport!$J$2:$J$675,EIAwtransport!$E$2:$E$675,Program_data!$E46,EIAwtransport!$I$2:$I$675,Program_data!R$2)</f>
        <v>1231007132</v>
      </c>
      <c r="S46" s="5">
        <f>SUMIFS(EIAwtransport!$J$2:$J$675,EIAwtransport!$E$2:$E$675,Program_data!$E46,EIAwtransport!$I$2:$I$675,Program_data!S$2)</f>
        <v>120192643</v>
      </c>
      <c r="T46" s="5">
        <f>SUMIFS(EIAwtransport!$J$2:$J$675,EIAwtransport!$E$2:$E$675,Program_data!$E46,EIAwtransport!$I$2:$I$675,Program_data!T$2)</f>
        <v>731793</v>
      </c>
      <c r="U46" s="55">
        <f>IFERROR(K46/10.36/S46,"")</f>
        <v>3.1017387445767177E-3</v>
      </c>
      <c r="V46" s="24">
        <f t="shared" si="6"/>
        <v>3.3869661805208573E-3</v>
      </c>
      <c r="W46" s="24">
        <f>IFERROR(M46/R46,"")</f>
        <v>3.0090557590693148E-2</v>
      </c>
      <c r="X46" s="25">
        <f>IFERROR(M46/S46/10.36,"")</f>
        <v>2.974768430067554E-2</v>
      </c>
      <c r="Y46" s="8">
        <f t="shared" si="7"/>
        <v>7.0051325761050025</v>
      </c>
      <c r="Z46" s="27">
        <f t="shared" si="8"/>
        <v>2.3025942537977082</v>
      </c>
      <c r="AA46" s="27"/>
      <c r="AB46" s="27"/>
      <c r="AC46" s="56">
        <f t="shared" si="22"/>
        <v>1.6855372126110529E-2</v>
      </c>
      <c r="AD46" s="20">
        <f t="shared" si="18"/>
        <v>50006282.850000001</v>
      </c>
      <c r="AE46" s="20">
        <f t="shared" si="9"/>
        <v>41009621.804852232</v>
      </c>
      <c r="AF46" s="20">
        <f t="shared" si="10"/>
        <v>1661859628.2</v>
      </c>
      <c r="AG46">
        <f t="shared" si="11"/>
        <v>407392450.56</v>
      </c>
      <c r="AH46">
        <f t="shared" si="12"/>
        <v>444855149.28000003</v>
      </c>
      <c r="AI46">
        <f t="shared" si="13"/>
        <v>12677919983.640001</v>
      </c>
    </row>
    <row r="47" spans="2:35" x14ac:dyDescent="0.25">
      <c r="B47" s="4">
        <v>2023</v>
      </c>
      <c r="C47" s="4" t="s">
        <v>134</v>
      </c>
      <c r="D47" s="4" t="s">
        <v>159</v>
      </c>
      <c r="E47" s="4" t="str">
        <f t="shared" si="0"/>
        <v>Ngrid-MA</v>
      </c>
      <c r="F47" s="4" t="s">
        <v>146</v>
      </c>
      <c r="G47" s="4"/>
      <c r="H47" s="4" t="s">
        <v>150</v>
      </c>
      <c r="I47" s="4" t="s">
        <v>153</v>
      </c>
      <c r="J47" s="4" t="s">
        <v>32</v>
      </c>
      <c r="K47" s="5">
        <f>716860-K48</f>
        <v>715703.72</v>
      </c>
      <c r="L47" s="5">
        <f>1168687-L48</f>
        <v>1167317</v>
      </c>
      <c r="M47" s="8">
        <v>7563748</v>
      </c>
      <c r="N47" s="8">
        <f>5062581.99933333-N48</f>
        <v>5055681.9993333304</v>
      </c>
      <c r="O47" s="8">
        <f>SUMIFS(EIAwtransport!$J$2:$J$675,EIAwtransport!$E$2:$E$675,Program_data!$E47,EIAwtransport!$H$2:$H$675,Program_data!$F47,EIAwtransport!$I$2:$I$675,Program_data!O$2)</f>
        <v>427015212</v>
      </c>
      <c r="P47" s="5">
        <f>SUMIFS(EIAwtransport!$J$2:$J$675,EIAwtransport!$E$2:$E$675,Program_data!$E47,EIAwtransport!$H$2:$H$675,Program_data!$F47,EIAwtransport!$I$2:$I$675,Program_data!P$2)</f>
        <v>71514161</v>
      </c>
      <c r="Q47" s="5">
        <f>SUMIFS(EIAwtransport!$J$2:$J$675,EIAwtransport!$E$2:$E$675,Program_data!$E47,EIAwtransport!$H$2:$H$675,Program_data!$F47,EIAwtransport!$I$2:$I$675,Program_data!Q$2)</f>
        <v>61591</v>
      </c>
      <c r="R47" s="8">
        <f>SUMIFS(EIAwtransport!$J$2:$J$675,EIAwtransport!$E$2:$E$675,Program_data!$E47,EIAwtransport!$I$2:$I$675,Program_data!R$2)</f>
        <v>1231007132</v>
      </c>
      <c r="S47" s="5">
        <f>SUMIFS(EIAwtransport!$J$2:$J$675,EIAwtransport!$E$2:$E$675,Program_data!$E47,EIAwtransport!$I$2:$I$675,Program_data!S$2)</f>
        <v>120192643</v>
      </c>
      <c r="T47" s="5">
        <f>SUMIFS(EIAwtransport!$J$2:$J$675,EIAwtransport!$E$2:$E$675,Program_data!$E47,EIAwtransport!$I$2:$I$675,Program_data!T$2)</f>
        <v>731793</v>
      </c>
      <c r="U47" s="55">
        <f>IFERROR(K47/10.36/S47,"")</f>
        <v>5.7477204038495642E-4</v>
      </c>
      <c r="V47" s="24">
        <f t="shared" si="6"/>
        <v>9.3745659707629621E-4</v>
      </c>
      <c r="W47" s="24">
        <f>IFERROR(M47/R47,"")</f>
        <v>6.1443575779380616E-3</v>
      </c>
      <c r="X47" s="25">
        <f>IFERROR(M47/S47/10.36,"")</f>
        <v>6.0743443822223447E-3</v>
      </c>
      <c r="Y47" s="8">
        <f t="shared" si="7"/>
        <v>1.4304168109455118</v>
      </c>
      <c r="Z47" s="27">
        <f t="shared" si="8"/>
        <v>0.4701794710714991</v>
      </c>
      <c r="AA47" s="27"/>
      <c r="AB47" s="27"/>
      <c r="AC47" s="56">
        <f t="shared" si="22"/>
        <v>3.123408328735422E-3</v>
      </c>
      <c r="AD47" s="20">
        <f t="shared" si="18"/>
        <v>10211059.800000001</v>
      </c>
      <c r="AE47" s="20">
        <f t="shared" si="9"/>
        <v>6825170.6990999961</v>
      </c>
      <c r="AF47" s="20">
        <f t="shared" si="10"/>
        <v>1661859628.2</v>
      </c>
      <c r="AG47">
        <f t="shared" si="11"/>
        <v>75492428.385600001</v>
      </c>
      <c r="AH47">
        <f t="shared" si="12"/>
        <v>123128597.16000001</v>
      </c>
      <c r="AI47">
        <f t="shared" si="13"/>
        <v>12677919983.640001</v>
      </c>
    </row>
    <row r="48" spans="2:35" x14ac:dyDescent="0.25">
      <c r="B48" s="4">
        <v>2023</v>
      </c>
      <c r="C48" s="4" t="s">
        <v>134</v>
      </c>
      <c r="D48" s="4" t="s">
        <v>159</v>
      </c>
      <c r="E48" s="4" t="str">
        <f t="shared" ref="E48" si="24">D48&amp;"-"&amp;C48</f>
        <v>Ngrid-MA</v>
      </c>
      <c r="F48" s="4" t="s">
        <v>146</v>
      </c>
      <c r="G48" s="4"/>
      <c r="H48" s="4" t="s">
        <v>165</v>
      </c>
      <c r="I48" s="4" t="s">
        <v>166</v>
      </c>
      <c r="J48" s="4" t="s">
        <v>162</v>
      </c>
      <c r="K48" s="5">
        <v>1156.28</v>
      </c>
      <c r="L48" s="5">
        <v>1370</v>
      </c>
      <c r="N48" s="8">
        <v>6900</v>
      </c>
      <c r="O48" s="8">
        <f>SUMIFS(EIAwtransport!$J$2:$J$675,EIAwtransport!$E$2:$E$675,Program_data!$E48,EIAwtransport!$H$2:$H$675,Program_data!$F48,EIAwtransport!$I$2:$I$675,Program_data!O$2)</f>
        <v>427015212</v>
      </c>
      <c r="P48" s="5">
        <f>SUMIFS(EIAwtransport!$J$2:$J$675,EIAwtransport!$E$2:$E$675,Program_data!$E48,EIAwtransport!$H$2:$H$675,Program_data!$F48,EIAwtransport!$I$2:$I$675,Program_data!P$2)</f>
        <v>71514161</v>
      </c>
      <c r="Q48" s="5">
        <f>SUMIFS(EIAwtransport!$J$2:$J$675,EIAwtransport!$E$2:$E$675,Program_data!$E48,EIAwtransport!$H$2:$H$675,Program_data!$F48,EIAwtransport!$I$2:$I$675,Program_data!Q$2)</f>
        <v>61591</v>
      </c>
      <c r="R48" s="8">
        <f>SUMIFS(EIAwtransport!$J$2:$J$675,EIAwtransport!$E$2:$E$675,Program_data!$E48,EIAwtransport!$I$2:$I$675,Program_data!R$2)</f>
        <v>1231007132</v>
      </c>
      <c r="S48" s="5">
        <f>SUMIFS(EIAwtransport!$J$2:$J$675,EIAwtransport!$E$2:$E$675,Program_data!$E48,EIAwtransport!$I$2:$I$675,Program_data!S$2)</f>
        <v>120192643</v>
      </c>
      <c r="T48" s="5">
        <f>SUMIFS(EIAwtransport!$J$2:$J$675,EIAwtransport!$E$2:$E$675,Program_data!$E48,EIAwtransport!$I$2:$I$675,Program_data!T$2)</f>
        <v>731793</v>
      </c>
      <c r="U48" s="55"/>
      <c r="V48" s="24">
        <f t="shared" si="6"/>
        <v>1.1002285908579468E-6</v>
      </c>
      <c r="W48" s="24"/>
      <c r="X48" s="25"/>
      <c r="Y48" s="8">
        <f t="shared" si="7"/>
        <v>0</v>
      </c>
      <c r="Z48" s="27">
        <f t="shared" si="8"/>
        <v>0</v>
      </c>
      <c r="AA48" s="27"/>
      <c r="AB48" s="27"/>
      <c r="AC48" s="56">
        <f t="shared" si="22"/>
        <v>5.046130796064877E-6</v>
      </c>
      <c r="AD48" s="20">
        <f t="shared" si="18"/>
        <v>0</v>
      </c>
      <c r="AE48" s="20">
        <f t="shared" si="9"/>
        <v>9315</v>
      </c>
      <c r="AF48" s="20">
        <f t="shared" si="10"/>
        <v>1661859628.2</v>
      </c>
      <c r="AG48">
        <f t="shared" si="11"/>
        <v>121964.41440000001</v>
      </c>
      <c r="AH48">
        <f t="shared" si="12"/>
        <v>144507.6</v>
      </c>
      <c r="AI48">
        <f t="shared" si="13"/>
        <v>12677919983.640001</v>
      </c>
    </row>
    <row r="49" spans="2:35" x14ac:dyDescent="0.25">
      <c r="B49" s="4">
        <v>2024</v>
      </c>
      <c r="C49" s="4" t="s">
        <v>134</v>
      </c>
      <c r="D49" s="4" t="s">
        <v>159</v>
      </c>
      <c r="E49" s="4" t="str">
        <f t="shared" si="0"/>
        <v>Ngrid-MA</v>
      </c>
      <c r="F49" s="4" t="s">
        <v>135</v>
      </c>
      <c r="G49" s="4"/>
      <c r="H49" s="4" t="s">
        <v>136</v>
      </c>
      <c r="I49" s="4" t="s">
        <v>137</v>
      </c>
      <c r="J49" s="4" t="s">
        <v>32</v>
      </c>
      <c r="K49" s="5">
        <v>389397</v>
      </c>
      <c r="L49" s="5">
        <v>521547</v>
      </c>
      <c r="M49" s="8">
        <v>5232163</v>
      </c>
      <c r="N49" s="8">
        <v>4372460</v>
      </c>
      <c r="O49" s="8">
        <f>SUMIFS(EIAwtransport!$J$2:$J$675,EIAwtransport!$E$2:$E$675,Program_data!$E49,EIAwtransport!$H$2:$H$675,Program_data!$F49,EIAwtransport!$I$2:$I$675,Program_data!O$2)</f>
        <v>803991920</v>
      </c>
      <c r="P49" s="5">
        <f>SUMIFS(EIAwtransport!$J$2:$J$675,EIAwtransport!$E$2:$E$675,Program_data!$E49,EIAwtransport!$H$2:$H$675,Program_data!$F49,EIAwtransport!$I$2:$I$675,Program_data!P$2)</f>
        <v>48678482</v>
      </c>
      <c r="Q49" s="5">
        <f>SUMIFS(EIAwtransport!$J$2:$J$675,EIAwtransport!$E$2:$E$675,Program_data!$E49,EIAwtransport!$H$2:$H$675,Program_data!$F49,EIAwtransport!$I$2:$I$675,Program_data!Q$2)</f>
        <v>670202</v>
      </c>
      <c r="R49" s="8">
        <f>SUMIFS(EIAwtransport!$J$2:$J$675,EIAwtransport!$E$2:$E$675,Program_data!$E49,EIAwtransport!$I$2:$I$675,Program_data!R$2)</f>
        <v>1231007132</v>
      </c>
      <c r="S49" s="5">
        <f>SUMIFS(EIAwtransport!$J$2:$J$675,EIAwtransport!$E$2:$E$675,Program_data!$E49,EIAwtransport!$I$2:$I$675,Program_data!S$2)</f>
        <v>120192643</v>
      </c>
      <c r="T49" s="5">
        <f>SUMIFS(EIAwtransport!$J$2:$J$675,EIAwtransport!$E$2:$E$675,Program_data!$E49,EIAwtransport!$I$2:$I$675,Program_data!T$2)</f>
        <v>731793</v>
      </c>
      <c r="U49" s="24">
        <f t="shared" ref="U49:U67" si="25">IFERROR(K49/10.36/S49,"")</f>
        <v>3.1271949824402323E-4</v>
      </c>
      <c r="V49" s="24">
        <f t="shared" ref="V49:V67" si="26">IFERROR(L49/10.36/S49,"")</f>
        <v>4.1884738750086822E-4</v>
      </c>
      <c r="W49" s="24">
        <f t="shared" ref="W49:W67" si="27">IFERROR(M49/R49,"")</f>
        <v>4.2503108747220485E-3</v>
      </c>
      <c r="X49" s="25">
        <f t="shared" ref="X49:X67" si="28">IFERROR(M49/S49/10.36,"")</f>
        <v>4.2018797989993332E-3</v>
      </c>
      <c r="Y49" s="8">
        <f t="shared" si="7"/>
        <v>0.55435197774693667</v>
      </c>
      <c r="Z49" s="27">
        <f t="shared" si="8"/>
        <v>0.31617156921781336</v>
      </c>
      <c r="AA49" s="27"/>
      <c r="AB49" s="27"/>
      <c r="AC49" s="56">
        <f t="shared" si="22"/>
        <v>1.395742976216145E-3</v>
      </c>
      <c r="AD49" s="20">
        <f t="shared" si="18"/>
        <v>7063420.0500000007</v>
      </c>
      <c r="AE49" s="20">
        <f t="shared" si="9"/>
        <v>5902821</v>
      </c>
      <c r="AF49" s="20">
        <f t="shared" si="10"/>
        <v>1661859628.2</v>
      </c>
      <c r="AG49">
        <f t="shared" si="11"/>
        <v>41073595.560000002</v>
      </c>
      <c r="AH49">
        <f t="shared" si="12"/>
        <v>55012777.560000002</v>
      </c>
      <c r="AI49">
        <f t="shared" si="13"/>
        <v>12677919983.640001</v>
      </c>
    </row>
    <row r="50" spans="2:35" x14ac:dyDescent="0.25">
      <c r="B50" s="4">
        <v>2024</v>
      </c>
      <c r="C50" s="4" t="s">
        <v>134</v>
      </c>
      <c r="D50" s="4" t="s">
        <v>159</v>
      </c>
      <c r="E50" s="4" t="str">
        <f>D50&amp;"-"&amp;C50</f>
        <v>Ngrid-MA</v>
      </c>
      <c r="F50" s="4" t="s">
        <v>135</v>
      </c>
      <c r="G50" s="4"/>
      <c r="H50" s="4" t="s">
        <v>136</v>
      </c>
      <c r="I50" s="4" t="s">
        <v>167</v>
      </c>
      <c r="J50" s="4" t="s">
        <v>155</v>
      </c>
      <c r="K50" s="5"/>
      <c r="L50" s="5"/>
      <c r="M50" s="8">
        <f>198599+51093+610011+239339</f>
        <v>1099042</v>
      </c>
      <c r="N50" s="8"/>
      <c r="O50" s="8">
        <f>SUMIFS(EIAwtransport!$J$2:$J$675,EIAwtransport!$E$2:$E$675,Program_data!$E50,EIAwtransport!$H$2:$H$675,Program_data!$F50,EIAwtransport!$I$2:$I$675,Program_data!O$2)</f>
        <v>803991920</v>
      </c>
      <c r="P50" s="5">
        <f>SUMIFS(EIAwtransport!$J$2:$J$675,EIAwtransport!$E$2:$E$675,Program_data!$E50,EIAwtransport!$H$2:$H$675,Program_data!$F50,EIAwtransport!$I$2:$I$675,Program_data!P$2)</f>
        <v>48678482</v>
      </c>
      <c r="Q50" s="5">
        <f>SUMIFS(EIAwtransport!$J$2:$J$675,EIAwtransport!$E$2:$E$675,Program_data!$E50,EIAwtransport!$H$2:$H$675,Program_data!$F50,EIAwtransport!$I$2:$I$675,Program_data!Q$2)</f>
        <v>670202</v>
      </c>
      <c r="R50" s="8">
        <f>SUMIFS(EIAwtransport!$J$2:$J$675,EIAwtransport!$E$2:$E$675,Program_data!$E50,EIAwtransport!$I$2:$I$675,Program_data!R$2)</f>
        <v>1231007132</v>
      </c>
      <c r="S50" s="5">
        <f>SUMIFS(EIAwtransport!$J$2:$J$675,EIAwtransport!$E$2:$E$675,Program_data!$E50,EIAwtransport!$I$2:$I$675,Program_data!S$2)</f>
        <v>120192643</v>
      </c>
      <c r="T50" s="5">
        <f>SUMIFS(EIAwtransport!$J$2:$J$675,EIAwtransport!$E$2:$E$675,Program_data!$E50,EIAwtransport!$I$2:$I$675,Program_data!T$2)</f>
        <v>731793</v>
      </c>
      <c r="U50" s="24">
        <f t="shared" si="25"/>
        <v>0</v>
      </c>
      <c r="V50" s="24">
        <f t="shared" si="26"/>
        <v>0</v>
      </c>
      <c r="W50" s="24">
        <f t="shared" si="27"/>
        <v>8.9279905163051486E-4</v>
      </c>
      <c r="X50" s="25">
        <f t="shared" si="28"/>
        <v>8.8262586200999957E-4</v>
      </c>
      <c r="Y50" s="8">
        <f t="shared" si="7"/>
        <v>0.11644440479529189</v>
      </c>
      <c r="Z50" s="27">
        <f t="shared" si="8"/>
        <v>6.6413419034591248E-2</v>
      </c>
      <c r="AA50" s="27"/>
      <c r="AB50" s="27"/>
      <c r="AC50" s="56"/>
      <c r="AD50" s="20">
        <f t="shared" si="18"/>
        <v>1483706.7000000002</v>
      </c>
      <c r="AE50" s="20">
        <f t="shared" si="9"/>
        <v>0</v>
      </c>
      <c r="AF50" s="20">
        <f t="shared" si="10"/>
        <v>1661859628.2</v>
      </c>
      <c r="AG50">
        <f t="shared" si="11"/>
        <v>0</v>
      </c>
      <c r="AH50">
        <f t="shared" si="12"/>
        <v>0</v>
      </c>
      <c r="AI50">
        <f t="shared" si="13"/>
        <v>12677919983.640001</v>
      </c>
    </row>
    <row r="51" spans="2:35" x14ac:dyDescent="0.25">
      <c r="B51" s="4">
        <v>2024</v>
      </c>
      <c r="C51" s="4" t="s">
        <v>134</v>
      </c>
      <c r="D51" s="4" t="s">
        <v>159</v>
      </c>
      <c r="E51" s="4" t="str">
        <f t="shared" si="0"/>
        <v>Ngrid-MA</v>
      </c>
      <c r="F51" s="4" t="s">
        <v>135</v>
      </c>
      <c r="G51" s="4"/>
      <c r="H51" s="4" t="s">
        <v>139</v>
      </c>
      <c r="I51" s="4" t="s">
        <v>140</v>
      </c>
      <c r="J51" s="4" t="s">
        <v>27</v>
      </c>
      <c r="K51" s="5">
        <v>2556757</v>
      </c>
      <c r="L51" s="5">
        <v>2684688</v>
      </c>
      <c r="M51" s="8">
        <v>82340584</v>
      </c>
      <c r="N51" s="8">
        <v>76853053.948173553</v>
      </c>
      <c r="O51" s="8">
        <f>SUMIFS(EIAwtransport!$J$2:$J$675,EIAwtransport!$E$2:$E$675,Program_data!$E51,EIAwtransport!$H$2:$H$675,Program_data!$F51,EIAwtransport!$I$2:$I$675,Program_data!O$2)</f>
        <v>803991920</v>
      </c>
      <c r="P51" s="5">
        <f>SUMIFS(EIAwtransport!$J$2:$J$675,EIAwtransport!$E$2:$E$675,Program_data!$E51,EIAwtransport!$H$2:$H$675,Program_data!$F51,EIAwtransport!$I$2:$I$675,Program_data!P$2)</f>
        <v>48678482</v>
      </c>
      <c r="Q51" s="5">
        <f>SUMIFS(EIAwtransport!$J$2:$J$675,EIAwtransport!$E$2:$E$675,Program_data!$E51,EIAwtransport!$H$2:$H$675,Program_data!$F51,EIAwtransport!$I$2:$I$675,Program_data!Q$2)</f>
        <v>670202</v>
      </c>
      <c r="R51" s="8">
        <f>SUMIFS(EIAwtransport!$J$2:$J$675,EIAwtransport!$E$2:$E$675,Program_data!$E51,EIAwtransport!$I$2:$I$675,Program_data!R$2)</f>
        <v>1231007132</v>
      </c>
      <c r="S51" s="5">
        <f>SUMIFS(EIAwtransport!$J$2:$J$675,EIAwtransport!$E$2:$E$675,Program_data!$E51,EIAwtransport!$I$2:$I$675,Program_data!S$2)</f>
        <v>120192643</v>
      </c>
      <c r="T51" s="5">
        <f>SUMIFS(EIAwtransport!$J$2:$J$675,EIAwtransport!$E$2:$E$675,Program_data!$E51,EIAwtransport!$I$2:$I$675,Program_data!T$2)</f>
        <v>731793</v>
      </c>
      <c r="U51" s="24">
        <f t="shared" si="25"/>
        <v>2.0532971907125486E-3</v>
      </c>
      <c r="V51" s="24">
        <f t="shared" si="26"/>
        <v>2.1560368577614882E-3</v>
      </c>
      <c r="W51" s="24">
        <f t="shared" si="27"/>
        <v>6.6888795247044927E-2</v>
      </c>
      <c r="X51" s="25">
        <f t="shared" si="28"/>
        <v>6.6126616572803207E-2</v>
      </c>
      <c r="Y51" s="8">
        <f t="shared" si="7"/>
        <v>8.7240526698495007</v>
      </c>
      <c r="Z51" s="27">
        <f t="shared" si="8"/>
        <v>4.9757149487871795</v>
      </c>
      <c r="AA51" s="27"/>
      <c r="AB51" s="27"/>
      <c r="AC51" s="56">
        <f>IFERROR(K51/SUMIFS($M$3:$M$1234,$E$3:$E$1234,E51,$B$3:$B$1234,B51),"")</f>
        <v>9.1643634250943434E-3</v>
      </c>
      <c r="AD51" s="20">
        <f t="shared" si="18"/>
        <v>111159788.40000001</v>
      </c>
      <c r="AE51" s="20">
        <f t="shared" si="9"/>
        <v>103751622.8300343</v>
      </c>
      <c r="AF51" s="20">
        <f t="shared" si="10"/>
        <v>1661859628.2</v>
      </c>
      <c r="AG51">
        <f t="shared" si="11"/>
        <v>269686728.36000001</v>
      </c>
      <c r="AH51">
        <f t="shared" si="12"/>
        <v>283180890.24000001</v>
      </c>
      <c r="AI51">
        <f t="shared" si="13"/>
        <v>12677919983.640001</v>
      </c>
    </row>
    <row r="52" spans="2:35" x14ac:dyDescent="0.25">
      <c r="B52" s="4">
        <v>2024</v>
      </c>
      <c r="C52" s="4" t="s">
        <v>134</v>
      </c>
      <c r="D52" s="4" t="s">
        <v>159</v>
      </c>
      <c r="E52" s="4" t="str">
        <f>D52&amp;"-"&amp;C52</f>
        <v>Ngrid-MA</v>
      </c>
      <c r="F52" s="4" t="s">
        <v>135</v>
      </c>
      <c r="G52" s="4"/>
      <c r="H52" s="4" t="s">
        <v>139</v>
      </c>
      <c r="I52" s="4" t="s">
        <v>167</v>
      </c>
      <c r="J52" s="4" t="s">
        <v>155</v>
      </c>
      <c r="K52" s="5"/>
      <c r="L52" s="5"/>
      <c r="M52" s="8">
        <f>1912586+465290+3109654+1624816</f>
        <v>7112346</v>
      </c>
      <c r="N52" s="8"/>
      <c r="O52" s="8">
        <f>SUMIFS(EIAwtransport!$J$2:$J$675,EIAwtransport!$E$2:$E$675,Program_data!$E52,EIAwtransport!$H$2:$H$675,Program_data!$F52,EIAwtransport!$I$2:$I$675,Program_data!O$2)</f>
        <v>803991920</v>
      </c>
      <c r="P52" s="5">
        <f>SUMIFS(EIAwtransport!$J$2:$J$675,EIAwtransport!$E$2:$E$675,Program_data!$E52,EIAwtransport!$H$2:$H$675,Program_data!$F52,EIAwtransport!$I$2:$I$675,Program_data!P$2)</f>
        <v>48678482</v>
      </c>
      <c r="Q52" s="5">
        <f>SUMIFS(EIAwtransport!$J$2:$J$675,EIAwtransport!$E$2:$E$675,Program_data!$E52,EIAwtransport!$H$2:$H$675,Program_data!$F52,EIAwtransport!$I$2:$I$675,Program_data!Q$2)</f>
        <v>670202</v>
      </c>
      <c r="R52" s="8">
        <f>SUMIFS(EIAwtransport!$J$2:$J$675,EIAwtransport!$E$2:$E$675,Program_data!$E52,EIAwtransport!$I$2:$I$675,Program_data!R$2)</f>
        <v>1231007132</v>
      </c>
      <c r="S52" s="5">
        <f>SUMIFS(EIAwtransport!$J$2:$J$675,EIAwtransport!$E$2:$E$675,Program_data!$E52,EIAwtransport!$I$2:$I$675,Program_data!S$2)</f>
        <v>120192643</v>
      </c>
      <c r="T52" s="5">
        <f>SUMIFS(EIAwtransport!$J$2:$J$675,EIAwtransport!$E$2:$E$675,Program_data!$E52,EIAwtransport!$I$2:$I$675,Program_data!T$2)</f>
        <v>731793</v>
      </c>
      <c r="U52" s="24">
        <f t="shared" si="25"/>
        <v>0</v>
      </c>
      <c r="V52" s="24">
        <f t="shared" si="26"/>
        <v>0</v>
      </c>
      <c r="W52" s="24">
        <f t="shared" si="27"/>
        <v>5.7776643328172044E-3</v>
      </c>
      <c r="X52" s="25">
        <f t="shared" si="28"/>
        <v>5.711829501659966E-3</v>
      </c>
      <c r="Y52" s="8">
        <f t="shared" si="7"/>
        <v>0.7535589146440036</v>
      </c>
      <c r="Z52" s="27">
        <f t="shared" si="8"/>
        <v>0.4297881384123618</v>
      </c>
      <c r="AA52" s="27"/>
      <c r="AB52" s="27"/>
      <c r="AC52" s="56"/>
      <c r="AD52" s="20">
        <f t="shared" si="18"/>
        <v>9601667.1000000015</v>
      </c>
      <c r="AE52" s="20">
        <f t="shared" si="9"/>
        <v>0</v>
      </c>
      <c r="AF52" s="20">
        <f t="shared" si="10"/>
        <v>1661859628.2</v>
      </c>
      <c r="AG52">
        <f t="shared" si="11"/>
        <v>0</v>
      </c>
      <c r="AH52">
        <f t="shared" si="12"/>
        <v>0</v>
      </c>
      <c r="AI52">
        <f t="shared" si="13"/>
        <v>12677919983.640001</v>
      </c>
    </row>
    <row r="53" spans="2:35" x14ac:dyDescent="0.25">
      <c r="B53" s="4">
        <v>2024</v>
      </c>
      <c r="C53" s="4" t="s">
        <v>134</v>
      </c>
      <c r="D53" s="4" t="s">
        <v>159</v>
      </c>
      <c r="E53" s="4" t="str">
        <f t="shared" si="0"/>
        <v>Ngrid-MA</v>
      </c>
      <c r="F53" s="4" t="s">
        <v>135</v>
      </c>
      <c r="G53" s="4"/>
      <c r="H53" s="4" t="s">
        <v>139</v>
      </c>
      <c r="I53" s="4" t="s">
        <v>141</v>
      </c>
      <c r="J53" s="4" t="s">
        <v>21</v>
      </c>
      <c r="K53" s="5">
        <f>2405192-K54</f>
        <v>1967207</v>
      </c>
      <c r="L53" s="5">
        <f>2949196-L54</f>
        <v>2372863</v>
      </c>
      <c r="M53" s="8">
        <v>36115882</v>
      </c>
      <c r="N53" s="8">
        <f>33147055.6-N54</f>
        <v>25646205.600000001</v>
      </c>
      <c r="O53" s="8">
        <f>SUMIFS(EIAwtransport!$J$2:$J$675,EIAwtransport!$E$2:$E$675,Program_data!$E53,EIAwtransport!$H$2:$H$675,Program_data!$F53,EIAwtransport!$I$2:$I$675,Program_data!O$2)</f>
        <v>803991920</v>
      </c>
      <c r="P53" s="5">
        <f>SUMIFS(EIAwtransport!$J$2:$J$675,EIAwtransport!$E$2:$E$675,Program_data!$E53,EIAwtransport!$H$2:$H$675,Program_data!$F53,EIAwtransport!$I$2:$I$675,Program_data!P$2)</f>
        <v>48678482</v>
      </c>
      <c r="Q53" s="5">
        <f>SUMIFS(EIAwtransport!$J$2:$J$675,EIAwtransport!$E$2:$E$675,Program_data!$E53,EIAwtransport!$H$2:$H$675,Program_data!$F53,EIAwtransport!$I$2:$I$675,Program_data!Q$2)</f>
        <v>670202</v>
      </c>
      <c r="R53" s="8">
        <f>SUMIFS(EIAwtransport!$J$2:$J$675,EIAwtransport!$E$2:$E$675,Program_data!$E53,EIAwtransport!$I$2:$I$675,Program_data!R$2)</f>
        <v>1231007132</v>
      </c>
      <c r="S53" s="5">
        <f>SUMIFS(EIAwtransport!$J$2:$J$675,EIAwtransport!$E$2:$E$675,Program_data!$E53,EIAwtransport!$I$2:$I$675,Program_data!S$2)</f>
        <v>120192643</v>
      </c>
      <c r="T53" s="5">
        <f>SUMIFS(EIAwtransport!$J$2:$J$675,EIAwtransport!$E$2:$E$675,Program_data!$E53,EIAwtransport!$I$2:$I$675,Program_data!T$2)</f>
        <v>731793</v>
      </c>
      <c r="U53" s="24">
        <f t="shared" si="25"/>
        <v>1.5798375076904296E-3</v>
      </c>
      <c r="V53" s="24">
        <f t="shared" si="26"/>
        <v>1.9056143903569049E-3</v>
      </c>
      <c r="W53" s="24">
        <f t="shared" si="27"/>
        <v>2.9338483150234098E-2</v>
      </c>
      <c r="X53" s="25">
        <f t="shared" si="28"/>
        <v>2.9004179533176556E-2</v>
      </c>
      <c r="Y53" s="8">
        <f t="shared" si="7"/>
        <v>3.826507433880594</v>
      </c>
      <c r="Z53" s="27">
        <f t="shared" si="8"/>
        <v>2.1824272457921094</v>
      </c>
      <c r="AA53" s="27"/>
      <c r="AB53" s="27"/>
      <c r="AC53" s="56">
        <f>IFERROR(K53/SUMIFS($M$3:$M$1234,$E$3:$E$1234,E53,$B$3:$B$1234,B53),"")</f>
        <v>7.0511980138861724E-3</v>
      </c>
      <c r="AD53" s="20">
        <f t="shared" si="18"/>
        <v>48756440.700000003</v>
      </c>
      <c r="AE53" s="20">
        <f t="shared" si="9"/>
        <v>34622377.560000002</v>
      </c>
      <c r="AF53" s="20">
        <f t="shared" si="10"/>
        <v>1661859628.2</v>
      </c>
      <c r="AG53">
        <f t="shared" si="11"/>
        <v>207500994.36000001</v>
      </c>
      <c r="AH53">
        <f t="shared" si="12"/>
        <v>250289589.24000001</v>
      </c>
      <c r="AI53">
        <f t="shared" si="13"/>
        <v>12677919983.640001</v>
      </c>
    </row>
    <row r="54" spans="2:35" x14ac:dyDescent="0.25">
      <c r="B54" s="4">
        <v>2024</v>
      </c>
      <c r="C54" s="4" t="s">
        <v>134</v>
      </c>
      <c r="D54" s="4" t="s">
        <v>159</v>
      </c>
      <c r="E54" s="4" t="str">
        <f t="shared" si="0"/>
        <v>Ngrid-MA</v>
      </c>
      <c r="F54" s="4" t="s">
        <v>135</v>
      </c>
      <c r="G54" s="4"/>
      <c r="H54" s="4" t="s">
        <v>160</v>
      </c>
      <c r="I54" s="4" t="s">
        <v>161</v>
      </c>
      <c r="J54" s="4" t="s">
        <v>48</v>
      </c>
      <c r="K54" s="5">
        <v>437985</v>
      </c>
      <c r="L54" s="5">
        <v>576333</v>
      </c>
      <c r="M54" s="8"/>
      <c r="N54" s="8">
        <v>7500850</v>
      </c>
      <c r="O54" s="8">
        <f>SUMIFS(EIAwtransport!$J$2:$J$675,EIAwtransport!$E$2:$E$675,Program_data!$E54,EIAwtransport!$H$2:$H$675,Program_data!$F54,EIAwtransport!$I$2:$I$675,Program_data!O$2)</f>
        <v>803991920</v>
      </c>
      <c r="P54" s="5">
        <f>SUMIFS(EIAwtransport!$J$2:$J$675,EIAwtransport!$E$2:$E$675,Program_data!$E54,EIAwtransport!$H$2:$H$675,Program_data!$F54,EIAwtransport!$I$2:$I$675,Program_data!P$2)</f>
        <v>48678482</v>
      </c>
      <c r="Q54" s="5">
        <f>SUMIFS(EIAwtransport!$J$2:$J$675,EIAwtransport!$E$2:$E$675,Program_data!$E54,EIAwtransport!$H$2:$H$675,Program_data!$F54,EIAwtransport!$I$2:$I$675,Program_data!Q$2)</f>
        <v>670202</v>
      </c>
      <c r="R54" s="8">
        <f>SUMIFS(EIAwtransport!$J$2:$J$675,EIAwtransport!$E$2:$E$675,Program_data!$E54,EIAwtransport!$I$2:$I$675,Program_data!R$2)</f>
        <v>1231007132</v>
      </c>
      <c r="S54" s="5">
        <f>SUMIFS(EIAwtransport!$J$2:$J$675,EIAwtransport!$E$2:$E$675,Program_data!$E54,EIAwtransport!$I$2:$I$675,Program_data!S$2)</f>
        <v>120192643</v>
      </c>
      <c r="T54" s="5">
        <f>SUMIFS(EIAwtransport!$J$2:$J$675,EIAwtransport!$E$2:$E$675,Program_data!$E54,EIAwtransport!$I$2:$I$675,Program_data!T$2)</f>
        <v>731793</v>
      </c>
      <c r="U54" s="24">
        <f t="shared" si="25"/>
        <v>3.5173986815103484E-4</v>
      </c>
      <c r="V54" s="24">
        <f t="shared" si="26"/>
        <v>4.6284528792330876E-4</v>
      </c>
      <c r="W54" s="24">
        <f t="shared" si="27"/>
        <v>0</v>
      </c>
      <c r="X54" s="25">
        <f t="shared" si="28"/>
        <v>0</v>
      </c>
      <c r="Y54" s="8">
        <f t="shared" si="7"/>
        <v>0</v>
      </c>
      <c r="Z54" s="27">
        <f t="shared" si="8"/>
        <v>0</v>
      </c>
      <c r="AA54" s="27"/>
      <c r="AB54" s="27"/>
      <c r="AC54" s="56">
        <f>IFERROR(K54/SUMIFS($M$3:$M$1234,$E$3:$E$1234,E54,$B$3:$B$1234,B54),"")</f>
        <v>1.5699003521804952E-3</v>
      </c>
      <c r="AD54" s="20">
        <f t="shared" si="18"/>
        <v>0</v>
      </c>
      <c r="AE54" s="20">
        <f t="shared" si="9"/>
        <v>10126147.5</v>
      </c>
      <c r="AF54" s="20">
        <f t="shared" si="10"/>
        <v>1661859628.2</v>
      </c>
      <c r="AG54">
        <f t="shared" si="11"/>
        <v>46198657.800000004</v>
      </c>
      <c r="AH54">
        <f t="shared" si="12"/>
        <v>60791604.840000004</v>
      </c>
      <c r="AI54">
        <f t="shared" si="13"/>
        <v>12677919983.640001</v>
      </c>
    </row>
    <row r="55" spans="2:35" x14ac:dyDescent="0.25">
      <c r="B55" s="4">
        <v>2024</v>
      </c>
      <c r="C55" s="4" t="s">
        <v>134</v>
      </c>
      <c r="D55" s="4" t="s">
        <v>159</v>
      </c>
      <c r="E55" s="4" t="str">
        <f>D55&amp;"-"&amp;C55</f>
        <v>Ngrid-MA</v>
      </c>
      <c r="F55" s="4" t="s">
        <v>135</v>
      </c>
      <c r="G55" s="4"/>
      <c r="H55" s="4" t="s">
        <v>139</v>
      </c>
      <c r="I55" s="4" t="s">
        <v>167</v>
      </c>
      <c r="J55" s="4" t="s">
        <v>155</v>
      </c>
      <c r="K55" s="5"/>
      <c r="L55" s="5"/>
      <c r="M55" s="8">
        <f>913817+1393617+661393+860976</f>
        <v>3829803</v>
      </c>
      <c r="N55" s="8"/>
      <c r="O55" s="8">
        <f>SUMIFS(EIAwtransport!$J$2:$J$675,EIAwtransport!$E$2:$E$675,Program_data!$E55,EIAwtransport!$H$2:$H$675,Program_data!$F55,EIAwtransport!$I$2:$I$675,Program_data!O$2)</f>
        <v>803991920</v>
      </c>
      <c r="P55" s="5">
        <f>SUMIFS(EIAwtransport!$J$2:$J$675,EIAwtransport!$E$2:$E$675,Program_data!$E55,EIAwtransport!$H$2:$H$675,Program_data!$F55,EIAwtransport!$I$2:$I$675,Program_data!P$2)</f>
        <v>48678482</v>
      </c>
      <c r="Q55" s="5">
        <f>SUMIFS(EIAwtransport!$J$2:$J$675,EIAwtransport!$E$2:$E$675,Program_data!$E55,EIAwtransport!$H$2:$H$675,Program_data!$F55,EIAwtransport!$I$2:$I$675,Program_data!Q$2)</f>
        <v>670202</v>
      </c>
      <c r="R55" s="8">
        <f>SUMIFS(EIAwtransport!$J$2:$J$675,EIAwtransport!$E$2:$E$675,Program_data!$E55,EIAwtransport!$I$2:$I$675,Program_data!R$2)</f>
        <v>1231007132</v>
      </c>
      <c r="S55" s="5">
        <f>SUMIFS(EIAwtransport!$J$2:$J$675,EIAwtransport!$E$2:$E$675,Program_data!$E55,EIAwtransport!$I$2:$I$675,Program_data!S$2)</f>
        <v>120192643</v>
      </c>
      <c r="T55" s="5">
        <f>SUMIFS(EIAwtransport!$J$2:$J$675,EIAwtransport!$E$2:$E$675,Program_data!$E55,EIAwtransport!$I$2:$I$675,Program_data!T$2)</f>
        <v>731793</v>
      </c>
      <c r="U55" s="24">
        <f t="shared" si="25"/>
        <v>0</v>
      </c>
      <c r="V55" s="24">
        <f t="shared" si="26"/>
        <v>0</v>
      </c>
      <c r="W55" s="24">
        <f t="shared" si="27"/>
        <v>3.1111135755791867E-3</v>
      </c>
      <c r="X55" s="25">
        <f t="shared" si="28"/>
        <v>3.0756633269733843E-3</v>
      </c>
      <c r="Y55" s="8">
        <f t="shared" si="7"/>
        <v>0.40577078111502857</v>
      </c>
      <c r="Z55" s="27">
        <f t="shared" si="8"/>
        <v>0.23142910958719928</v>
      </c>
      <c r="AA55" s="27"/>
      <c r="AB55" s="27"/>
      <c r="AC55" s="56"/>
      <c r="AD55" s="20">
        <f t="shared" si="18"/>
        <v>5170234.0500000007</v>
      </c>
      <c r="AE55" s="20">
        <f t="shared" si="9"/>
        <v>0</v>
      </c>
      <c r="AF55" s="20">
        <f t="shared" si="10"/>
        <v>1661859628.2</v>
      </c>
      <c r="AG55">
        <f t="shared" si="11"/>
        <v>0</v>
      </c>
      <c r="AH55">
        <f t="shared" si="12"/>
        <v>0</v>
      </c>
      <c r="AI55">
        <f t="shared" si="13"/>
        <v>12677919983.640001</v>
      </c>
    </row>
    <row r="56" spans="2:35" x14ac:dyDescent="0.25">
      <c r="B56" s="4">
        <v>2024</v>
      </c>
      <c r="C56" s="4" t="s">
        <v>134</v>
      </c>
      <c r="D56" s="4" t="s">
        <v>159</v>
      </c>
      <c r="E56" s="4" t="str">
        <f t="shared" si="0"/>
        <v>Ngrid-MA</v>
      </c>
      <c r="F56" s="4" t="s">
        <v>135</v>
      </c>
      <c r="G56" s="4"/>
      <c r="H56" s="4" t="s">
        <v>139</v>
      </c>
      <c r="I56" s="4" t="s">
        <v>156</v>
      </c>
      <c r="J56" s="4" t="s">
        <v>157</v>
      </c>
      <c r="K56" s="5">
        <v>4086995</v>
      </c>
      <c r="L56" s="5">
        <v>4086995</v>
      </c>
      <c r="M56" s="8">
        <v>2536128</v>
      </c>
      <c r="N56" s="8">
        <v>0</v>
      </c>
      <c r="O56" s="8">
        <f>SUMIFS(EIAwtransport!$J$2:$J$675,EIAwtransport!$E$2:$E$675,Program_data!$E56,EIAwtransport!$H$2:$H$675,Program_data!$F56,EIAwtransport!$I$2:$I$675,Program_data!O$2)</f>
        <v>803991920</v>
      </c>
      <c r="P56" s="5">
        <f>SUMIFS(EIAwtransport!$J$2:$J$675,EIAwtransport!$E$2:$E$675,Program_data!$E56,EIAwtransport!$H$2:$H$675,Program_data!$F56,EIAwtransport!$I$2:$I$675,Program_data!P$2)</f>
        <v>48678482</v>
      </c>
      <c r="Q56" s="5">
        <f>SUMIFS(EIAwtransport!$J$2:$J$675,EIAwtransport!$E$2:$E$675,Program_data!$E56,EIAwtransport!$H$2:$H$675,Program_data!$F56,EIAwtransport!$I$2:$I$675,Program_data!Q$2)</f>
        <v>670202</v>
      </c>
      <c r="R56" s="8">
        <f>SUMIFS(EIAwtransport!$J$2:$J$675,EIAwtransport!$E$2:$E$675,Program_data!$E56,EIAwtransport!$I$2:$I$675,Program_data!R$2)</f>
        <v>1231007132</v>
      </c>
      <c r="S56" s="5">
        <f>SUMIFS(EIAwtransport!$J$2:$J$675,EIAwtransport!$E$2:$E$675,Program_data!$E56,EIAwtransport!$I$2:$I$675,Program_data!S$2)</f>
        <v>120192643</v>
      </c>
      <c r="T56" s="5">
        <f>SUMIFS(EIAwtransport!$J$2:$J$675,EIAwtransport!$E$2:$E$675,Program_data!$E56,EIAwtransport!$I$2:$I$675,Program_data!T$2)</f>
        <v>731793</v>
      </c>
      <c r="U56" s="24">
        <f t="shared" si="25"/>
        <v>3.2822107661996162E-3</v>
      </c>
      <c r="V56" s="24">
        <f t="shared" si="26"/>
        <v>3.2822107661996162E-3</v>
      </c>
      <c r="W56" s="24">
        <f t="shared" si="27"/>
        <v>2.0602057730401517E-3</v>
      </c>
      <c r="X56" s="25">
        <f t="shared" si="28"/>
        <v>2.0367303180112281E-3</v>
      </c>
      <c r="Y56" s="8">
        <f t="shared" si="7"/>
        <v>0.26870484971882241</v>
      </c>
      <c r="Z56" s="27">
        <f t="shared" si="8"/>
        <v>0.15325431747773044</v>
      </c>
      <c r="AA56" s="27"/>
      <c r="AB56" s="27"/>
      <c r="AC56" s="56">
        <f>IFERROR(K56/SUMIFS($M$3:$M$1234,$E$3:$E$1234,E56,$B$3:$B$1234,B56),"")</f>
        <v>1.4649302806853939E-2</v>
      </c>
      <c r="AD56" s="20">
        <f t="shared" si="18"/>
        <v>3423772.8000000003</v>
      </c>
      <c r="AE56" s="20">
        <f t="shared" si="9"/>
        <v>0</v>
      </c>
      <c r="AF56" s="20">
        <f t="shared" si="10"/>
        <v>1661859628.2</v>
      </c>
      <c r="AG56">
        <f t="shared" si="11"/>
        <v>431096232.60000002</v>
      </c>
      <c r="AH56">
        <f t="shared" si="12"/>
        <v>431096232.60000002</v>
      </c>
      <c r="AI56">
        <f t="shared" si="13"/>
        <v>12677919983.640001</v>
      </c>
    </row>
    <row r="57" spans="2:35" x14ac:dyDescent="0.25">
      <c r="B57" s="4">
        <v>2024</v>
      </c>
      <c r="C57" s="4" t="s">
        <v>134</v>
      </c>
      <c r="D57" s="4" t="s">
        <v>159</v>
      </c>
      <c r="E57" s="4" t="str">
        <f>D57&amp;"-"&amp;C57</f>
        <v>Ngrid-MA</v>
      </c>
      <c r="F57" s="4" t="s">
        <v>143</v>
      </c>
      <c r="G57" s="4">
        <v>1</v>
      </c>
      <c r="H57" s="4" t="s">
        <v>144</v>
      </c>
      <c r="I57" s="4" t="s">
        <v>145</v>
      </c>
      <c r="J57" s="4" t="s">
        <v>27</v>
      </c>
      <c r="K57" s="5">
        <v>440181.52200000006</v>
      </c>
      <c r="L57" s="5">
        <v>440181.52200000006</v>
      </c>
      <c r="M57" s="8">
        <v>10254217</v>
      </c>
      <c r="N57" s="8">
        <v>10254217</v>
      </c>
      <c r="O57" s="8">
        <f>SUMIFS(EIAwtransport!$J$2:$J$675,EIAwtransport!$E$2:$E$675,Program_data!$E57,EIAwtransport!$H$2:$H$675,Program_data!$F57,EIAwtransport!$I$2:$I$675,Program_data!O$2)</f>
        <v>0</v>
      </c>
      <c r="P57" s="5">
        <f>SUMIFS(EIAwtransport!$J$2:$J$675,EIAwtransport!$E$2:$E$675,Program_data!$E57,EIAwtransport!$H$2:$H$675,Program_data!$F57,EIAwtransport!$I$2:$I$675,Program_data!P$2)</f>
        <v>0</v>
      </c>
      <c r="Q57" s="5">
        <f>SUMIFS(EIAwtransport!$J$2:$J$675,EIAwtransport!$E$2:$E$675,Program_data!$E57,EIAwtransport!$H$2:$H$675,Program_data!$F57,EIAwtransport!$I$2:$I$675,Program_data!Q$2)</f>
        <v>0</v>
      </c>
      <c r="R57" s="8">
        <f>SUMIFS(EIAwtransport!$J$2:$J$675,EIAwtransport!$E$2:$E$675,Program_data!$E57,EIAwtransport!$I$2:$I$675,Program_data!R$2)</f>
        <v>1231007132</v>
      </c>
      <c r="S57" s="5">
        <f>SUMIFS(EIAwtransport!$J$2:$J$675,EIAwtransport!$E$2:$E$675,Program_data!$E57,EIAwtransport!$I$2:$I$675,Program_data!S$2)</f>
        <v>120192643</v>
      </c>
      <c r="T57" s="5">
        <f>SUMIFS(EIAwtransport!$J$2:$J$675,EIAwtransport!$E$2:$E$675,Program_data!$E57,EIAwtransport!$I$2:$I$675,Program_data!T$2)</f>
        <v>731793</v>
      </c>
      <c r="U57" s="24">
        <f t="shared" si="25"/>
        <v>3.5350386545384403E-4</v>
      </c>
      <c r="V57" s="24">
        <f t="shared" si="26"/>
        <v>3.5350386545384403E-4</v>
      </c>
      <c r="W57" s="24">
        <f t="shared" si="27"/>
        <v>8.3299411786023677E-3</v>
      </c>
      <c r="X57" s="25">
        <f t="shared" si="28"/>
        <v>8.2350238834026281E-3</v>
      </c>
      <c r="Y57" s="8">
        <f t="shared" si="7"/>
        <v>6.287069719761055</v>
      </c>
      <c r="Z57" s="27">
        <f t="shared" si="8"/>
        <v>0.61964657446451465</v>
      </c>
      <c r="AA57" s="27"/>
      <c r="AB57" s="27"/>
      <c r="AC57" s="56"/>
      <c r="AD57" s="20">
        <f t="shared" si="18"/>
        <v>13843192.950000001</v>
      </c>
      <c r="AE57" s="20">
        <f t="shared" si="9"/>
        <v>13843192.950000001</v>
      </c>
      <c r="AF57" s="20">
        <f t="shared" si="10"/>
        <v>1661859628.2</v>
      </c>
      <c r="AG57">
        <f t="shared" si="11"/>
        <v>46430346.940560006</v>
      </c>
      <c r="AH57">
        <f t="shared" si="12"/>
        <v>46430346.940560006</v>
      </c>
      <c r="AI57">
        <f t="shared" si="13"/>
        <v>12677919983.640001</v>
      </c>
    </row>
    <row r="58" spans="2:35" x14ac:dyDescent="0.25">
      <c r="B58" s="4">
        <v>2024</v>
      </c>
      <c r="C58" s="4" t="s">
        <v>134</v>
      </c>
      <c r="D58" s="4" t="s">
        <v>159</v>
      </c>
      <c r="E58" s="4" t="str">
        <f t="shared" si="0"/>
        <v>Ngrid-MA</v>
      </c>
      <c r="F58" s="4" t="s">
        <v>143</v>
      </c>
      <c r="G58" s="4">
        <v>1</v>
      </c>
      <c r="H58" s="4" t="s">
        <v>144</v>
      </c>
      <c r="I58" s="4" t="s">
        <v>145</v>
      </c>
      <c r="J58" s="4" t="s">
        <v>21</v>
      </c>
      <c r="K58" s="5">
        <f>1631001-K59-K57</f>
        <v>1140316.318</v>
      </c>
      <c r="L58" s="5">
        <f>1631001-L59-L57</f>
        <v>1140316.318</v>
      </c>
      <c r="M58" s="8">
        <v>48726521</v>
      </c>
      <c r="N58" s="8">
        <f>37812404.4559778-N59</f>
        <v>36332468.455977798</v>
      </c>
      <c r="O58" s="8">
        <f>SUMIFS(EIAwtransport!$J$2:$J$675,EIAwtransport!$E$2:$E$675,Program_data!$E58,EIAwtransport!$H$2:$H$675,Program_data!$F58,EIAwtransport!$I$2:$I$675,Program_data!O$2)</f>
        <v>0</v>
      </c>
      <c r="P58" s="5">
        <f>SUMIFS(EIAwtransport!$J$2:$J$675,EIAwtransport!$E$2:$E$675,Program_data!$E58,EIAwtransport!$H$2:$H$675,Program_data!$F58,EIAwtransport!$I$2:$I$675,Program_data!P$2)</f>
        <v>0</v>
      </c>
      <c r="Q58" s="5">
        <f>SUMIFS(EIAwtransport!$J$2:$J$675,EIAwtransport!$E$2:$E$675,Program_data!$E58,EIAwtransport!$H$2:$H$675,Program_data!$F58,EIAwtransport!$I$2:$I$675,Program_data!Q$2)</f>
        <v>0</v>
      </c>
      <c r="R58" s="8">
        <f>SUMIFS(EIAwtransport!$J$2:$J$675,EIAwtransport!$E$2:$E$675,Program_data!$E58,EIAwtransport!$I$2:$I$675,Program_data!R$2)</f>
        <v>1231007132</v>
      </c>
      <c r="S58" s="5">
        <f>SUMIFS(EIAwtransport!$J$2:$J$675,EIAwtransport!$E$2:$E$675,Program_data!$E58,EIAwtransport!$I$2:$I$675,Program_data!S$2)</f>
        <v>120192643</v>
      </c>
      <c r="T58" s="5">
        <f>SUMIFS(EIAwtransport!$J$2:$J$675,EIAwtransport!$E$2:$E$675,Program_data!$E58,EIAwtransport!$I$2:$I$675,Program_data!T$2)</f>
        <v>731793</v>
      </c>
      <c r="U58" s="24">
        <f t="shared" si="25"/>
        <v>9.157727121791694E-4</v>
      </c>
      <c r="V58" s="24">
        <f t="shared" si="26"/>
        <v>9.157727121791694E-4</v>
      </c>
      <c r="W58" s="24">
        <f t="shared" si="27"/>
        <v>3.9582647194606177E-2</v>
      </c>
      <c r="X58" s="25">
        <f t="shared" si="28"/>
        <v>3.9131614260759229E-2</v>
      </c>
      <c r="Y58" s="8">
        <f t="shared" si="7"/>
        <v>29.875224478709701</v>
      </c>
      <c r="Z58" s="27">
        <f t="shared" si="8"/>
        <v>2.9444687803294234</v>
      </c>
      <c r="AA58" s="27"/>
      <c r="AB58" s="27"/>
      <c r="AC58" s="56">
        <f>IFERROR(K58/SUMIFS($M$3:$M$1234,$E$3:$E$1234,E58,$B$3:$B$1234,B58),"")</f>
        <v>4.0873157510539528E-3</v>
      </c>
      <c r="AD58" s="20">
        <f t="shared" si="18"/>
        <v>65780803.350000001</v>
      </c>
      <c r="AE58" s="20">
        <f t="shared" si="9"/>
        <v>49048832.415570028</v>
      </c>
      <c r="AF58" s="20">
        <f t="shared" si="10"/>
        <v>1661859628.2</v>
      </c>
      <c r="AG58">
        <f t="shared" si="11"/>
        <v>120280565.22264001</v>
      </c>
      <c r="AH58">
        <f t="shared" si="12"/>
        <v>120280565.22264001</v>
      </c>
      <c r="AI58">
        <f t="shared" si="13"/>
        <v>12677919983.640001</v>
      </c>
    </row>
    <row r="59" spans="2:35" x14ac:dyDescent="0.25">
      <c r="B59" s="4">
        <v>2024</v>
      </c>
      <c r="C59" s="4" t="s">
        <v>134</v>
      </c>
      <c r="D59" s="4" t="s">
        <v>159</v>
      </c>
      <c r="E59" s="4" t="str">
        <f t="shared" ref="E59" si="29">D59&amp;"-"&amp;C59</f>
        <v>Ngrid-MA</v>
      </c>
      <c r="F59" s="4" t="s">
        <v>143</v>
      </c>
      <c r="G59" s="4">
        <v>1</v>
      </c>
      <c r="H59" s="4" t="s">
        <v>163</v>
      </c>
      <c r="I59" s="4" t="s">
        <v>164</v>
      </c>
      <c r="J59" s="4" t="s">
        <v>48</v>
      </c>
      <c r="K59" s="5">
        <v>50503.16</v>
      </c>
      <c r="L59" s="5">
        <v>50503.16</v>
      </c>
      <c r="M59" s="8"/>
      <c r="N59" s="8">
        <v>1479936</v>
      </c>
      <c r="O59" s="8">
        <f>SUMIFS(EIAwtransport!$J$2:$J$675,EIAwtransport!$E$2:$E$675,Program_data!$E59,EIAwtransport!$H$2:$H$675,Program_data!$F59,EIAwtransport!$I$2:$I$675,Program_data!O$2)</f>
        <v>0</v>
      </c>
      <c r="P59" s="5">
        <f>SUMIFS(EIAwtransport!$J$2:$J$675,EIAwtransport!$E$2:$E$675,Program_data!$E59,EIAwtransport!$H$2:$H$675,Program_data!$F59,EIAwtransport!$I$2:$I$675,Program_data!P$2)</f>
        <v>0</v>
      </c>
      <c r="Q59" s="5">
        <f>SUMIFS(EIAwtransport!$J$2:$J$675,EIAwtransport!$E$2:$E$675,Program_data!$E59,EIAwtransport!$H$2:$H$675,Program_data!$F59,EIAwtransport!$I$2:$I$675,Program_data!Q$2)</f>
        <v>0</v>
      </c>
      <c r="R59" s="8">
        <f>SUMIFS(EIAwtransport!$J$2:$J$675,EIAwtransport!$E$2:$E$675,Program_data!$E59,EIAwtransport!$I$2:$I$675,Program_data!R$2)</f>
        <v>1231007132</v>
      </c>
      <c r="S59" s="5">
        <f>SUMIFS(EIAwtransport!$J$2:$J$675,EIAwtransport!$E$2:$E$675,Program_data!$E59,EIAwtransport!$I$2:$I$675,Program_data!S$2)</f>
        <v>120192643</v>
      </c>
      <c r="T59" s="5">
        <f>SUMIFS(EIAwtransport!$J$2:$J$675,EIAwtransport!$E$2:$E$675,Program_data!$E59,EIAwtransport!$I$2:$I$675,Program_data!T$2)</f>
        <v>731793</v>
      </c>
      <c r="U59" s="24">
        <f t="shared" si="25"/>
        <v>4.055840916837476E-5</v>
      </c>
      <c r="V59" s="24">
        <f t="shared" si="26"/>
        <v>4.055840916837476E-5</v>
      </c>
      <c r="W59" s="24">
        <f t="shared" si="27"/>
        <v>0</v>
      </c>
      <c r="X59" s="25">
        <f t="shared" si="28"/>
        <v>0</v>
      </c>
      <c r="Y59" s="8">
        <f t="shared" si="7"/>
        <v>0</v>
      </c>
      <c r="Z59" s="27">
        <f t="shared" si="8"/>
        <v>0</v>
      </c>
      <c r="AA59" s="27"/>
      <c r="AB59" s="27"/>
      <c r="AC59" s="56">
        <f>IFERROR(K59/SUMIFS($M$3:$M$1234,$E$3:$E$1234,E59,$B$3:$B$1234,B59),"")</f>
        <v>1.8102201826598606E-4</v>
      </c>
      <c r="AD59" s="20">
        <f t="shared" si="18"/>
        <v>0</v>
      </c>
      <c r="AE59" s="20">
        <f t="shared" si="9"/>
        <v>1997913.6</v>
      </c>
      <c r="AF59" s="20">
        <f t="shared" si="10"/>
        <v>1661859628.2</v>
      </c>
      <c r="AG59">
        <f t="shared" si="11"/>
        <v>5327073.3168000001</v>
      </c>
      <c r="AH59">
        <f t="shared" si="12"/>
        <v>5327073.3168000001</v>
      </c>
      <c r="AI59">
        <f t="shared" si="13"/>
        <v>12677919983.640001</v>
      </c>
    </row>
    <row r="60" spans="2:35" x14ac:dyDescent="0.25">
      <c r="B60" s="4">
        <v>2024</v>
      </c>
      <c r="C60" s="4" t="s">
        <v>134</v>
      </c>
      <c r="D60" s="4" t="s">
        <v>159</v>
      </c>
      <c r="E60" s="4" t="str">
        <f>D60&amp;"-"&amp;C60</f>
        <v>Ngrid-MA</v>
      </c>
      <c r="F60" s="4" t="s">
        <v>143</v>
      </c>
      <c r="G60" s="4">
        <v>1</v>
      </c>
      <c r="H60" s="4" t="s">
        <v>168</v>
      </c>
      <c r="I60" s="4" t="s">
        <v>167</v>
      </c>
      <c r="J60" s="4" t="s">
        <v>155</v>
      </c>
      <c r="K60" s="5"/>
      <c r="L60" s="5"/>
      <c r="M60" s="8">
        <f>595325+2061152+8257640+1697143</f>
        <v>12611260</v>
      </c>
      <c r="N60" s="8"/>
      <c r="O60" s="8">
        <f>SUMIFS(EIAwtransport!$J$2:$J$675,EIAwtransport!$E$2:$E$675,Program_data!$E60,EIAwtransport!$H$2:$H$675,Program_data!$F60,EIAwtransport!$I$2:$I$675,Program_data!O$2)</f>
        <v>0</v>
      </c>
      <c r="P60" s="5">
        <f>SUMIFS(EIAwtransport!$J$2:$J$675,EIAwtransport!$E$2:$E$675,Program_data!$E60,EIAwtransport!$H$2:$H$675,Program_data!$F60,EIAwtransport!$I$2:$I$675,Program_data!P$2)</f>
        <v>0</v>
      </c>
      <c r="Q60" s="5">
        <f>SUMIFS(EIAwtransport!$J$2:$J$675,EIAwtransport!$E$2:$E$675,Program_data!$E60,EIAwtransport!$H$2:$H$675,Program_data!$F60,EIAwtransport!$I$2:$I$675,Program_data!Q$2)</f>
        <v>0</v>
      </c>
      <c r="R60" s="8">
        <f>SUMIFS(EIAwtransport!$J$2:$J$675,EIAwtransport!$E$2:$E$675,Program_data!$E60,EIAwtransport!$I$2:$I$675,Program_data!R$2)</f>
        <v>1231007132</v>
      </c>
      <c r="S60" s="5">
        <f>SUMIFS(EIAwtransport!$J$2:$J$675,EIAwtransport!$E$2:$E$675,Program_data!$E60,EIAwtransport!$I$2:$I$675,Program_data!S$2)</f>
        <v>120192643</v>
      </c>
      <c r="T60" s="5">
        <f>SUMIFS(EIAwtransport!$J$2:$J$675,EIAwtransport!$E$2:$E$675,Program_data!$E60,EIAwtransport!$I$2:$I$675,Program_data!T$2)</f>
        <v>731793</v>
      </c>
      <c r="U60" s="24">
        <f t="shared" si="25"/>
        <v>0</v>
      </c>
      <c r="V60" s="24">
        <f t="shared" si="26"/>
        <v>0</v>
      </c>
      <c r="W60" s="24">
        <f t="shared" si="27"/>
        <v>1.024466850936165E-2</v>
      </c>
      <c r="X60" s="25">
        <f t="shared" si="28"/>
        <v>1.0127933444338095E-2</v>
      </c>
      <c r="Y60" s="8">
        <f t="shared" si="7"/>
        <v>7.7322208876634653</v>
      </c>
      <c r="Z60" s="27">
        <f t="shared" si="8"/>
        <v>0.76207906061295128</v>
      </c>
      <c r="AA60" s="27"/>
      <c r="AB60" s="27"/>
      <c r="AC60" s="56"/>
      <c r="AD60" s="20">
        <f t="shared" si="18"/>
        <v>17025201</v>
      </c>
      <c r="AE60" s="20">
        <f t="shared" si="9"/>
        <v>0</v>
      </c>
      <c r="AF60" s="20">
        <f t="shared" si="10"/>
        <v>1661859628.2</v>
      </c>
      <c r="AG60">
        <f t="shared" si="11"/>
        <v>0</v>
      </c>
      <c r="AH60">
        <f t="shared" si="12"/>
        <v>0</v>
      </c>
      <c r="AI60">
        <f t="shared" si="13"/>
        <v>12677919983.640001</v>
      </c>
    </row>
    <row r="61" spans="2:35" x14ac:dyDescent="0.25">
      <c r="B61" s="4">
        <v>2024</v>
      </c>
      <c r="C61" s="4" t="s">
        <v>134</v>
      </c>
      <c r="D61" s="4" t="s">
        <v>159</v>
      </c>
      <c r="E61" s="4" t="str">
        <f t="shared" si="0"/>
        <v>Ngrid-MA</v>
      </c>
      <c r="F61" s="4" t="s">
        <v>146</v>
      </c>
      <c r="G61" s="4"/>
      <c r="H61" s="4" t="s">
        <v>147</v>
      </c>
      <c r="I61" s="4" t="s">
        <v>148</v>
      </c>
      <c r="J61" s="4" t="s">
        <v>32</v>
      </c>
      <c r="K61" s="5">
        <v>704823</v>
      </c>
      <c r="L61" s="5">
        <v>1102784</v>
      </c>
      <c r="M61" s="8">
        <v>4741803</v>
      </c>
      <c r="N61" s="8">
        <v>2346044</v>
      </c>
      <c r="O61" s="8">
        <f>SUMIFS(EIAwtransport!$J$2:$J$675,EIAwtransport!$E$2:$E$675,Program_data!$E61,EIAwtransport!$H$2:$H$675,Program_data!$F61,EIAwtransport!$I$2:$I$675,Program_data!O$2)</f>
        <v>427015212</v>
      </c>
      <c r="P61" s="5">
        <f>SUMIFS(EIAwtransport!$J$2:$J$675,EIAwtransport!$E$2:$E$675,Program_data!$E61,EIAwtransport!$H$2:$H$675,Program_data!$F61,EIAwtransport!$I$2:$I$675,Program_data!P$2)</f>
        <v>71514161</v>
      </c>
      <c r="Q61" s="5">
        <f>SUMIFS(EIAwtransport!$J$2:$J$675,EIAwtransport!$E$2:$E$675,Program_data!$E61,EIAwtransport!$H$2:$H$675,Program_data!$F61,EIAwtransport!$I$2:$I$675,Program_data!Q$2)</f>
        <v>61591</v>
      </c>
      <c r="R61" s="8">
        <f>SUMIFS(EIAwtransport!$J$2:$J$675,EIAwtransport!$E$2:$E$675,Program_data!$E61,EIAwtransport!$I$2:$I$675,Program_data!R$2)</f>
        <v>1231007132</v>
      </c>
      <c r="S61" s="5">
        <f>SUMIFS(EIAwtransport!$J$2:$J$675,EIAwtransport!$E$2:$E$675,Program_data!$E61,EIAwtransport!$I$2:$I$675,Program_data!S$2)</f>
        <v>120192643</v>
      </c>
      <c r="T61" s="5">
        <f>SUMIFS(EIAwtransport!$J$2:$J$675,EIAwtransport!$E$2:$E$675,Program_data!$E61,EIAwtransport!$I$2:$I$675,Program_data!T$2)</f>
        <v>731793</v>
      </c>
      <c r="U61" s="24">
        <f t="shared" si="25"/>
        <v>5.6603388036078142E-4</v>
      </c>
      <c r="V61" s="24">
        <f t="shared" si="26"/>
        <v>8.8563101192751085E-4</v>
      </c>
      <c r="W61" s="24">
        <f t="shared" si="27"/>
        <v>3.8519703718499659E-3</v>
      </c>
      <c r="X61" s="25">
        <f t="shared" si="28"/>
        <v>3.8080782721284555E-3</v>
      </c>
      <c r="Y61" s="8">
        <f t="shared" si="7"/>
        <v>0.86542659620076179</v>
      </c>
      <c r="Z61" s="27">
        <f t="shared" si="8"/>
        <v>0.28653986801094217</v>
      </c>
      <c r="AA61" s="27"/>
      <c r="AB61" s="27"/>
      <c r="AC61" s="56">
        <f>IFERROR(K61/SUMIFS($M$3:$M$1234,$E$3:$E$1234,E61,$B$3:$B$1234,B61),"")</f>
        <v>2.5263465094122243E-3</v>
      </c>
      <c r="AD61" s="20">
        <f t="shared" si="18"/>
        <v>6401434.0500000007</v>
      </c>
      <c r="AE61" s="20">
        <f t="shared" si="9"/>
        <v>3167159.4000000004</v>
      </c>
      <c r="AF61" s="20">
        <f t="shared" si="10"/>
        <v>1661859628.2</v>
      </c>
      <c r="AG61">
        <f t="shared" si="11"/>
        <v>74344730.040000007</v>
      </c>
      <c r="AH61">
        <f t="shared" si="12"/>
        <v>116321656.32000001</v>
      </c>
      <c r="AI61">
        <f t="shared" si="13"/>
        <v>12677919983.640001</v>
      </c>
    </row>
    <row r="62" spans="2:35" x14ac:dyDescent="0.25">
      <c r="B62" s="4">
        <v>2024</v>
      </c>
      <c r="C62" s="4" t="s">
        <v>134</v>
      </c>
      <c r="D62" s="4" t="s">
        <v>159</v>
      </c>
      <c r="E62" s="4" t="str">
        <f>D62&amp;"-"&amp;C62</f>
        <v>Ngrid-MA</v>
      </c>
      <c r="F62" s="4" t="s">
        <v>146</v>
      </c>
      <c r="G62" s="4"/>
      <c r="H62" s="4" t="s">
        <v>147</v>
      </c>
      <c r="I62" s="4" t="s">
        <v>167</v>
      </c>
      <c r="J62" s="4" t="s">
        <v>155</v>
      </c>
      <c r="K62" s="5"/>
      <c r="L62" s="5"/>
      <c r="M62" s="8">
        <f>124265+526261+1745233+279401</f>
        <v>2675160</v>
      </c>
      <c r="N62" s="8"/>
      <c r="O62" s="8">
        <f>SUMIFS(EIAwtransport!$J$2:$J$675,EIAwtransport!$E$2:$E$675,Program_data!$E62,EIAwtransport!$H$2:$H$675,Program_data!$F62,EIAwtransport!$I$2:$I$675,Program_data!O$2)</f>
        <v>427015212</v>
      </c>
      <c r="P62" s="5">
        <f>SUMIFS(EIAwtransport!$J$2:$J$675,EIAwtransport!$E$2:$E$675,Program_data!$E62,EIAwtransport!$H$2:$H$675,Program_data!$F62,EIAwtransport!$I$2:$I$675,Program_data!P$2)</f>
        <v>71514161</v>
      </c>
      <c r="Q62" s="5">
        <f>SUMIFS(EIAwtransport!$J$2:$J$675,EIAwtransport!$E$2:$E$675,Program_data!$E62,EIAwtransport!$H$2:$H$675,Program_data!$F62,EIAwtransport!$I$2:$I$675,Program_data!Q$2)</f>
        <v>61591</v>
      </c>
      <c r="R62" s="8">
        <f>SUMIFS(EIAwtransport!$J$2:$J$675,EIAwtransport!$E$2:$E$675,Program_data!$E62,EIAwtransport!$I$2:$I$675,Program_data!R$2)</f>
        <v>1231007132</v>
      </c>
      <c r="S62" s="5">
        <f>SUMIFS(EIAwtransport!$J$2:$J$675,EIAwtransport!$E$2:$E$675,Program_data!$E62,EIAwtransport!$I$2:$I$675,Program_data!S$2)</f>
        <v>120192643</v>
      </c>
      <c r="T62" s="5">
        <f>SUMIFS(EIAwtransport!$J$2:$J$675,EIAwtransport!$E$2:$E$675,Program_data!$E62,EIAwtransport!$I$2:$I$675,Program_data!T$2)</f>
        <v>731793</v>
      </c>
      <c r="U62" s="24">
        <f t="shared" si="25"/>
        <v>0</v>
      </c>
      <c r="V62" s="24">
        <f t="shared" si="26"/>
        <v>0</v>
      </c>
      <c r="W62" s="24">
        <f t="shared" si="27"/>
        <v>2.1731474420084839E-3</v>
      </c>
      <c r="X62" s="25">
        <f t="shared" si="28"/>
        <v>2.1483850489923684E-3</v>
      </c>
      <c r="Y62" s="8">
        <f t="shared" si="7"/>
        <v>0.4882435253198899</v>
      </c>
      <c r="Z62" s="27">
        <f t="shared" si="8"/>
        <v>0.16165580757111842</v>
      </c>
      <c r="AA62" s="27"/>
      <c r="AB62" s="27"/>
      <c r="AC62" s="56"/>
      <c r="AD62" s="20">
        <f t="shared" si="18"/>
        <v>3611466.0000000005</v>
      </c>
      <c r="AE62" s="20">
        <f t="shared" si="9"/>
        <v>0</v>
      </c>
      <c r="AF62" s="20">
        <f t="shared" si="10"/>
        <v>1661859628.2</v>
      </c>
      <c r="AG62">
        <f t="shared" si="11"/>
        <v>0</v>
      </c>
      <c r="AH62">
        <f t="shared" si="12"/>
        <v>0</v>
      </c>
      <c r="AI62">
        <f t="shared" si="13"/>
        <v>12677919983.640001</v>
      </c>
    </row>
    <row r="63" spans="2:35" x14ac:dyDescent="0.25">
      <c r="B63" s="4">
        <v>2024</v>
      </c>
      <c r="C63" s="4" t="s">
        <v>134</v>
      </c>
      <c r="D63" s="4" t="s">
        <v>159</v>
      </c>
      <c r="E63" s="4" t="str">
        <f t="shared" si="0"/>
        <v>Ngrid-MA</v>
      </c>
      <c r="F63" s="4" t="s">
        <v>146</v>
      </c>
      <c r="G63" s="4"/>
      <c r="H63" s="4" t="s">
        <v>150</v>
      </c>
      <c r="I63" s="4" t="s">
        <v>151</v>
      </c>
      <c r="J63" s="4" t="s">
        <v>21</v>
      </c>
      <c r="K63" s="5">
        <v>4073941</v>
      </c>
      <c r="L63" s="5">
        <v>4414891</v>
      </c>
      <c r="M63" s="8">
        <v>44445447</v>
      </c>
      <c r="N63" s="8">
        <v>37543436.017730519</v>
      </c>
      <c r="O63" s="8">
        <f>SUMIFS(EIAwtransport!$J$2:$J$675,EIAwtransport!$E$2:$E$675,Program_data!$E63,EIAwtransport!$H$2:$H$675,Program_data!$F63,EIAwtransport!$I$2:$I$675,Program_data!O$2)</f>
        <v>427015212</v>
      </c>
      <c r="P63" s="5">
        <f>SUMIFS(EIAwtransport!$J$2:$J$675,EIAwtransport!$E$2:$E$675,Program_data!$E63,EIAwtransport!$H$2:$H$675,Program_data!$F63,EIAwtransport!$I$2:$I$675,Program_data!P$2)</f>
        <v>71514161</v>
      </c>
      <c r="Q63" s="5">
        <f>SUMIFS(EIAwtransport!$J$2:$J$675,EIAwtransport!$E$2:$E$675,Program_data!$E63,EIAwtransport!$H$2:$H$675,Program_data!$F63,EIAwtransport!$I$2:$I$675,Program_data!Q$2)</f>
        <v>61591</v>
      </c>
      <c r="R63" s="8">
        <f>SUMIFS(EIAwtransport!$J$2:$J$675,EIAwtransport!$E$2:$E$675,Program_data!$E63,EIAwtransport!$I$2:$I$675,Program_data!R$2)</f>
        <v>1231007132</v>
      </c>
      <c r="S63" s="5">
        <f>SUMIFS(EIAwtransport!$J$2:$J$675,EIAwtransport!$E$2:$E$675,Program_data!$E63,EIAwtransport!$I$2:$I$675,Program_data!S$2)</f>
        <v>120192643</v>
      </c>
      <c r="T63" s="5">
        <f>SUMIFS(EIAwtransport!$J$2:$J$675,EIAwtransport!$E$2:$E$675,Program_data!$E63,EIAwtransport!$I$2:$I$675,Program_data!T$2)</f>
        <v>731793</v>
      </c>
      <c r="U63" s="24">
        <f t="shared" si="25"/>
        <v>3.2717272742105214E-3</v>
      </c>
      <c r="V63" s="24">
        <f t="shared" si="26"/>
        <v>3.5455396377528691E-3</v>
      </c>
      <c r="W63" s="24">
        <f t="shared" si="27"/>
        <v>3.6104946790836305E-2</v>
      </c>
      <c r="X63" s="25">
        <f t="shared" si="28"/>
        <v>3.5693541257563174E-2</v>
      </c>
      <c r="Y63" s="8">
        <f t="shared" si="7"/>
        <v>8.1117397567615868</v>
      </c>
      <c r="Z63" s="27">
        <f t="shared" si="8"/>
        <v>2.6857700577327495</v>
      </c>
      <c r="AA63" s="27"/>
      <c r="AB63" s="27"/>
      <c r="AC63" s="56">
        <f>IFERROR(K63/SUMIFS($M$3:$M$1234,$E$3:$E$1234,E63,$B$3:$B$1234,B63),"")</f>
        <v>1.46025124391533E-2</v>
      </c>
      <c r="AD63" s="20">
        <f t="shared" si="18"/>
        <v>60001353.450000003</v>
      </c>
      <c r="AE63" s="20">
        <f t="shared" si="9"/>
        <v>50683638.623936206</v>
      </c>
      <c r="AF63" s="20">
        <f t="shared" si="10"/>
        <v>1661859628.2</v>
      </c>
      <c r="AG63">
        <f t="shared" si="11"/>
        <v>429719296.68000001</v>
      </c>
      <c r="AH63">
        <f t="shared" si="12"/>
        <v>465682702.68000001</v>
      </c>
      <c r="AI63">
        <f t="shared" si="13"/>
        <v>12677919983.640001</v>
      </c>
    </row>
    <row r="64" spans="2:35" x14ac:dyDescent="0.25">
      <c r="B64" s="4">
        <v>2024</v>
      </c>
      <c r="C64" s="4" t="s">
        <v>134</v>
      </c>
      <c r="D64" s="4" t="s">
        <v>159</v>
      </c>
      <c r="E64" s="4" t="str">
        <f>D64&amp;"-"&amp;C64</f>
        <v>Ngrid-MA</v>
      </c>
      <c r="F64" s="4" t="s">
        <v>146</v>
      </c>
      <c r="G64" s="4"/>
      <c r="H64" s="4" t="s">
        <v>150</v>
      </c>
      <c r="I64" s="4" t="s">
        <v>167</v>
      </c>
      <c r="J64" s="4" t="s">
        <v>155</v>
      </c>
      <c r="K64" s="5"/>
      <c r="L64" s="5"/>
      <c r="M64" s="8">
        <f>3652773+1516492+1732+1406729</f>
        <v>6577726</v>
      </c>
      <c r="N64" s="8"/>
      <c r="O64" s="8">
        <f>SUMIFS(EIAwtransport!$J$2:$J$675,EIAwtransport!$E$2:$E$675,Program_data!$E64,EIAwtransport!$H$2:$H$675,Program_data!$F64,EIAwtransport!$I$2:$I$675,Program_data!O$2)</f>
        <v>427015212</v>
      </c>
      <c r="P64" s="5">
        <f>SUMIFS(EIAwtransport!$J$2:$J$675,EIAwtransport!$E$2:$E$675,Program_data!$E64,EIAwtransport!$H$2:$H$675,Program_data!$F64,EIAwtransport!$I$2:$I$675,Program_data!P$2)</f>
        <v>71514161</v>
      </c>
      <c r="Q64" s="5">
        <f>SUMIFS(EIAwtransport!$J$2:$J$675,EIAwtransport!$E$2:$E$675,Program_data!$E64,EIAwtransport!$H$2:$H$675,Program_data!$F64,EIAwtransport!$I$2:$I$675,Program_data!Q$2)</f>
        <v>61591</v>
      </c>
      <c r="R64" s="8">
        <f>SUMIFS(EIAwtransport!$J$2:$J$675,EIAwtransport!$E$2:$E$675,Program_data!$E64,EIAwtransport!$I$2:$I$675,Program_data!R$2)</f>
        <v>1231007132</v>
      </c>
      <c r="S64" s="5">
        <f>SUMIFS(EIAwtransport!$J$2:$J$675,EIAwtransport!$E$2:$E$675,Program_data!$E64,EIAwtransport!$I$2:$I$675,Program_data!S$2)</f>
        <v>120192643</v>
      </c>
      <c r="T64" s="5">
        <f>SUMIFS(EIAwtransport!$J$2:$J$675,EIAwtransport!$E$2:$E$675,Program_data!$E64,EIAwtransport!$I$2:$I$675,Program_data!T$2)</f>
        <v>731793</v>
      </c>
      <c r="U64" s="24">
        <f t="shared" si="25"/>
        <v>0</v>
      </c>
      <c r="V64" s="24">
        <f t="shared" si="26"/>
        <v>0</v>
      </c>
      <c r="W64" s="24">
        <f t="shared" si="27"/>
        <v>5.3433695297225945E-3</v>
      </c>
      <c r="X64" s="25">
        <f t="shared" si="28"/>
        <v>5.2824833635253124E-3</v>
      </c>
      <c r="Y64" s="8">
        <f t="shared" si="7"/>
        <v>1.2005009535236391</v>
      </c>
      <c r="Z64" s="27">
        <f t="shared" si="8"/>
        <v>0.39748187342496988</v>
      </c>
      <c r="AA64" s="27"/>
      <c r="AB64" s="27"/>
      <c r="AC64" s="56"/>
      <c r="AD64" s="20">
        <f t="shared" si="18"/>
        <v>8879930.1000000015</v>
      </c>
      <c r="AE64" s="20">
        <f t="shared" si="9"/>
        <v>0</v>
      </c>
      <c r="AF64" s="20">
        <f t="shared" si="10"/>
        <v>1661859628.2</v>
      </c>
      <c r="AG64">
        <f t="shared" si="11"/>
        <v>0</v>
      </c>
      <c r="AH64">
        <f t="shared" si="12"/>
        <v>0</v>
      </c>
      <c r="AI64">
        <f t="shared" si="13"/>
        <v>12677919983.640001</v>
      </c>
    </row>
    <row r="65" spans="2:35" x14ac:dyDescent="0.25">
      <c r="B65" s="4">
        <v>2024</v>
      </c>
      <c r="C65" s="4" t="s">
        <v>134</v>
      </c>
      <c r="D65" s="4" t="s">
        <v>159</v>
      </c>
      <c r="E65" s="4" t="str">
        <f t="shared" si="0"/>
        <v>Ngrid-MA</v>
      </c>
      <c r="F65" s="4" t="s">
        <v>146</v>
      </c>
      <c r="G65" s="4"/>
      <c r="H65" s="4" t="s">
        <v>150</v>
      </c>
      <c r="I65" s="4" t="s">
        <v>153</v>
      </c>
      <c r="J65" s="4" t="s">
        <v>32</v>
      </c>
      <c r="K65" s="5">
        <f>700387-K66</f>
        <v>699230.71999999997</v>
      </c>
      <c r="L65" s="5">
        <f>1128447-L66</f>
        <v>1127077</v>
      </c>
      <c r="M65" s="8">
        <v>7725233</v>
      </c>
      <c r="N65" s="8">
        <f>5202293.11311111-N66</f>
        <v>5195393.1131111104</v>
      </c>
      <c r="O65" s="8">
        <f>SUMIFS(EIAwtransport!$J$2:$J$675,EIAwtransport!$E$2:$E$675,Program_data!$E65,EIAwtransport!$H$2:$H$675,Program_data!$F65,EIAwtransport!$I$2:$I$675,Program_data!O$2)</f>
        <v>427015212</v>
      </c>
      <c r="P65" s="5">
        <f>SUMIFS(EIAwtransport!$J$2:$J$675,EIAwtransport!$E$2:$E$675,Program_data!$E65,EIAwtransport!$H$2:$H$675,Program_data!$F65,EIAwtransport!$I$2:$I$675,Program_data!P$2)</f>
        <v>71514161</v>
      </c>
      <c r="Q65" s="5">
        <f>SUMIFS(EIAwtransport!$J$2:$J$675,EIAwtransport!$E$2:$E$675,Program_data!$E65,EIAwtransport!$H$2:$H$675,Program_data!$F65,EIAwtransport!$I$2:$I$675,Program_data!Q$2)</f>
        <v>61591</v>
      </c>
      <c r="R65" s="8">
        <f>SUMIFS(EIAwtransport!$J$2:$J$675,EIAwtransport!$E$2:$E$675,Program_data!$E65,EIAwtransport!$I$2:$I$675,Program_data!R$2)</f>
        <v>1231007132</v>
      </c>
      <c r="S65" s="5">
        <f>SUMIFS(EIAwtransport!$J$2:$J$675,EIAwtransport!$E$2:$E$675,Program_data!$E65,EIAwtransport!$I$2:$I$675,Program_data!S$2)</f>
        <v>120192643</v>
      </c>
      <c r="T65" s="5">
        <f>SUMIFS(EIAwtransport!$J$2:$J$675,EIAwtransport!$E$2:$E$675,Program_data!$E65,EIAwtransport!$I$2:$I$675,Program_data!T$2)</f>
        <v>731793</v>
      </c>
      <c r="U65" s="24">
        <f t="shared" si="25"/>
        <v>5.6154279543809294E-4</v>
      </c>
      <c r="V65" s="24">
        <f t="shared" si="26"/>
        <v>9.0514039379445399E-4</v>
      </c>
      <c r="W65" s="24">
        <f t="shared" si="27"/>
        <v>6.2755387837996699E-3</v>
      </c>
      <c r="X65" s="25">
        <f t="shared" si="28"/>
        <v>6.2040308157951156E-3</v>
      </c>
      <c r="Y65" s="8">
        <f t="shared" si="7"/>
        <v>1.4099324877157062</v>
      </c>
      <c r="Z65" s="27">
        <f t="shared" si="8"/>
        <v>0.46682395792777021</v>
      </c>
      <c r="AA65" s="27"/>
      <c r="AB65" s="27"/>
      <c r="AC65" s="56">
        <f>IFERROR(K65/SUMIFS($M$3:$M$1234,$E$3:$E$1234,E65,$B$3:$B$1234,B65),"")</f>
        <v>2.5063017080115099E-3</v>
      </c>
      <c r="AD65" s="20">
        <f t="shared" si="18"/>
        <v>10429064.550000001</v>
      </c>
      <c r="AE65" s="20">
        <f t="shared" si="9"/>
        <v>7013780.7026999993</v>
      </c>
      <c r="AF65" s="20">
        <f t="shared" si="10"/>
        <v>1661859628.2</v>
      </c>
      <c r="AG65">
        <f t="shared" si="11"/>
        <v>73754856.345599994</v>
      </c>
      <c r="AH65">
        <f t="shared" si="12"/>
        <v>118884081.96000001</v>
      </c>
      <c r="AI65">
        <f t="shared" si="13"/>
        <v>12677919983.640001</v>
      </c>
    </row>
    <row r="66" spans="2:35" x14ac:dyDescent="0.25">
      <c r="B66" s="4">
        <v>2024</v>
      </c>
      <c r="C66" s="4" t="s">
        <v>134</v>
      </c>
      <c r="D66" s="4" t="s">
        <v>159</v>
      </c>
      <c r="E66" s="4" t="str">
        <f t="shared" si="0"/>
        <v>Ngrid-MA</v>
      </c>
      <c r="F66" s="4" t="s">
        <v>146</v>
      </c>
      <c r="G66" s="4"/>
      <c r="H66" s="4" t="s">
        <v>165</v>
      </c>
      <c r="I66" s="4" t="s">
        <v>166</v>
      </c>
      <c r="J66" s="4" t="s">
        <v>48</v>
      </c>
      <c r="K66" s="5">
        <v>1156.28</v>
      </c>
      <c r="L66" s="5">
        <v>1370</v>
      </c>
      <c r="M66" s="8"/>
      <c r="N66" s="8">
        <v>6900</v>
      </c>
      <c r="O66" s="8">
        <f>SUMIFS(EIAwtransport!$J$2:$J$675,EIAwtransport!$E$2:$E$675,Program_data!$E66,EIAwtransport!$H$2:$H$675,Program_data!$F66,EIAwtransport!$I$2:$I$675,Program_data!O$2)</f>
        <v>427015212</v>
      </c>
      <c r="P66" s="5">
        <f>SUMIFS(EIAwtransport!$J$2:$J$675,EIAwtransport!$E$2:$E$675,Program_data!$E66,EIAwtransport!$H$2:$H$675,Program_data!$F66,EIAwtransport!$I$2:$I$675,Program_data!P$2)</f>
        <v>71514161</v>
      </c>
      <c r="Q66" s="5">
        <f>SUMIFS(EIAwtransport!$J$2:$J$675,EIAwtransport!$E$2:$E$675,Program_data!$E66,EIAwtransport!$H$2:$H$675,Program_data!$F66,EIAwtransport!$I$2:$I$675,Program_data!Q$2)</f>
        <v>61591</v>
      </c>
      <c r="R66" s="8">
        <f>SUMIFS(EIAwtransport!$J$2:$J$675,EIAwtransport!$E$2:$E$675,Program_data!$E66,EIAwtransport!$I$2:$I$675,Program_data!R$2)</f>
        <v>1231007132</v>
      </c>
      <c r="S66" s="5">
        <f>SUMIFS(EIAwtransport!$J$2:$J$675,EIAwtransport!$E$2:$E$675,Program_data!$E66,EIAwtransport!$I$2:$I$675,Program_data!S$2)</f>
        <v>120192643</v>
      </c>
      <c r="T66" s="5">
        <f>SUMIFS(EIAwtransport!$J$2:$J$675,EIAwtransport!$E$2:$E$675,Program_data!$E66,EIAwtransport!$I$2:$I$675,Program_data!T$2)</f>
        <v>731793</v>
      </c>
      <c r="U66" s="24">
        <f t="shared" si="25"/>
        <v>9.2859293068410697E-7</v>
      </c>
      <c r="V66" s="24">
        <f t="shared" si="26"/>
        <v>1.1002285908579468E-6</v>
      </c>
      <c r="W66" s="24">
        <f t="shared" si="27"/>
        <v>0</v>
      </c>
      <c r="X66" s="25">
        <f t="shared" si="28"/>
        <v>0</v>
      </c>
      <c r="Y66" s="8">
        <f t="shared" si="7"/>
        <v>0</v>
      </c>
      <c r="Z66" s="27">
        <f t="shared" si="8"/>
        <v>0</v>
      </c>
      <c r="AA66" s="27"/>
      <c r="AB66" s="27"/>
      <c r="AC66" s="56">
        <f>IFERROR(K66/SUMIFS($M$3:$M$1234,$E$3:$E$1234,E66,$B$3:$B$1234,B66),"")</f>
        <v>4.1445354960084541E-6</v>
      </c>
      <c r="AD66" s="20">
        <f t="shared" si="18"/>
        <v>0</v>
      </c>
      <c r="AE66" s="20">
        <f t="shared" si="9"/>
        <v>9315</v>
      </c>
      <c r="AF66" s="20">
        <f t="shared" si="10"/>
        <v>1661859628.2</v>
      </c>
      <c r="AG66">
        <f t="shared" si="11"/>
        <v>121964.41440000001</v>
      </c>
      <c r="AH66">
        <f t="shared" si="12"/>
        <v>144507.6</v>
      </c>
      <c r="AI66">
        <f t="shared" si="13"/>
        <v>12677919983.640001</v>
      </c>
    </row>
    <row r="67" spans="2:35" x14ac:dyDescent="0.25">
      <c r="B67" s="4">
        <v>2024</v>
      </c>
      <c r="C67" s="4" t="s">
        <v>134</v>
      </c>
      <c r="D67" s="4" t="s">
        <v>159</v>
      </c>
      <c r="E67" s="4" t="str">
        <f>D67&amp;"-"&amp;C67</f>
        <v>Ngrid-MA</v>
      </c>
      <c r="F67" s="4" t="s">
        <v>146</v>
      </c>
      <c r="G67" s="4"/>
      <c r="H67" s="4" t="s">
        <v>150</v>
      </c>
      <c r="I67" s="4" t="s">
        <v>167</v>
      </c>
      <c r="J67" s="4" t="s">
        <v>155</v>
      </c>
      <c r="K67" s="5"/>
      <c r="L67" s="5"/>
      <c r="M67" s="8">
        <f>205811+100676+2216452+442791</f>
        <v>2965730</v>
      </c>
      <c r="N67" s="8"/>
      <c r="O67" s="8">
        <f>SUMIFS(EIAwtransport!$J$2:$J$675,EIAwtransport!$E$2:$E$675,Program_data!$E67,EIAwtransport!$H$2:$H$675,Program_data!$F67,EIAwtransport!$I$2:$I$675,Program_data!O$2)</f>
        <v>427015212</v>
      </c>
      <c r="P67" s="5">
        <f>SUMIFS(EIAwtransport!$J$2:$J$675,EIAwtransport!$E$2:$E$675,Program_data!$E67,EIAwtransport!$H$2:$H$675,Program_data!$F67,EIAwtransport!$I$2:$I$675,Program_data!P$2)</f>
        <v>71514161</v>
      </c>
      <c r="Q67" s="5">
        <f>SUMIFS(EIAwtransport!$J$2:$J$675,EIAwtransport!$E$2:$E$675,Program_data!$E67,EIAwtransport!$H$2:$H$675,Program_data!$F67,EIAwtransport!$I$2:$I$675,Program_data!Q$2)</f>
        <v>61591</v>
      </c>
      <c r="R67" s="8">
        <f>SUMIFS(EIAwtransport!$J$2:$J$675,EIAwtransport!$E$2:$E$675,Program_data!$E67,EIAwtransport!$I$2:$I$675,Program_data!R$2)</f>
        <v>1231007132</v>
      </c>
      <c r="S67" s="5">
        <f>SUMIFS(EIAwtransport!$J$2:$J$675,EIAwtransport!$E$2:$E$675,Program_data!$E67,EIAwtransport!$I$2:$I$675,Program_data!S$2)</f>
        <v>120192643</v>
      </c>
      <c r="T67" s="5">
        <f>SUMIFS(EIAwtransport!$J$2:$J$675,EIAwtransport!$E$2:$E$675,Program_data!$E67,EIAwtransport!$I$2:$I$675,Program_data!T$2)</f>
        <v>731793</v>
      </c>
      <c r="U67" s="24">
        <f t="shared" si="25"/>
        <v>0</v>
      </c>
      <c r="V67" s="24">
        <f t="shared" si="26"/>
        <v>0</v>
      </c>
      <c r="W67" s="24">
        <f t="shared" si="27"/>
        <v>2.409189941232607E-3</v>
      </c>
      <c r="X67" s="25">
        <f t="shared" si="28"/>
        <v>2.3817379115074E-3</v>
      </c>
      <c r="Y67" s="8">
        <f t="shared" si="7"/>
        <v>0.5412754640271823</v>
      </c>
      <c r="Z67" s="27">
        <f t="shared" si="8"/>
        <v>0.17921450611847253</v>
      </c>
      <c r="AA67" s="27"/>
      <c r="AB67" s="27"/>
      <c r="AC67" s="56"/>
      <c r="AD67" s="20">
        <f t="shared" si="18"/>
        <v>4003735.5000000005</v>
      </c>
      <c r="AE67" s="20">
        <f t="shared" si="9"/>
        <v>0</v>
      </c>
      <c r="AF67" s="20">
        <f t="shared" si="10"/>
        <v>1661859628.2</v>
      </c>
      <c r="AG67">
        <f t="shared" si="11"/>
        <v>0</v>
      </c>
      <c r="AH67">
        <f t="shared" si="12"/>
        <v>0</v>
      </c>
      <c r="AI67">
        <f t="shared" si="13"/>
        <v>12677919983.640001</v>
      </c>
    </row>
    <row r="68" spans="2:35" x14ac:dyDescent="0.25">
      <c r="B68" s="4">
        <v>2023</v>
      </c>
      <c r="C68" s="4" t="s">
        <v>134</v>
      </c>
      <c r="D68" s="4" t="s">
        <v>18</v>
      </c>
      <c r="E68" s="4" t="str">
        <f t="shared" si="0"/>
        <v>Eversource-MA</v>
      </c>
      <c r="F68" s="4" t="s">
        <v>135</v>
      </c>
      <c r="G68" s="4"/>
      <c r="H68" s="4" t="s">
        <v>167</v>
      </c>
      <c r="I68" s="4" t="s">
        <v>167</v>
      </c>
      <c r="J68" s="4" t="s">
        <v>155</v>
      </c>
      <c r="K68" s="5"/>
      <c r="L68" s="5"/>
      <c r="M68" s="8">
        <v>8945000</v>
      </c>
      <c r="N68" s="8"/>
      <c r="O68" s="8">
        <f>SUMIFS(EIAwtransport!$J$2:$J$675,EIAwtransport!$E$2:$E$675,Program_data!$E68,EIAwtransport!$H$2:$H$675,Program_data!$F68,EIAwtransport!$I$2:$I$675,Program_data!O$2)</f>
        <v>684203348</v>
      </c>
      <c r="P68" s="5">
        <f>SUMIFS(EIAwtransport!$J$2:$J$675,EIAwtransport!$E$2:$E$675,Program_data!$E68,EIAwtransport!$H$2:$H$675,Program_data!$F68,EIAwtransport!$I$2:$I$675,Program_data!P$2)</f>
        <v>44515571</v>
      </c>
      <c r="Q68" s="5">
        <f>SUMIFS(EIAwtransport!$J$2:$J$675,EIAwtransport!$E$2:$E$675,Program_data!$E68,EIAwtransport!$H$2:$H$675,Program_data!$F68,EIAwtransport!$I$2:$I$675,Program_data!Q$2)</f>
        <v>576322</v>
      </c>
      <c r="R68" s="8">
        <f>SUMIFS(EIAwtransport!$J$2:$J$675,EIAwtransport!$E$2:$E$675,Program_data!$E68,EIAwtransport!$I$2:$I$675,Program_data!R$2)</f>
        <v>985639997</v>
      </c>
      <c r="S68" s="5">
        <f>SUMIFS(EIAwtransport!$J$2:$J$675,EIAwtransport!$E$2:$E$675,Program_data!$E68,EIAwtransport!$I$2:$I$675,Program_data!S$2)</f>
        <v>84062939</v>
      </c>
      <c r="T68" s="5">
        <f>SUMIFS(EIAwtransport!$J$2:$J$675,EIAwtransport!$E$2:$E$675,Program_data!$E68,EIAwtransport!$I$2:$I$675,Program_data!T$2)</f>
        <v>631529</v>
      </c>
      <c r="U68" s="24">
        <f t="shared" ref="U68:U76" si="30">IFERROR(K68/10.36/S68,"")</f>
        <v>0</v>
      </c>
      <c r="V68" s="24">
        <f t="shared" ref="V68:V131" si="31">IFERROR(L68/10.36/S68,"")</f>
        <v>0</v>
      </c>
      <c r="W68" s="24">
        <f t="shared" ref="W68:W76" si="32">IFERROR(M68/R68,"")</f>
        <v>9.0753216460634362E-3</v>
      </c>
      <c r="X68" s="25">
        <f t="shared" ref="X68:X76" si="33">IFERROR(M68/S68/10.36,"")</f>
        <v>1.0271077822023193E-2</v>
      </c>
      <c r="Y68" s="8">
        <f t="shared" ref="Y68:Y131" si="34">IFERROR(M68/SUMIFS($K$3:$K$1492,$E$3:$E$1492,E68,$B$3:$B$1492,B68,$F$3:$F$1492,F68,$A$3:$A$1492,""),"")</f>
        <v>4.9780343192197201</v>
      </c>
      <c r="Z68" s="27">
        <f t="shared" ref="Z68:Z131" si="35">IFERROR(M68/SUMIFS($K$3:$K$1492,$E$3:$E$1492,E68,$B$3:$B$1492,B68,$A$3:$A$1492,""),"")</f>
        <v>1.9643220267147796</v>
      </c>
      <c r="AA68" s="27"/>
      <c r="AB68" s="27"/>
      <c r="AC68" s="56">
        <f t="shared" ref="AC68:AC99" si="36">IFERROR(K68/SUMIFS($M$3:$M$1234,$E$3:$E$1234,E68,$B$3:$B$1234,B68),"")</f>
        <v>0</v>
      </c>
      <c r="AD68" s="20">
        <f t="shared" si="18"/>
        <v>12075750</v>
      </c>
      <c r="AE68" s="20">
        <f t="shared" ref="AE68:AE131" si="37">N68*1.35</f>
        <v>0</v>
      </c>
      <c r="AF68" s="20">
        <f t="shared" ref="AF68:AF131" si="38">R68*1.35</f>
        <v>1330613995.95</v>
      </c>
      <c r="AG68">
        <f t="shared" ref="AG68:AG131" si="39">K68*105.48</f>
        <v>0</v>
      </c>
      <c r="AH68">
        <f t="shared" ref="AH68:AH131" si="40">L68*105.48</f>
        <v>0</v>
      </c>
      <c r="AI68">
        <f t="shared" ref="AI68:AI131" si="41">S68*105.48</f>
        <v>8866958805.7200012</v>
      </c>
    </row>
    <row r="69" spans="2:35" x14ac:dyDescent="0.25">
      <c r="B69" s="4">
        <v>2023</v>
      </c>
      <c r="C69" s="4" t="s">
        <v>134</v>
      </c>
      <c r="D69" s="4" t="s">
        <v>18</v>
      </c>
      <c r="E69" s="4" t="str">
        <f t="shared" si="0"/>
        <v>Eversource-MA</v>
      </c>
      <c r="F69" s="4" t="s">
        <v>143</v>
      </c>
      <c r="G69" s="4">
        <v>1</v>
      </c>
      <c r="H69" s="4" t="s">
        <v>167</v>
      </c>
      <c r="I69" s="4" t="s">
        <v>167</v>
      </c>
      <c r="J69" s="4" t="s">
        <v>155</v>
      </c>
      <c r="K69" s="5"/>
      <c r="L69" s="5"/>
      <c r="M69" s="8">
        <v>395000</v>
      </c>
      <c r="N69" s="8"/>
      <c r="O69" s="8">
        <f>SUMIFS(EIAwtransport!$J$2:$J$675,EIAwtransport!$E$2:$E$675,Program_data!$E69,EIAwtransport!$H$2:$H$675,Program_data!$F69,EIAwtransport!$I$2:$I$675,Program_data!O$2)</f>
        <v>0</v>
      </c>
      <c r="P69" s="5">
        <f>SUMIFS(EIAwtransport!$J$2:$J$675,EIAwtransport!$E$2:$E$675,Program_data!$E69,EIAwtransport!$H$2:$H$675,Program_data!$F69,EIAwtransport!$I$2:$I$675,Program_data!P$2)</f>
        <v>0</v>
      </c>
      <c r="Q69" s="5">
        <f>SUMIFS(EIAwtransport!$J$2:$J$675,EIAwtransport!$E$2:$E$675,Program_data!$E69,EIAwtransport!$H$2:$H$675,Program_data!$F69,EIAwtransport!$I$2:$I$675,Program_data!Q$2)</f>
        <v>0</v>
      </c>
      <c r="R69" s="8">
        <f>SUMIFS(EIAwtransport!$J$2:$J$675,EIAwtransport!$E$2:$E$675,Program_data!$E69,EIAwtransport!$I$2:$I$675,Program_data!R$2)</f>
        <v>985639997</v>
      </c>
      <c r="S69" s="5">
        <f>SUMIFS(EIAwtransport!$J$2:$J$675,EIAwtransport!$E$2:$E$675,Program_data!$E69,EIAwtransport!$I$2:$I$675,Program_data!S$2)</f>
        <v>84062939</v>
      </c>
      <c r="T69" s="5">
        <f>SUMIFS(EIAwtransport!$J$2:$J$675,EIAwtransport!$E$2:$E$675,Program_data!$E69,EIAwtransport!$I$2:$I$675,Program_data!T$2)</f>
        <v>631529</v>
      </c>
      <c r="U69" s="24">
        <f t="shared" si="30"/>
        <v>0</v>
      </c>
      <c r="V69" s="24">
        <f t="shared" si="31"/>
        <v>0</v>
      </c>
      <c r="W69" s="24">
        <f t="shared" si="32"/>
        <v>4.0075484071493091E-4</v>
      </c>
      <c r="X69" s="25">
        <f t="shared" si="33"/>
        <v>4.5355793624361778E-4</v>
      </c>
      <c r="Y69" s="8">
        <f t="shared" si="34"/>
        <v>0.70390157495749861</v>
      </c>
      <c r="Z69" s="27">
        <f t="shared" si="35"/>
        <v>8.6742001179691219E-2</v>
      </c>
      <c r="AA69" s="27"/>
      <c r="AB69" s="27"/>
      <c r="AC69" s="56">
        <f t="shared" si="36"/>
        <v>0</v>
      </c>
      <c r="AD69" s="20">
        <f t="shared" si="18"/>
        <v>533250</v>
      </c>
      <c r="AE69" s="20">
        <f t="shared" si="37"/>
        <v>0</v>
      </c>
      <c r="AF69" s="20">
        <f t="shared" si="38"/>
        <v>1330613995.95</v>
      </c>
      <c r="AG69">
        <f t="shared" si="39"/>
        <v>0</v>
      </c>
      <c r="AH69">
        <f t="shared" si="40"/>
        <v>0</v>
      </c>
      <c r="AI69">
        <f t="shared" si="41"/>
        <v>8866958805.7200012</v>
      </c>
    </row>
    <row r="70" spans="2:35" x14ac:dyDescent="0.25">
      <c r="B70" s="4">
        <v>2023</v>
      </c>
      <c r="C70" s="4" t="s">
        <v>134</v>
      </c>
      <c r="D70" s="4" t="s">
        <v>18</v>
      </c>
      <c r="E70" s="4" t="str">
        <f t="shared" si="0"/>
        <v>Eversource-MA</v>
      </c>
      <c r="F70" s="4" t="s">
        <v>146</v>
      </c>
      <c r="G70" s="4"/>
      <c r="H70" s="4" t="s">
        <v>167</v>
      </c>
      <c r="I70" s="4" t="s">
        <v>167</v>
      </c>
      <c r="J70" s="4" t="s">
        <v>155</v>
      </c>
      <c r="K70" s="5"/>
      <c r="L70" s="5"/>
      <c r="M70" s="8">
        <v>1395000</v>
      </c>
      <c r="N70" s="8"/>
      <c r="O70" s="8">
        <f>SUMIFS(EIAwtransport!$J$2:$J$675,EIAwtransport!$E$2:$E$675,Program_data!$E70,EIAwtransport!$H$2:$H$675,Program_data!$F70,EIAwtransport!$I$2:$I$675,Program_data!O$2)</f>
        <v>301436649</v>
      </c>
      <c r="P70" s="5">
        <f>SUMIFS(EIAwtransport!$J$2:$J$675,EIAwtransport!$E$2:$E$675,Program_data!$E70,EIAwtransport!$H$2:$H$675,Program_data!$F70,EIAwtransport!$I$2:$I$675,Program_data!P$2)</f>
        <v>39547368</v>
      </c>
      <c r="Q70" s="5">
        <f>SUMIFS(EIAwtransport!$J$2:$J$675,EIAwtransport!$E$2:$E$675,Program_data!$E70,EIAwtransport!$H$2:$H$675,Program_data!$F70,EIAwtransport!$I$2:$I$675,Program_data!Q$2)</f>
        <v>55207</v>
      </c>
      <c r="R70" s="8">
        <f>SUMIFS(EIAwtransport!$J$2:$J$675,EIAwtransport!$E$2:$E$675,Program_data!$E70,EIAwtransport!$I$2:$I$675,Program_data!R$2)</f>
        <v>985639997</v>
      </c>
      <c r="S70" s="5">
        <f>SUMIFS(EIAwtransport!$J$2:$J$675,EIAwtransport!$E$2:$E$675,Program_data!$E70,EIAwtransport!$I$2:$I$675,Program_data!S$2)</f>
        <v>84062939</v>
      </c>
      <c r="T70" s="5">
        <f>SUMIFS(EIAwtransport!$J$2:$J$675,EIAwtransport!$E$2:$E$675,Program_data!$E70,EIAwtransport!$I$2:$I$675,Program_data!T$2)</f>
        <v>631529</v>
      </c>
      <c r="U70" s="24">
        <f t="shared" si="30"/>
        <v>0</v>
      </c>
      <c r="V70" s="24">
        <f t="shared" si="31"/>
        <v>0</v>
      </c>
      <c r="W70" s="24">
        <f t="shared" si="32"/>
        <v>1.4153240577147561E-3</v>
      </c>
      <c r="X70" s="25">
        <f t="shared" si="33"/>
        <v>1.6018058761008778E-3</v>
      </c>
      <c r="Y70" s="8">
        <f t="shared" si="34"/>
        <v>0.63533790412272817</v>
      </c>
      <c r="Z70" s="27">
        <f t="shared" si="35"/>
        <v>0.30634200416625124</v>
      </c>
      <c r="AA70" s="27"/>
      <c r="AB70" s="27"/>
      <c r="AC70" s="56">
        <f t="shared" si="36"/>
        <v>0</v>
      </c>
      <c r="AD70" s="20">
        <f t="shared" si="18"/>
        <v>1883250.0000000002</v>
      </c>
      <c r="AE70" s="20">
        <f t="shared" si="37"/>
        <v>0</v>
      </c>
      <c r="AF70" s="20">
        <f t="shared" si="38"/>
        <v>1330613995.95</v>
      </c>
      <c r="AG70">
        <f t="shared" si="39"/>
        <v>0</v>
      </c>
      <c r="AH70">
        <f t="shared" si="40"/>
        <v>0</v>
      </c>
      <c r="AI70">
        <f t="shared" si="41"/>
        <v>8866958805.7200012</v>
      </c>
    </row>
    <row r="71" spans="2:35" x14ac:dyDescent="0.25">
      <c r="B71" s="4">
        <v>2023</v>
      </c>
      <c r="C71" s="4" t="s">
        <v>134</v>
      </c>
      <c r="D71" s="4" t="s">
        <v>18</v>
      </c>
      <c r="E71" s="4" t="str">
        <f t="shared" si="0"/>
        <v>Eversource-MA</v>
      </c>
      <c r="F71" s="4" t="s">
        <v>135</v>
      </c>
      <c r="G71" s="4"/>
      <c r="H71" s="4" t="s">
        <v>167</v>
      </c>
      <c r="I71" s="4" t="s">
        <v>167</v>
      </c>
      <c r="J71" s="4" t="s">
        <v>155</v>
      </c>
      <c r="K71" s="5"/>
      <c r="L71" s="5"/>
      <c r="M71" s="8">
        <v>6790000</v>
      </c>
      <c r="N71" s="8"/>
      <c r="O71" s="8">
        <f>SUMIFS(EIAwtransport!$J$2:$J$675,EIAwtransport!$E$2:$E$675,Program_data!$E71,EIAwtransport!$H$2:$H$675,Program_data!$F71,EIAwtransport!$I$2:$I$675,Program_data!O$2)</f>
        <v>684203348</v>
      </c>
      <c r="P71" s="5">
        <f>SUMIFS(EIAwtransport!$J$2:$J$675,EIAwtransport!$E$2:$E$675,Program_data!$E71,EIAwtransport!$H$2:$H$675,Program_data!$F71,EIAwtransport!$I$2:$I$675,Program_data!P$2)</f>
        <v>44515571</v>
      </c>
      <c r="Q71" s="5">
        <f>SUMIFS(EIAwtransport!$J$2:$J$675,EIAwtransport!$E$2:$E$675,Program_data!$E71,EIAwtransport!$H$2:$H$675,Program_data!$F71,EIAwtransport!$I$2:$I$675,Program_data!Q$2)</f>
        <v>576322</v>
      </c>
      <c r="R71" s="8">
        <f>SUMIFS(EIAwtransport!$J$2:$J$675,EIAwtransport!$E$2:$E$675,Program_data!$E71,EIAwtransport!$I$2:$I$675,Program_data!R$2)</f>
        <v>985639997</v>
      </c>
      <c r="S71" s="5">
        <f>SUMIFS(EIAwtransport!$J$2:$J$675,EIAwtransport!$E$2:$E$675,Program_data!$E71,EIAwtransport!$I$2:$I$675,Program_data!S$2)</f>
        <v>84062939</v>
      </c>
      <c r="T71" s="5">
        <f>SUMIFS(EIAwtransport!$J$2:$J$675,EIAwtransport!$E$2:$E$675,Program_data!$E71,EIAwtransport!$I$2:$I$675,Program_data!T$2)</f>
        <v>631529</v>
      </c>
      <c r="U71" s="24">
        <f t="shared" si="30"/>
        <v>0</v>
      </c>
      <c r="V71" s="24">
        <f t="shared" si="31"/>
        <v>0</v>
      </c>
      <c r="W71" s="24">
        <f t="shared" si="32"/>
        <v>6.8889249834288126E-3</v>
      </c>
      <c r="X71" s="25">
        <f t="shared" si="33"/>
        <v>7.7966035116307968E-3</v>
      </c>
      <c r="Y71" s="8">
        <f t="shared" si="34"/>
        <v>3.7787426525994299</v>
      </c>
      <c r="Z71" s="27">
        <f t="shared" si="35"/>
        <v>1.4910840202787428</v>
      </c>
      <c r="AA71" s="27"/>
      <c r="AB71" s="27"/>
      <c r="AC71" s="56">
        <f t="shared" si="36"/>
        <v>0</v>
      </c>
      <c r="AD71" s="20">
        <f t="shared" si="18"/>
        <v>9166500</v>
      </c>
      <c r="AE71" s="20">
        <f t="shared" si="37"/>
        <v>0</v>
      </c>
      <c r="AF71" s="20">
        <f t="shared" si="38"/>
        <v>1330613995.95</v>
      </c>
      <c r="AG71">
        <f t="shared" si="39"/>
        <v>0</v>
      </c>
      <c r="AH71">
        <f t="shared" si="40"/>
        <v>0</v>
      </c>
      <c r="AI71">
        <f t="shared" si="41"/>
        <v>8866958805.7200012</v>
      </c>
    </row>
    <row r="72" spans="2:35" x14ac:dyDescent="0.25">
      <c r="B72" s="4">
        <v>2023</v>
      </c>
      <c r="C72" s="4" t="s">
        <v>134</v>
      </c>
      <c r="D72" s="4" t="s">
        <v>18</v>
      </c>
      <c r="E72" s="4" t="str">
        <f t="shared" si="0"/>
        <v>Eversource-MA</v>
      </c>
      <c r="F72" s="4" t="s">
        <v>143</v>
      </c>
      <c r="G72" s="4">
        <v>1</v>
      </c>
      <c r="H72" s="4" t="s">
        <v>167</v>
      </c>
      <c r="I72" s="4" t="s">
        <v>167</v>
      </c>
      <c r="J72" s="4" t="s">
        <v>155</v>
      </c>
      <c r="K72" s="5"/>
      <c r="L72" s="5"/>
      <c r="M72" s="8">
        <v>425000</v>
      </c>
      <c r="N72" s="8"/>
      <c r="O72" s="8">
        <f>SUMIFS(EIAwtransport!$J$2:$J$675,EIAwtransport!$E$2:$E$675,Program_data!$E72,EIAwtransport!$H$2:$H$675,Program_data!$F72,EIAwtransport!$I$2:$I$675,Program_data!O$2)</f>
        <v>0</v>
      </c>
      <c r="P72" s="5">
        <f>SUMIFS(EIAwtransport!$J$2:$J$675,EIAwtransport!$E$2:$E$675,Program_data!$E72,EIAwtransport!$H$2:$H$675,Program_data!$F72,EIAwtransport!$I$2:$I$675,Program_data!P$2)</f>
        <v>0</v>
      </c>
      <c r="Q72" s="5">
        <f>SUMIFS(EIAwtransport!$J$2:$J$675,EIAwtransport!$E$2:$E$675,Program_data!$E72,EIAwtransport!$H$2:$H$675,Program_data!$F72,EIAwtransport!$I$2:$I$675,Program_data!Q$2)</f>
        <v>0</v>
      </c>
      <c r="R72" s="8">
        <f>SUMIFS(EIAwtransport!$J$2:$J$675,EIAwtransport!$E$2:$E$675,Program_data!$E72,EIAwtransport!$I$2:$I$675,Program_data!R$2)</f>
        <v>985639997</v>
      </c>
      <c r="S72" s="5">
        <f>SUMIFS(EIAwtransport!$J$2:$J$675,EIAwtransport!$E$2:$E$675,Program_data!$E72,EIAwtransport!$I$2:$I$675,Program_data!S$2)</f>
        <v>84062939</v>
      </c>
      <c r="T72" s="5">
        <f>SUMIFS(EIAwtransport!$J$2:$J$675,EIAwtransport!$E$2:$E$675,Program_data!$E72,EIAwtransport!$I$2:$I$675,Program_data!T$2)</f>
        <v>631529</v>
      </c>
      <c r="U72" s="24">
        <f t="shared" si="30"/>
        <v>0</v>
      </c>
      <c r="V72" s="24">
        <f t="shared" si="31"/>
        <v>0</v>
      </c>
      <c r="W72" s="24">
        <f t="shared" si="32"/>
        <v>4.3119191722492566E-4</v>
      </c>
      <c r="X72" s="25">
        <f t="shared" si="33"/>
        <v>4.8800537443933556E-4</v>
      </c>
      <c r="Y72" s="8">
        <f t="shared" si="34"/>
        <v>0.75736245406819469</v>
      </c>
      <c r="Z72" s="27">
        <f t="shared" si="35"/>
        <v>9.3330001269288018E-2</v>
      </c>
      <c r="AA72" s="27"/>
      <c r="AB72" s="27"/>
      <c r="AC72" s="56">
        <f t="shared" si="36"/>
        <v>0</v>
      </c>
      <c r="AD72" s="20">
        <f t="shared" si="18"/>
        <v>573750</v>
      </c>
      <c r="AE72" s="20">
        <f t="shared" si="37"/>
        <v>0</v>
      </c>
      <c r="AF72" s="20">
        <f t="shared" si="38"/>
        <v>1330613995.95</v>
      </c>
      <c r="AG72">
        <f t="shared" si="39"/>
        <v>0</v>
      </c>
      <c r="AH72">
        <f t="shared" si="40"/>
        <v>0</v>
      </c>
      <c r="AI72">
        <f t="shared" si="41"/>
        <v>8866958805.7200012</v>
      </c>
    </row>
    <row r="73" spans="2:35" x14ac:dyDescent="0.25">
      <c r="B73" s="4">
        <v>2023</v>
      </c>
      <c r="C73" s="4" t="s">
        <v>134</v>
      </c>
      <c r="D73" s="4" t="s">
        <v>18</v>
      </c>
      <c r="E73" s="4" t="str">
        <f t="shared" si="0"/>
        <v>Eversource-MA</v>
      </c>
      <c r="F73" s="4" t="s">
        <v>146</v>
      </c>
      <c r="G73" s="4"/>
      <c r="H73" s="4" t="s">
        <v>167</v>
      </c>
      <c r="I73" s="4" t="s">
        <v>167</v>
      </c>
      <c r="J73" s="4" t="s">
        <v>155</v>
      </c>
      <c r="K73" s="5"/>
      <c r="L73" s="5"/>
      <c r="M73" s="8">
        <v>1290000</v>
      </c>
      <c r="N73" s="8"/>
      <c r="O73" s="8">
        <f>SUMIFS(EIAwtransport!$J$2:$J$675,EIAwtransport!$E$2:$E$675,Program_data!$E73,EIAwtransport!$H$2:$H$675,Program_data!$F73,EIAwtransport!$I$2:$I$675,Program_data!O$2)</f>
        <v>301436649</v>
      </c>
      <c r="P73" s="5">
        <f>SUMIFS(EIAwtransport!$J$2:$J$675,EIAwtransport!$E$2:$E$675,Program_data!$E73,EIAwtransport!$H$2:$H$675,Program_data!$F73,EIAwtransport!$I$2:$I$675,Program_data!P$2)</f>
        <v>39547368</v>
      </c>
      <c r="Q73" s="5">
        <f>SUMIFS(EIAwtransport!$J$2:$J$675,EIAwtransport!$E$2:$E$675,Program_data!$E73,EIAwtransport!$H$2:$H$675,Program_data!$F73,EIAwtransport!$I$2:$I$675,Program_data!Q$2)</f>
        <v>55207</v>
      </c>
      <c r="R73" s="8">
        <f>SUMIFS(EIAwtransport!$J$2:$J$675,EIAwtransport!$E$2:$E$675,Program_data!$E73,EIAwtransport!$I$2:$I$675,Program_data!R$2)</f>
        <v>985639997</v>
      </c>
      <c r="S73" s="5">
        <f>SUMIFS(EIAwtransport!$J$2:$J$675,EIAwtransport!$E$2:$E$675,Program_data!$E73,EIAwtransport!$I$2:$I$675,Program_data!S$2)</f>
        <v>84062939</v>
      </c>
      <c r="T73" s="5">
        <f>SUMIFS(EIAwtransport!$J$2:$J$675,EIAwtransport!$E$2:$E$675,Program_data!$E73,EIAwtransport!$I$2:$I$675,Program_data!T$2)</f>
        <v>631529</v>
      </c>
      <c r="U73" s="24">
        <f t="shared" si="30"/>
        <v>0</v>
      </c>
      <c r="V73" s="24">
        <f t="shared" si="31"/>
        <v>0</v>
      </c>
      <c r="W73" s="24">
        <f t="shared" si="32"/>
        <v>1.3087942899297745E-3</v>
      </c>
      <c r="X73" s="25">
        <f t="shared" si="33"/>
        <v>1.4812398424158657E-3</v>
      </c>
      <c r="Y73" s="8">
        <f t="shared" si="34"/>
        <v>0.58751677155435078</v>
      </c>
      <c r="Z73" s="27">
        <f t="shared" si="35"/>
        <v>0.28328400385266245</v>
      </c>
      <c r="AA73" s="27"/>
      <c r="AB73" s="27"/>
      <c r="AC73" s="56">
        <f t="shared" si="36"/>
        <v>0</v>
      </c>
      <c r="AD73" s="20">
        <f t="shared" si="18"/>
        <v>1741500</v>
      </c>
      <c r="AE73" s="20">
        <f t="shared" si="37"/>
        <v>0</v>
      </c>
      <c r="AF73" s="20">
        <f t="shared" si="38"/>
        <v>1330613995.95</v>
      </c>
      <c r="AG73">
        <f t="shared" si="39"/>
        <v>0</v>
      </c>
      <c r="AH73">
        <f t="shared" si="40"/>
        <v>0</v>
      </c>
      <c r="AI73">
        <f t="shared" si="41"/>
        <v>8866958805.7200012</v>
      </c>
    </row>
    <row r="74" spans="2:35" x14ac:dyDescent="0.25">
      <c r="B74" s="4">
        <v>2023</v>
      </c>
      <c r="C74" s="4" t="s">
        <v>134</v>
      </c>
      <c r="D74" s="4" t="s">
        <v>159</v>
      </c>
      <c r="E74" s="4" t="str">
        <f t="shared" si="0"/>
        <v>Ngrid-MA</v>
      </c>
      <c r="F74" s="4" t="s">
        <v>135</v>
      </c>
      <c r="G74" s="4"/>
      <c r="H74" s="4" t="s">
        <v>167</v>
      </c>
      <c r="I74" s="4" t="s">
        <v>167</v>
      </c>
      <c r="J74" s="4" t="s">
        <v>155</v>
      </c>
      <c r="K74" s="5"/>
      <c r="L74" s="5"/>
      <c r="M74" s="8">
        <v>16822062.999703366</v>
      </c>
      <c r="N74" s="8"/>
      <c r="O74" s="8">
        <f>SUMIFS(EIAwtransport!$J$2:$J$675,EIAwtransport!$E$2:$E$675,Program_data!$E74,EIAwtransport!$H$2:$H$675,Program_data!$F74,EIAwtransport!$I$2:$I$675,Program_data!O$2)</f>
        <v>803991920</v>
      </c>
      <c r="P74" s="5">
        <f>SUMIFS(EIAwtransport!$J$2:$J$675,EIAwtransport!$E$2:$E$675,Program_data!$E74,EIAwtransport!$H$2:$H$675,Program_data!$F74,EIAwtransport!$I$2:$I$675,Program_data!P$2)</f>
        <v>48678482</v>
      </c>
      <c r="Q74" s="5">
        <f>SUMIFS(EIAwtransport!$J$2:$J$675,EIAwtransport!$E$2:$E$675,Program_data!$E74,EIAwtransport!$H$2:$H$675,Program_data!$F74,EIAwtransport!$I$2:$I$675,Program_data!Q$2)</f>
        <v>670202</v>
      </c>
      <c r="R74" s="8">
        <f>SUMIFS(EIAwtransport!$J$2:$J$675,EIAwtransport!$E$2:$E$675,Program_data!$E74,EIAwtransport!$I$2:$I$675,Program_data!R$2)</f>
        <v>1231007132</v>
      </c>
      <c r="S74" s="5">
        <f>SUMIFS(EIAwtransport!$J$2:$J$675,EIAwtransport!$E$2:$E$675,Program_data!$E74,EIAwtransport!$I$2:$I$675,Program_data!S$2)</f>
        <v>120192643</v>
      </c>
      <c r="T74" s="5">
        <f>SUMIFS(EIAwtransport!$J$2:$J$675,EIAwtransport!$E$2:$E$675,Program_data!$E74,EIAwtransport!$I$2:$I$675,Program_data!T$2)</f>
        <v>731793</v>
      </c>
      <c r="U74" s="55">
        <f t="shared" si="30"/>
        <v>0</v>
      </c>
      <c r="V74" s="24">
        <f t="shared" si="31"/>
        <v>0</v>
      </c>
      <c r="W74" s="24">
        <f t="shared" si="32"/>
        <v>1.3665284759457727E-2</v>
      </c>
      <c r="X74" s="25">
        <f t="shared" si="33"/>
        <v>1.350957275145054E-2</v>
      </c>
      <c r="Y74" s="8">
        <f t="shared" si="34"/>
        <v>1.8216039995550901</v>
      </c>
      <c r="Z74" s="27">
        <f t="shared" si="35"/>
        <v>1.0456970120543367</v>
      </c>
      <c r="AA74" s="27"/>
      <c r="AB74" s="27"/>
      <c r="AC74" s="56">
        <f t="shared" si="36"/>
        <v>0</v>
      </c>
      <c r="AD74" s="20">
        <f t="shared" si="18"/>
        <v>22709785.049599547</v>
      </c>
      <c r="AE74" s="20">
        <f t="shared" si="37"/>
        <v>0</v>
      </c>
      <c r="AF74" s="20">
        <f t="shared" si="38"/>
        <v>1661859628.2</v>
      </c>
      <c r="AG74">
        <f t="shared" si="39"/>
        <v>0</v>
      </c>
      <c r="AH74">
        <f t="shared" si="40"/>
        <v>0</v>
      </c>
      <c r="AI74">
        <f t="shared" si="41"/>
        <v>12677919983.640001</v>
      </c>
    </row>
    <row r="75" spans="2:35" x14ac:dyDescent="0.25">
      <c r="B75" s="4">
        <v>2023</v>
      </c>
      <c r="C75" s="4" t="s">
        <v>134</v>
      </c>
      <c r="D75" s="4" t="s">
        <v>159</v>
      </c>
      <c r="E75" s="4" t="str">
        <f t="shared" si="0"/>
        <v>Ngrid-MA</v>
      </c>
      <c r="F75" s="4" t="s">
        <v>143</v>
      </c>
      <c r="G75" s="4">
        <v>1</v>
      </c>
      <c r="H75" s="4" t="s">
        <v>167</v>
      </c>
      <c r="I75" s="4" t="s">
        <v>167</v>
      </c>
      <c r="J75" s="4" t="s">
        <v>155</v>
      </c>
      <c r="K75" s="5"/>
      <c r="L75" s="5"/>
      <c r="M75" s="8">
        <v>1417925.0974051654</v>
      </c>
      <c r="N75" s="8"/>
      <c r="O75" s="8">
        <f>SUMIFS(EIAwtransport!$J$2:$J$675,EIAwtransport!$E$2:$E$675,Program_data!$E75,EIAwtransport!$H$2:$H$675,Program_data!$F75,EIAwtransport!$I$2:$I$675,Program_data!O$2)</f>
        <v>0</v>
      </c>
      <c r="P75" s="5">
        <f>SUMIFS(EIAwtransport!$J$2:$J$675,EIAwtransport!$E$2:$E$675,Program_data!$E75,EIAwtransport!$H$2:$H$675,Program_data!$F75,EIAwtransport!$I$2:$I$675,Program_data!P$2)</f>
        <v>0</v>
      </c>
      <c r="Q75" s="5">
        <f>SUMIFS(EIAwtransport!$J$2:$J$675,EIAwtransport!$E$2:$E$675,Program_data!$E75,EIAwtransport!$H$2:$H$675,Program_data!$F75,EIAwtransport!$I$2:$I$675,Program_data!Q$2)</f>
        <v>0</v>
      </c>
      <c r="R75" s="8">
        <f>SUMIFS(EIAwtransport!$J$2:$J$675,EIAwtransport!$E$2:$E$675,Program_data!$E75,EIAwtransport!$I$2:$I$675,Program_data!R$2)</f>
        <v>1231007132</v>
      </c>
      <c r="S75" s="5">
        <f>SUMIFS(EIAwtransport!$J$2:$J$675,EIAwtransport!$E$2:$E$675,Program_data!$E75,EIAwtransport!$I$2:$I$675,Program_data!S$2)</f>
        <v>120192643</v>
      </c>
      <c r="T75" s="5">
        <f>SUMIFS(EIAwtransport!$J$2:$J$675,EIAwtransport!$E$2:$E$675,Program_data!$E75,EIAwtransport!$I$2:$I$675,Program_data!T$2)</f>
        <v>731793</v>
      </c>
      <c r="U75" s="55">
        <f t="shared" si="30"/>
        <v>0</v>
      </c>
      <c r="V75" s="24">
        <f t="shared" si="31"/>
        <v>0</v>
      </c>
      <c r="W75" s="24">
        <f t="shared" si="32"/>
        <v>1.1518414967275474E-3</v>
      </c>
      <c r="X75" s="25">
        <f t="shared" si="33"/>
        <v>1.1387165925986877E-3</v>
      </c>
      <c r="Y75" s="8">
        <f t="shared" si="34"/>
        <v>0.90637455152235846</v>
      </c>
      <c r="Z75" s="27">
        <f t="shared" si="35"/>
        <v>8.8141391320409476E-2</v>
      </c>
      <c r="AA75" s="27"/>
      <c r="AB75" s="27"/>
      <c r="AC75" s="56">
        <f t="shared" si="36"/>
        <v>0</v>
      </c>
      <c r="AD75" s="20">
        <f t="shared" si="18"/>
        <v>1914198.8814969736</v>
      </c>
      <c r="AE75" s="20">
        <f t="shared" si="37"/>
        <v>0</v>
      </c>
      <c r="AF75" s="20">
        <f t="shared" si="38"/>
        <v>1661859628.2</v>
      </c>
      <c r="AG75">
        <f t="shared" si="39"/>
        <v>0</v>
      </c>
      <c r="AH75">
        <f t="shared" si="40"/>
        <v>0</v>
      </c>
      <c r="AI75">
        <f t="shared" si="41"/>
        <v>12677919983.640001</v>
      </c>
    </row>
    <row r="76" spans="2:35" x14ac:dyDescent="0.25">
      <c r="B76" s="4">
        <v>2023</v>
      </c>
      <c r="C76" s="4" t="s">
        <v>134</v>
      </c>
      <c r="D76" s="4" t="s">
        <v>159</v>
      </c>
      <c r="E76" s="4" t="str">
        <f t="shared" si="0"/>
        <v>Ngrid-MA</v>
      </c>
      <c r="F76" s="4" t="s">
        <v>146</v>
      </c>
      <c r="G76" s="4"/>
      <c r="H76" s="4" t="s">
        <v>167</v>
      </c>
      <c r="I76" s="4" t="s">
        <v>167</v>
      </c>
      <c r="J76" s="4" t="s">
        <v>155</v>
      </c>
      <c r="K76" s="5"/>
      <c r="L76" s="5"/>
      <c r="M76" s="8">
        <v>3029163.2479442791</v>
      </c>
      <c r="N76" s="8"/>
      <c r="O76" s="8">
        <f>SUMIFS(EIAwtransport!$J$2:$J$675,EIAwtransport!$E$2:$E$675,Program_data!$E76,EIAwtransport!$H$2:$H$675,Program_data!$F76,EIAwtransport!$I$2:$I$675,Program_data!O$2)</f>
        <v>427015212</v>
      </c>
      <c r="P76" s="5">
        <f>SUMIFS(EIAwtransport!$J$2:$J$675,EIAwtransport!$E$2:$E$675,Program_data!$E76,EIAwtransport!$H$2:$H$675,Program_data!$F76,EIAwtransport!$I$2:$I$675,Program_data!P$2)</f>
        <v>71514161</v>
      </c>
      <c r="Q76" s="5">
        <f>SUMIFS(EIAwtransport!$J$2:$J$675,EIAwtransport!$E$2:$E$675,Program_data!$E76,EIAwtransport!$H$2:$H$675,Program_data!$F76,EIAwtransport!$I$2:$I$675,Program_data!Q$2)</f>
        <v>61591</v>
      </c>
      <c r="R76" s="8">
        <f>SUMIFS(EIAwtransport!$J$2:$J$675,EIAwtransport!$E$2:$E$675,Program_data!$E76,EIAwtransport!$I$2:$I$675,Program_data!R$2)</f>
        <v>1231007132</v>
      </c>
      <c r="S76" s="5">
        <f>SUMIFS(EIAwtransport!$J$2:$J$675,EIAwtransport!$E$2:$E$675,Program_data!$E76,EIAwtransport!$I$2:$I$675,Program_data!S$2)</f>
        <v>120192643</v>
      </c>
      <c r="T76" s="5">
        <f>SUMIFS(EIAwtransport!$J$2:$J$675,EIAwtransport!$E$2:$E$675,Program_data!$E76,EIAwtransport!$I$2:$I$675,Program_data!T$2)</f>
        <v>731793</v>
      </c>
      <c r="U76" s="55">
        <f t="shared" si="30"/>
        <v>0</v>
      </c>
      <c r="V76" s="24">
        <f t="shared" si="31"/>
        <v>0</v>
      </c>
      <c r="W76" s="24">
        <f t="shared" si="32"/>
        <v>2.4607194947951602E-3</v>
      </c>
      <c r="X76" s="25">
        <f t="shared" si="33"/>
        <v>2.4326803005579674E-3</v>
      </c>
      <c r="Y76" s="8">
        <f t="shared" si="34"/>
        <v>0.57285965013083517</v>
      </c>
      <c r="Z76" s="27">
        <f t="shared" si="35"/>
        <v>0.18829955383331987</v>
      </c>
      <c r="AA76" s="27"/>
      <c r="AB76" s="27"/>
      <c r="AC76" s="56">
        <f t="shared" si="36"/>
        <v>0</v>
      </c>
      <c r="AD76" s="20">
        <f t="shared" si="18"/>
        <v>4089370.3847247772</v>
      </c>
      <c r="AE76" s="20">
        <f t="shared" si="37"/>
        <v>0</v>
      </c>
      <c r="AF76" s="20">
        <f t="shared" si="38"/>
        <v>1661859628.2</v>
      </c>
      <c r="AG76">
        <f t="shared" si="39"/>
        <v>0</v>
      </c>
      <c r="AH76">
        <f t="shared" si="40"/>
        <v>0</v>
      </c>
      <c r="AI76">
        <f t="shared" si="41"/>
        <v>12677919983.640001</v>
      </c>
    </row>
    <row r="77" spans="2:35" x14ac:dyDescent="0.25">
      <c r="B77" s="4">
        <v>2022</v>
      </c>
      <c r="C77" s="4" t="s">
        <v>28</v>
      </c>
      <c r="D77" s="4" t="s">
        <v>169</v>
      </c>
      <c r="E77" s="4" t="str">
        <f t="shared" ref="E77:E103" si="42">D77&amp;"-"&amp;C77</f>
        <v>Ameren-IL</v>
      </c>
      <c r="F77" s="4" t="s">
        <v>146</v>
      </c>
      <c r="G77" s="4"/>
      <c r="H77" s="4" t="s">
        <v>170</v>
      </c>
      <c r="I77" s="4"/>
      <c r="J77" s="4" t="s">
        <v>142</v>
      </c>
      <c r="K77" s="5">
        <v>781957.41979522188</v>
      </c>
      <c r="L77" s="5">
        <f>K77/_xlfn.XLOOKUP(C77,'Utility target list'!$K$2:$K$8,'Utility target list'!$L$2:$L$8,1,0,1)</f>
        <v>868841.5775502465</v>
      </c>
      <c r="M77" s="8">
        <v>2031991.4441699944</v>
      </c>
      <c r="N77" s="8"/>
      <c r="O77" s="8">
        <f>SUMIFS(EIAwtransport!$J$2:$J$675,EIAwtransport!$E$2:$E$675,Program_data!$E77,EIAwtransport!$H$2:$H$675,Program_data!$F77,EIAwtransport!$I$2:$I$675,Program_data!O$2)</f>
        <v>278274544</v>
      </c>
      <c r="P77" s="5">
        <f>SUMIFS(EIAwtransport!$J$2:$J$675,EIAwtransport!$E$2:$E$675,Program_data!$E77,EIAwtransport!$H$2:$H$675,Program_data!$F77,EIAwtransport!$I$2:$I$675,Program_data!P$2)</f>
        <v>103403271</v>
      </c>
      <c r="Q77" s="5">
        <f>SUMIFS(EIAwtransport!$J$2:$J$675,EIAwtransport!$E$2:$E$675,Program_data!$E77,EIAwtransport!$H$2:$H$675,Program_data!$F77,EIAwtransport!$I$2:$I$675,Program_data!Q$2)</f>
        <v>68751</v>
      </c>
      <c r="R77" s="8">
        <f>SUMIFS(EIAwtransport!$J$2:$J$675,EIAwtransport!$E$2:$E$675,Program_data!$E77,EIAwtransport!$I$2:$I$675,Program_data!R$2)</f>
        <v>934881707</v>
      </c>
      <c r="S77" s="5">
        <f>SUMIFS(EIAwtransport!$J$2:$J$675,EIAwtransport!$E$2:$E$675,Program_data!$E77,EIAwtransport!$I$2:$I$675,Program_data!S$2)</f>
        <v>155630500</v>
      </c>
      <c r="T77" s="5">
        <f>SUMIFS(EIAwtransport!$J$2:$J$675,EIAwtransport!$E$2:$E$675,Program_data!$E77,EIAwtransport!$I$2:$I$675,Program_data!T$2)</f>
        <v>814853</v>
      </c>
      <c r="U77" s="24">
        <f t="shared" ref="U77:U84" si="43">IFERROR(K77/10.36/S77,"")</f>
        <v>4.8498536870503672E-4</v>
      </c>
      <c r="V77" s="24">
        <f t="shared" si="31"/>
        <v>5.3887263189448522E-4</v>
      </c>
      <c r="W77" s="24">
        <f t="shared" ref="W77:W84" si="44">IFERROR(M77/R77,"")</f>
        <v>2.1735278687723797E-3</v>
      </c>
      <c r="X77" s="25">
        <f t="shared" ref="X77:X84" si="45">IFERROR(M77/S77/10.36,"")</f>
        <v>1.2602810521503112E-3</v>
      </c>
      <c r="Y77" s="8">
        <f t="shared" si="34"/>
        <v>0.74450727758584589</v>
      </c>
      <c r="Z77" s="27">
        <f t="shared" si="35"/>
        <v>0.36716650166266085</v>
      </c>
      <c r="AA77" s="27"/>
      <c r="AB77" s="27"/>
      <c r="AC77" s="56">
        <f t="shared" si="36"/>
        <v>5.2344973460527695E-2</v>
      </c>
      <c r="AD77" s="20">
        <f t="shared" si="18"/>
        <v>2743188.4496294926</v>
      </c>
      <c r="AE77" s="20">
        <f t="shared" si="37"/>
        <v>0</v>
      </c>
      <c r="AF77" s="20">
        <f t="shared" si="38"/>
        <v>1262090304.45</v>
      </c>
      <c r="AG77">
        <f t="shared" si="39"/>
        <v>82480868.640000001</v>
      </c>
      <c r="AH77">
        <f t="shared" si="40"/>
        <v>91645409.600000009</v>
      </c>
      <c r="AI77">
        <f t="shared" si="41"/>
        <v>16415905140</v>
      </c>
    </row>
    <row r="78" spans="2:35" x14ac:dyDescent="0.25">
      <c r="B78" s="4">
        <v>2022</v>
      </c>
      <c r="C78" s="4" t="s">
        <v>28</v>
      </c>
      <c r="D78" s="4" t="s">
        <v>169</v>
      </c>
      <c r="E78" s="4" t="str">
        <f t="shared" si="42"/>
        <v>Ameren-IL</v>
      </c>
      <c r="F78" s="4" t="s">
        <v>146</v>
      </c>
      <c r="G78" s="4"/>
      <c r="H78" s="4" t="s">
        <v>171</v>
      </c>
      <c r="I78" s="4" t="s">
        <v>167</v>
      </c>
      <c r="J78" s="4" t="s">
        <v>155</v>
      </c>
      <c r="K78" s="5">
        <v>0</v>
      </c>
      <c r="L78" s="5">
        <f>K78/_xlfn.XLOOKUP(C78,'Utility target list'!$K$2:$K$8,'Utility target list'!$L$2:$L$8,1,0,1)</f>
        <v>0</v>
      </c>
      <c r="M78" s="8">
        <v>0</v>
      </c>
      <c r="N78" s="8"/>
      <c r="O78" s="8">
        <f>SUMIFS(EIAwtransport!$J$2:$J$675,EIAwtransport!$E$2:$E$675,Program_data!$E78,EIAwtransport!$H$2:$H$675,Program_data!$F78,EIAwtransport!$I$2:$I$675,Program_data!O$2)</f>
        <v>278274544</v>
      </c>
      <c r="P78" s="5">
        <f>SUMIFS(EIAwtransport!$J$2:$J$675,EIAwtransport!$E$2:$E$675,Program_data!$E78,EIAwtransport!$H$2:$H$675,Program_data!$F78,EIAwtransport!$I$2:$I$675,Program_data!P$2)</f>
        <v>103403271</v>
      </c>
      <c r="Q78" s="5">
        <f>SUMIFS(EIAwtransport!$J$2:$J$675,EIAwtransport!$E$2:$E$675,Program_data!$E78,EIAwtransport!$H$2:$H$675,Program_data!$F78,EIAwtransport!$I$2:$I$675,Program_data!Q$2)</f>
        <v>68751</v>
      </c>
      <c r="R78" s="8">
        <f>SUMIFS(EIAwtransport!$J$2:$J$675,EIAwtransport!$E$2:$E$675,Program_data!$E78,EIAwtransport!$I$2:$I$675,Program_data!R$2)</f>
        <v>934881707</v>
      </c>
      <c r="S78" s="5">
        <f>SUMIFS(EIAwtransport!$J$2:$J$675,EIAwtransport!$E$2:$E$675,Program_data!$E78,EIAwtransport!$I$2:$I$675,Program_data!S$2)</f>
        <v>155630500</v>
      </c>
      <c r="T78" s="5">
        <f>SUMIFS(EIAwtransport!$J$2:$J$675,EIAwtransport!$E$2:$E$675,Program_data!$E78,EIAwtransport!$I$2:$I$675,Program_data!T$2)</f>
        <v>814853</v>
      </c>
      <c r="U78" s="24">
        <f t="shared" si="43"/>
        <v>0</v>
      </c>
      <c r="V78" s="24">
        <f t="shared" si="31"/>
        <v>0</v>
      </c>
      <c r="W78" s="24">
        <f t="shared" si="44"/>
        <v>0</v>
      </c>
      <c r="X78" s="25">
        <f t="shared" si="45"/>
        <v>0</v>
      </c>
      <c r="Y78" s="8">
        <f t="shared" si="34"/>
        <v>0</v>
      </c>
      <c r="Z78" s="27">
        <f t="shared" si="35"/>
        <v>0</v>
      </c>
      <c r="AA78" s="27"/>
      <c r="AB78" s="27"/>
      <c r="AC78" s="56">
        <f t="shared" si="36"/>
        <v>0</v>
      </c>
      <c r="AD78" s="20">
        <f t="shared" si="18"/>
        <v>0</v>
      </c>
      <c r="AE78" s="20">
        <f t="shared" si="37"/>
        <v>0</v>
      </c>
      <c r="AF78" s="20">
        <f t="shared" si="38"/>
        <v>1262090304.45</v>
      </c>
      <c r="AG78">
        <f t="shared" si="39"/>
        <v>0</v>
      </c>
      <c r="AH78">
        <f t="shared" si="40"/>
        <v>0</v>
      </c>
      <c r="AI78">
        <f t="shared" si="41"/>
        <v>16415905140</v>
      </c>
    </row>
    <row r="79" spans="2:35" x14ac:dyDescent="0.25">
      <c r="B79" s="4">
        <v>2022</v>
      </c>
      <c r="C79" s="4" t="s">
        <v>28</v>
      </c>
      <c r="D79" s="4" t="s">
        <v>169</v>
      </c>
      <c r="E79" s="4" t="str">
        <f t="shared" si="42"/>
        <v>Ameren-IL</v>
      </c>
      <c r="F79" s="4" t="s">
        <v>146</v>
      </c>
      <c r="G79" s="4"/>
      <c r="H79" s="4" t="s">
        <v>172</v>
      </c>
      <c r="I79" s="4"/>
      <c r="J79" s="4" t="s">
        <v>75</v>
      </c>
      <c r="K79" s="5">
        <v>20546.296928327643</v>
      </c>
      <c r="L79" s="5">
        <f>K79/_xlfn.XLOOKUP(C79,'Utility target list'!$K$2:$K$8,'Utility target list'!$L$2:$L$8,1,0,1)</f>
        <v>22829.218809252936</v>
      </c>
      <c r="M79" s="8">
        <v>259927.45208784795</v>
      </c>
      <c r="N79" s="8"/>
      <c r="O79" s="8">
        <f>SUMIFS(EIAwtransport!$J$2:$J$675,EIAwtransport!$E$2:$E$675,Program_data!$E79,EIAwtransport!$H$2:$H$675,Program_data!$F79,EIAwtransport!$I$2:$I$675,Program_data!O$2)</f>
        <v>278274544</v>
      </c>
      <c r="P79" s="5">
        <f>SUMIFS(EIAwtransport!$J$2:$J$675,EIAwtransport!$E$2:$E$675,Program_data!$E79,EIAwtransport!$H$2:$H$675,Program_data!$F79,EIAwtransport!$I$2:$I$675,Program_data!P$2)</f>
        <v>103403271</v>
      </c>
      <c r="Q79" s="5">
        <f>SUMIFS(EIAwtransport!$J$2:$J$675,EIAwtransport!$E$2:$E$675,Program_data!$E79,EIAwtransport!$H$2:$H$675,Program_data!$F79,EIAwtransport!$I$2:$I$675,Program_data!Q$2)</f>
        <v>68751</v>
      </c>
      <c r="R79" s="8">
        <f>SUMIFS(EIAwtransport!$J$2:$J$675,EIAwtransport!$E$2:$E$675,Program_data!$E79,EIAwtransport!$I$2:$I$675,Program_data!R$2)</f>
        <v>934881707</v>
      </c>
      <c r="S79" s="5">
        <f>SUMIFS(EIAwtransport!$J$2:$J$675,EIAwtransport!$E$2:$E$675,Program_data!$E79,EIAwtransport!$I$2:$I$675,Program_data!S$2)</f>
        <v>155630500</v>
      </c>
      <c r="T79" s="5">
        <f>SUMIFS(EIAwtransport!$J$2:$J$675,EIAwtransport!$E$2:$E$675,Program_data!$E79,EIAwtransport!$I$2:$I$675,Program_data!T$2)</f>
        <v>814853</v>
      </c>
      <c r="U79" s="24">
        <f t="shared" si="43"/>
        <v>1.2743217391450391E-5</v>
      </c>
      <c r="V79" s="24">
        <f t="shared" si="31"/>
        <v>1.4159130434944879E-5</v>
      </c>
      <c r="W79" s="24">
        <f t="shared" si="44"/>
        <v>2.7803245067436962E-4</v>
      </c>
      <c r="X79" s="25">
        <f t="shared" si="45"/>
        <v>1.6121211717691537E-4</v>
      </c>
      <c r="Y79" s="8">
        <f t="shared" si="34"/>
        <v>9.5235578023211184E-2</v>
      </c>
      <c r="Z79" s="27">
        <f t="shared" si="35"/>
        <v>4.6967054680767589E-2</v>
      </c>
      <c r="AA79" s="27"/>
      <c r="AB79" s="27"/>
      <c r="AC79" s="56">
        <f t="shared" si="36"/>
        <v>1.3753886595347885E-3</v>
      </c>
      <c r="AD79" s="20">
        <f t="shared" si="18"/>
        <v>350902.06031859474</v>
      </c>
      <c r="AE79" s="20">
        <f t="shared" si="37"/>
        <v>0</v>
      </c>
      <c r="AF79" s="20">
        <f t="shared" si="38"/>
        <v>1262090304.45</v>
      </c>
      <c r="AG79">
        <f t="shared" si="39"/>
        <v>2167223.4</v>
      </c>
      <c r="AH79">
        <f t="shared" si="40"/>
        <v>2408026</v>
      </c>
      <c r="AI79">
        <f t="shared" si="41"/>
        <v>16415905140</v>
      </c>
    </row>
    <row r="80" spans="2:35" x14ac:dyDescent="0.25">
      <c r="B80" s="4">
        <v>2022</v>
      </c>
      <c r="C80" s="4" t="s">
        <v>28</v>
      </c>
      <c r="D80" s="4" t="s">
        <v>169</v>
      </c>
      <c r="E80" s="4" t="str">
        <f t="shared" si="42"/>
        <v>Ameren-IL</v>
      </c>
      <c r="F80" s="4" t="s">
        <v>146</v>
      </c>
      <c r="G80" s="4"/>
      <c r="H80" s="4" t="s">
        <v>173</v>
      </c>
      <c r="I80" s="4" t="s">
        <v>167</v>
      </c>
      <c r="J80" s="4" t="s">
        <v>155</v>
      </c>
      <c r="K80" s="5">
        <v>0</v>
      </c>
      <c r="L80" s="5">
        <f>K80/_xlfn.XLOOKUP(C80,'Utility target list'!$K$2:$K$8,'Utility target list'!$L$2:$L$8,1,0,1)</f>
        <v>0</v>
      </c>
      <c r="M80" s="8">
        <v>0</v>
      </c>
      <c r="N80" s="8"/>
      <c r="O80" s="8">
        <f>SUMIFS(EIAwtransport!$J$2:$J$675,EIAwtransport!$E$2:$E$675,Program_data!$E80,EIAwtransport!$H$2:$H$675,Program_data!$F80,EIAwtransport!$I$2:$I$675,Program_data!O$2)</f>
        <v>278274544</v>
      </c>
      <c r="P80" s="5">
        <f>SUMIFS(EIAwtransport!$J$2:$J$675,EIAwtransport!$E$2:$E$675,Program_data!$E80,EIAwtransport!$H$2:$H$675,Program_data!$F80,EIAwtransport!$I$2:$I$675,Program_data!P$2)</f>
        <v>103403271</v>
      </c>
      <c r="Q80" s="5">
        <f>SUMIFS(EIAwtransport!$J$2:$J$675,EIAwtransport!$E$2:$E$675,Program_data!$E80,EIAwtransport!$H$2:$H$675,Program_data!$F80,EIAwtransport!$I$2:$I$675,Program_data!Q$2)</f>
        <v>68751</v>
      </c>
      <c r="R80" s="8">
        <f>SUMIFS(EIAwtransport!$J$2:$J$675,EIAwtransport!$E$2:$E$675,Program_data!$E80,EIAwtransport!$I$2:$I$675,Program_data!R$2)</f>
        <v>934881707</v>
      </c>
      <c r="S80" s="5">
        <f>SUMIFS(EIAwtransport!$J$2:$J$675,EIAwtransport!$E$2:$E$675,Program_data!$E80,EIAwtransport!$I$2:$I$675,Program_data!S$2)</f>
        <v>155630500</v>
      </c>
      <c r="T80" s="5">
        <f>SUMIFS(EIAwtransport!$J$2:$J$675,EIAwtransport!$E$2:$E$675,Program_data!$E80,EIAwtransport!$I$2:$I$675,Program_data!T$2)</f>
        <v>814853</v>
      </c>
      <c r="U80" s="24">
        <f t="shared" si="43"/>
        <v>0</v>
      </c>
      <c r="V80" s="24">
        <f t="shared" si="31"/>
        <v>0</v>
      </c>
      <c r="W80" s="24">
        <f t="shared" si="44"/>
        <v>0</v>
      </c>
      <c r="X80" s="25">
        <f t="shared" si="45"/>
        <v>0</v>
      </c>
      <c r="Y80" s="8">
        <f t="shared" si="34"/>
        <v>0</v>
      </c>
      <c r="Z80" s="27">
        <f t="shared" si="35"/>
        <v>0</v>
      </c>
      <c r="AA80" s="27"/>
      <c r="AB80" s="27"/>
      <c r="AC80" s="56">
        <f t="shared" si="36"/>
        <v>0</v>
      </c>
      <c r="AD80" s="20">
        <f t="shared" si="18"/>
        <v>0</v>
      </c>
      <c r="AE80" s="20">
        <f t="shared" si="37"/>
        <v>0</v>
      </c>
      <c r="AF80" s="20">
        <f t="shared" si="38"/>
        <v>1262090304.45</v>
      </c>
      <c r="AG80">
        <f t="shared" si="39"/>
        <v>0</v>
      </c>
      <c r="AH80">
        <f t="shared" si="40"/>
        <v>0</v>
      </c>
      <c r="AI80">
        <f t="shared" si="41"/>
        <v>16415905140</v>
      </c>
    </row>
    <row r="81" spans="2:35" x14ac:dyDescent="0.25">
      <c r="B81" s="4">
        <v>2022</v>
      </c>
      <c r="C81" s="4" t="s">
        <v>28</v>
      </c>
      <c r="D81" s="4" t="s">
        <v>169</v>
      </c>
      <c r="E81" s="4" t="str">
        <f t="shared" si="42"/>
        <v>Ameren-IL</v>
      </c>
      <c r="F81" s="4" t="s">
        <v>146</v>
      </c>
      <c r="G81" s="4"/>
      <c r="H81" s="4" t="s">
        <v>174</v>
      </c>
      <c r="I81" s="4"/>
      <c r="J81" s="4" t="s">
        <v>142</v>
      </c>
      <c r="K81" s="5">
        <v>32350.38466</v>
      </c>
      <c r="L81" s="5">
        <f>K81/_xlfn.XLOOKUP(C81,'Utility target list'!$K$2:$K$8,'Utility target list'!$L$2:$L$8,1,0,1)</f>
        <v>35944.871844444446</v>
      </c>
      <c r="M81" s="8">
        <v>86519.939999999988</v>
      </c>
      <c r="N81" s="8"/>
      <c r="O81" s="8">
        <f>SUMIFS(EIAwtransport!$J$2:$J$675,EIAwtransport!$E$2:$E$675,Program_data!$E81,EIAwtransport!$H$2:$H$675,Program_data!$F81,EIAwtransport!$I$2:$I$675,Program_data!O$2)</f>
        <v>278274544</v>
      </c>
      <c r="P81" s="5">
        <f>SUMIFS(EIAwtransport!$J$2:$J$675,EIAwtransport!$E$2:$E$675,Program_data!$E81,EIAwtransport!$H$2:$H$675,Program_data!$F81,EIAwtransport!$I$2:$I$675,Program_data!P$2)</f>
        <v>103403271</v>
      </c>
      <c r="Q81" s="5">
        <f>SUMIFS(EIAwtransport!$J$2:$J$675,EIAwtransport!$E$2:$E$675,Program_data!$E81,EIAwtransport!$H$2:$H$675,Program_data!$F81,EIAwtransport!$I$2:$I$675,Program_data!Q$2)</f>
        <v>68751</v>
      </c>
      <c r="R81" s="8">
        <f>SUMIFS(EIAwtransport!$J$2:$J$675,EIAwtransport!$E$2:$E$675,Program_data!$E81,EIAwtransport!$I$2:$I$675,Program_data!R$2)</f>
        <v>934881707</v>
      </c>
      <c r="S81" s="5">
        <f>SUMIFS(EIAwtransport!$J$2:$J$675,EIAwtransport!$E$2:$E$675,Program_data!$E81,EIAwtransport!$I$2:$I$675,Program_data!S$2)</f>
        <v>155630500</v>
      </c>
      <c r="T81" s="5">
        <f>SUMIFS(EIAwtransport!$J$2:$J$675,EIAwtransport!$E$2:$E$675,Program_data!$E81,EIAwtransport!$I$2:$I$675,Program_data!T$2)</f>
        <v>814853</v>
      </c>
      <c r="U81" s="24">
        <f t="shared" si="43"/>
        <v>2.0064344726326148E-5</v>
      </c>
      <c r="V81" s="24">
        <f t="shared" si="31"/>
        <v>2.2293716362584613E-5</v>
      </c>
      <c r="W81" s="24">
        <f t="shared" si="44"/>
        <v>9.2546403841443431E-5</v>
      </c>
      <c r="X81" s="25">
        <f t="shared" si="45"/>
        <v>5.3661368175554016E-5</v>
      </c>
      <c r="Y81" s="8">
        <f t="shared" si="34"/>
        <v>3.1700293409750127E-2</v>
      </c>
      <c r="Z81" s="27">
        <f t="shared" si="35"/>
        <v>1.5633542053047001E-2</v>
      </c>
      <c r="AA81" s="27"/>
      <c r="AB81" s="27"/>
      <c r="AC81" s="56">
        <f t="shared" si="36"/>
        <v>2.1655655200624895E-3</v>
      </c>
      <c r="AD81" s="20">
        <f t="shared" si="18"/>
        <v>116801.91899999999</v>
      </c>
      <c r="AE81" s="20">
        <f t="shared" si="37"/>
        <v>0</v>
      </c>
      <c r="AF81" s="20">
        <f t="shared" si="38"/>
        <v>1262090304.45</v>
      </c>
      <c r="AG81">
        <f t="shared" si="39"/>
        <v>3412318.5739368</v>
      </c>
      <c r="AH81">
        <f t="shared" si="40"/>
        <v>3791465.0821520002</v>
      </c>
      <c r="AI81">
        <f t="shared" si="41"/>
        <v>16415905140</v>
      </c>
    </row>
    <row r="82" spans="2:35" x14ac:dyDescent="0.25">
      <c r="B82" s="4">
        <v>2022</v>
      </c>
      <c r="C82" s="4" t="s">
        <v>28</v>
      </c>
      <c r="D82" s="4" t="s">
        <v>169</v>
      </c>
      <c r="E82" s="4" t="str">
        <f t="shared" si="42"/>
        <v>Ameren-IL</v>
      </c>
      <c r="F82" s="4" t="s">
        <v>146</v>
      </c>
      <c r="G82" s="4"/>
      <c r="H82" s="4" t="s">
        <v>175</v>
      </c>
      <c r="I82" s="4"/>
      <c r="J82" s="4" t="s">
        <v>142</v>
      </c>
      <c r="K82" s="5">
        <v>26241</v>
      </c>
      <c r="L82" s="5">
        <f>K82/_xlfn.XLOOKUP(C82,'Utility target list'!$K$2:$K$8,'Utility target list'!$L$2:$L$8,1,0,1)</f>
        <v>29156.666666666664</v>
      </c>
      <c r="M82" s="8">
        <v>44786.865039096549</v>
      </c>
      <c r="N82" s="8"/>
      <c r="O82" s="8">
        <f>SUMIFS(EIAwtransport!$J$2:$J$675,EIAwtransport!$E$2:$E$675,Program_data!$E82,EIAwtransport!$H$2:$H$675,Program_data!$F82,EIAwtransport!$I$2:$I$675,Program_data!O$2)</f>
        <v>278274544</v>
      </c>
      <c r="P82" s="5">
        <f>SUMIFS(EIAwtransport!$J$2:$J$675,EIAwtransport!$E$2:$E$675,Program_data!$E82,EIAwtransport!$H$2:$H$675,Program_data!$F82,EIAwtransport!$I$2:$I$675,Program_data!P$2)</f>
        <v>103403271</v>
      </c>
      <c r="Q82" s="5">
        <f>SUMIFS(EIAwtransport!$J$2:$J$675,EIAwtransport!$E$2:$E$675,Program_data!$E82,EIAwtransport!$H$2:$H$675,Program_data!$F82,EIAwtransport!$I$2:$I$675,Program_data!Q$2)</f>
        <v>68751</v>
      </c>
      <c r="R82" s="8">
        <f>SUMIFS(EIAwtransport!$J$2:$J$675,EIAwtransport!$E$2:$E$675,Program_data!$E82,EIAwtransport!$I$2:$I$675,Program_data!R$2)</f>
        <v>934881707</v>
      </c>
      <c r="S82" s="5">
        <f>SUMIFS(EIAwtransport!$J$2:$J$675,EIAwtransport!$E$2:$E$675,Program_data!$E82,EIAwtransport!$I$2:$I$675,Program_data!S$2)</f>
        <v>155630500</v>
      </c>
      <c r="T82" s="5">
        <f>SUMIFS(EIAwtransport!$J$2:$J$675,EIAwtransport!$E$2:$E$675,Program_data!$E82,EIAwtransport!$I$2:$I$675,Program_data!T$2)</f>
        <v>814853</v>
      </c>
      <c r="U82" s="24">
        <f t="shared" si="43"/>
        <v>1.6275184221056015E-5</v>
      </c>
      <c r="V82" s="24">
        <f t="shared" si="31"/>
        <v>1.808353802339557E-5</v>
      </c>
      <c r="W82" s="24">
        <f t="shared" si="44"/>
        <v>4.7906451376416277E-5</v>
      </c>
      <c r="X82" s="25">
        <f t="shared" si="45"/>
        <v>2.7777694416937976E-5</v>
      </c>
      <c r="Y82" s="8">
        <f t="shared" si="34"/>
        <v>1.6409590235987693E-2</v>
      </c>
      <c r="Z82" s="27">
        <f t="shared" si="35"/>
        <v>8.0926701753706309E-3</v>
      </c>
      <c r="AA82" s="27"/>
      <c r="AB82" s="27"/>
      <c r="AC82" s="56">
        <f t="shared" si="36"/>
        <v>1.7565974998196448E-3</v>
      </c>
      <c r="AD82" s="20">
        <f t="shared" ref="AD82:AD147" si="46">M82*1.35</f>
        <v>60462.267802780341</v>
      </c>
      <c r="AE82" s="20">
        <f t="shared" si="37"/>
        <v>0</v>
      </c>
      <c r="AF82" s="20">
        <f t="shared" si="38"/>
        <v>1262090304.45</v>
      </c>
      <c r="AG82">
        <f t="shared" si="39"/>
        <v>2767900.68</v>
      </c>
      <c r="AH82">
        <f t="shared" si="40"/>
        <v>3075445.1999999997</v>
      </c>
      <c r="AI82">
        <f t="shared" si="41"/>
        <v>16415905140</v>
      </c>
    </row>
    <row r="83" spans="2:35" x14ac:dyDescent="0.25">
      <c r="B83" s="4">
        <v>2022</v>
      </c>
      <c r="C83" s="4" t="s">
        <v>28</v>
      </c>
      <c r="D83" s="4" t="s">
        <v>169</v>
      </c>
      <c r="E83" s="4" t="str">
        <f t="shared" si="42"/>
        <v>Ameren-IL</v>
      </c>
      <c r="F83" s="4" t="s">
        <v>146</v>
      </c>
      <c r="G83" s="4"/>
      <c r="H83" s="4" t="s">
        <v>61</v>
      </c>
      <c r="I83" s="4"/>
      <c r="J83" s="4" t="s">
        <v>176</v>
      </c>
      <c r="K83" s="5">
        <v>1819597.2832764506</v>
      </c>
      <c r="L83" s="5">
        <f>K83/_xlfn.XLOOKUP(C83,'Utility target list'!$K$2:$K$8,'Utility target list'!$L$2:$L$8,1,0,1)</f>
        <v>2021774.7591960561</v>
      </c>
      <c r="M83" s="8">
        <v>2797652.0926206694</v>
      </c>
      <c r="N83" s="8"/>
      <c r="O83" s="8">
        <f>SUMIFS(EIAwtransport!$J$2:$J$675,EIAwtransport!$E$2:$E$675,Program_data!$E83,EIAwtransport!$H$2:$H$675,Program_data!$F83,EIAwtransport!$I$2:$I$675,Program_data!O$2)</f>
        <v>278274544</v>
      </c>
      <c r="P83" s="5">
        <f>SUMIFS(EIAwtransport!$J$2:$J$675,EIAwtransport!$E$2:$E$675,Program_data!$E83,EIAwtransport!$H$2:$H$675,Program_data!$F83,EIAwtransport!$I$2:$I$675,Program_data!P$2)</f>
        <v>103403271</v>
      </c>
      <c r="Q83" s="5">
        <f>SUMIFS(EIAwtransport!$J$2:$J$675,EIAwtransport!$E$2:$E$675,Program_data!$E83,EIAwtransport!$H$2:$H$675,Program_data!$F83,EIAwtransport!$I$2:$I$675,Program_data!Q$2)</f>
        <v>68751</v>
      </c>
      <c r="R83" s="8">
        <f>SUMIFS(EIAwtransport!$J$2:$J$675,EIAwtransport!$E$2:$E$675,Program_data!$E83,EIAwtransport!$I$2:$I$675,Program_data!R$2)</f>
        <v>934881707</v>
      </c>
      <c r="S83" s="5">
        <f>SUMIFS(EIAwtransport!$J$2:$J$675,EIAwtransport!$E$2:$E$675,Program_data!$E83,EIAwtransport!$I$2:$I$675,Program_data!S$2)</f>
        <v>155630500</v>
      </c>
      <c r="T83" s="5">
        <f>SUMIFS(EIAwtransport!$J$2:$J$675,EIAwtransport!$E$2:$E$675,Program_data!$E83,EIAwtransport!$I$2:$I$675,Program_data!T$2)</f>
        <v>814853</v>
      </c>
      <c r="U83" s="24">
        <f t="shared" si="43"/>
        <v>1.1285500168994047E-3</v>
      </c>
      <c r="V83" s="24">
        <f t="shared" si="31"/>
        <v>1.2539444632215608E-3</v>
      </c>
      <c r="W83" s="24">
        <f t="shared" si="44"/>
        <v>2.9925198789034274E-3</v>
      </c>
      <c r="X83" s="25">
        <f t="shared" si="45"/>
        <v>1.7351588427965497E-3</v>
      </c>
      <c r="Y83" s="8">
        <f t="shared" si="34"/>
        <v>1.0250399179018925</v>
      </c>
      <c r="Z83" s="27">
        <f t="shared" si="35"/>
        <v>0.50551597284718619</v>
      </c>
      <c r="AA83" s="27"/>
      <c r="AB83" s="27"/>
      <c r="AC83" s="56">
        <f t="shared" si="36"/>
        <v>0.12180557290050041</v>
      </c>
      <c r="AD83" s="20">
        <f t="shared" si="46"/>
        <v>3776830.3250379041</v>
      </c>
      <c r="AE83" s="20">
        <f t="shared" si="37"/>
        <v>0</v>
      </c>
      <c r="AF83" s="20">
        <f t="shared" si="38"/>
        <v>1262090304.45</v>
      </c>
      <c r="AG83">
        <f t="shared" si="39"/>
        <v>191931121.44000003</v>
      </c>
      <c r="AH83">
        <f t="shared" si="40"/>
        <v>213256801.59999999</v>
      </c>
      <c r="AI83">
        <f t="shared" si="41"/>
        <v>16415905140</v>
      </c>
    </row>
    <row r="84" spans="2:35" x14ac:dyDescent="0.25">
      <c r="B84" s="4">
        <v>2022</v>
      </c>
      <c r="C84" s="4" t="s">
        <v>28</v>
      </c>
      <c r="D84" s="4" t="s">
        <v>169</v>
      </c>
      <c r="E84" s="4" t="str">
        <f t="shared" si="42"/>
        <v>Ameren-IL</v>
      </c>
      <c r="F84" s="4" t="s">
        <v>146</v>
      </c>
      <c r="G84" s="4"/>
      <c r="H84" s="4" t="s">
        <v>177</v>
      </c>
      <c r="I84" s="4"/>
      <c r="J84" s="4" t="s">
        <v>71</v>
      </c>
      <c r="K84" s="5">
        <v>48618</v>
      </c>
      <c r="L84" s="5">
        <f>K84/_xlfn.XLOOKUP(C84,'Utility target list'!$K$2:$K$8,'Utility target list'!$L$2:$L$8,1,0,1)</f>
        <v>54020</v>
      </c>
      <c r="M84" s="8">
        <v>347761.87837982504</v>
      </c>
      <c r="N84" s="8"/>
      <c r="O84" s="8">
        <f>SUMIFS(EIAwtransport!$J$2:$J$675,EIAwtransport!$E$2:$E$675,Program_data!$E84,EIAwtransport!$H$2:$H$675,Program_data!$F84,EIAwtransport!$I$2:$I$675,Program_data!O$2)</f>
        <v>278274544</v>
      </c>
      <c r="P84" s="5">
        <f>SUMIFS(EIAwtransport!$J$2:$J$675,EIAwtransport!$E$2:$E$675,Program_data!$E84,EIAwtransport!$H$2:$H$675,Program_data!$F84,EIAwtransport!$I$2:$I$675,Program_data!P$2)</f>
        <v>103403271</v>
      </c>
      <c r="Q84" s="5">
        <f>SUMIFS(EIAwtransport!$J$2:$J$675,EIAwtransport!$E$2:$E$675,Program_data!$E84,EIAwtransport!$H$2:$H$675,Program_data!$F84,EIAwtransport!$I$2:$I$675,Program_data!Q$2)</f>
        <v>68751</v>
      </c>
      <c r="R84" s="8">
        <f>SUMIFS(EIAwtransport!$J$2:$J$675,EIAwtransport!$E$2:$E$675,Program_data!$E84,EIAwtransport!$I$2:$I$675,Program_data!R$2)</f>
        <v>934881707</v>
      </c>
      <c r="S84" s="5">
        <f>SUMIFS(EIAwtransport!$J$2:$J$675,EIAwtransport!$E$2:$E$675,Program_data!$E84,EIAwtransport!$I$2:$I$675,Program_data!S$2)</f>
        <v>155630500</v>
      </c>
      <c r="T84" s="5">
        <f>SUMIFS(EIAwtransport!$J$2:$J$675,EIAwtransport!$E$2:$E$675,Program_data!$E84,EIAwtransport!$I$2:$I$675,Program_data!T$2)</f>
        <v>814853</v>
      </c>
      <c r="U84" s="24">
        <f t="shared" si="43"/>
        <v>3.0153839657760805E-5</v>
      </c>
      <c r="V84" s="24">
        <f t="shared" si="31"/>
        <v>3.3504266286400898E-5</v>
      </c>
      <c r="W84" s="24">
        <f t="shared" si="44"/>
        <v>3.7198490009584178E-4</v>
      </c>
      <c r="X84" s="25">
        <f t="shared" si="45"/>
        <v>2.1568875559971527E-4</v>
      </c>
      <c r="Y84" s="8">
        <f t="shared" si="34"/>
        <v>0.12741748990309396</v>
      </c>
      <c r="Z84" s="27">
        <f t="shared" si="35"/>
        <v>6.28381151223361E-2</v>
      </c>
      <c r="AA84" s="27"/>
      <c r="AB84" s="27"/>
      <c r="AC84" s="56">
        <f t="shared" si="36"/>
        <v>3.2545351642937195E-3</v>
      </c>
      <c r="AD84" s="20">
        <f t="shared" si="46"/>
        <v>469478.53581276385</v>
      </c>
      <c r="AE84" s="20">
        <f t="shared" si="37"/>
        <v>0</v>
      </c>
      <c r="AF84" s="20">
        <f t="shared" si="38"/>
        <v>1262090304.45</v>
      </c>
      <c r="AG84">
        <f t="shared" si="39"/>
        <v>5128226.6400000006</v>
      </c>
      <c r="AH84">
        <f t="shared" si="40"/>
        <v>5698029.6000000006</v>
      </c>
      <c r="AI84">
        <f t="shared" si="41"/>
        <v>16415905140</v>
      </c>
    </row>
    <row r="85" spans="2:35" x14ac:dyDescent="0.25">
      <c r="B85" s="4">
        <v>2022</v>
      </c>
      <c r="C85" s="4" t="s">
        <v>28</v>
      </c>
      <c r="D85" s="4" t="s">
        <v>169</v>
      </c>
      <c r="E85" s="4" t="str">
        <f t="shared" si="42"/>
        <v>Ameren-IL</v>
      </c>
      <c r="F85" s="4" t="s">
        <v>146</v>
      </c>
      <c r="G85" s="4"/>
      <c r="H85" s="4" t="s">
        <v>178</v>
      </c>
      <c r="I85" s="4" t="s">
        <v>167</v>
      </c>
      <c r="J85" s="4" t="s">
        <v>155</v>
      </c>
      <c r="K85" s="5">
        <v>0</v>
      </c>
      <c r="L85" s="5">
        <f>K85/_xlfn.XLOOKUP(C85,'Utility target list'!$K$2:$K$8,'Utility target list'!$L$2:$L$8,1,0,1)</f>
        <v>0</v>
      </c>
      <c r="M85" s="8">
        <v>0</v>
      </c>
      <c r="N85" s="8"/>
      <c r="O85" s="8">
        <f>SUMIFS(EIAwtransport!$J$2:$J$675,EIAwtransport!$E$2:$E$675,Program_data!$E85,EIAwtransport!$H$2:$H$675,Program_data!$F85,EIAwtransport!$I$2:$I$675,Program_data!O$2)</f>
        <v>278274544</v>
      </c>
      <c r="P85" s="5">
        <f>SUMIFS(EIAwtransport!$J$2:$J$675,EIAwtransport!$E$2:$E$675,Program_data!$E85,EIAwtransport!$H$2:$H$675,Program_data!$F85,EIAwtransport!$I$2:$I$675,Program_data!P$2)</f>
        <v>103403271</v>
      </c>
      <c r="Q85" s="5">
        <f>SUMIFS(EIAwtransport!$J$2:$J$675,EIAwtransport!$E$2:$E$675,Program_data!$E85,EIAwtransport!$H$2:$H$675,Program_data!$F85,EIAwtransport!$I$2:$I$675,Program_data!Q$2)</f>
        <v>68751</v>
      </c>
      <c r="R85" s="8">
        <f>SUMIFS(EIAwtransport!$J$2:$J$675,EIAwtransport!$E$2:$E$675,Program_data!$E85,EIAwtransport!$I$2:$I$675,Program_data!R$2)</f>
        <v>934881707</v>
      </c>
      <c r="S85" s="5">
        <f>SUMIFS(EIAwtransport!$J$2:$J$675,EIAwtransport!$E$2:$E$675,Program_data!$E85,EIAwtransport!$I$2:$I$675,Program_data!S$2)</f>
        <v>155630500</v>
      </c>
      <c r="T85" s="5">
        <f>SUMIFS(EIAwtransport!$J$2:$J$675,EIAwtransport!$E$2:$E$675,Program_data!$E85,EIAwtransport!$I$2:$I$675,Program_data!T$2)</f>
        <v>814853</v>
      </c>
      <c r="U85" s="24">
        <f t="shared" ref="U85:U116" si="47">IFERROR(K85/10.36/S85,"")</f>
        <v>0</v>
      </c>
      <c r="V85" s="24">
        <f t="shared" si="31"/>
        <v>0</v>
      </c>
      <c r="W85" s="24">
        <f t="shared" ref="W85:W116" si="48">IFERROR(M85/R85,"")</f>
        <v>0</v>
      </c>
      <c r="X85" s="25">
        <f t="shared" ref="X85:X116" si="49">IFERROR(M85/S85/10.36,"")</f>
        <v>0</v>
      </c>
      <c r="Y85" s="8">
        <f t="shared" si="34"/>
        <v>0</v>
      </c>
      <c r="Z85" s="27">
        <f t="shared" si="35"/>
        <v>0</v>
      </c>
      <c r="AA85" s="27"/>
      <c r="AB85" s="27"/>
      <c r="AC85" s="56">
        <f t="shared" si="36"/>
        <v>0</v>
      </c>
      <c r="AD85" s="20">
        <f t="shared" si="46"/>
        <v>0</v>
      </c>
      <c r="AE85" s="20">
        <f t="shared" si="37"/>
        <v>0</v>
      </c>
      <c r="AF85" s="20">
        <f t="shared" si="38"/>
        <v>1262090304.45</v>
      </c>
      <c r="AG85">
        <f t="shared" si="39"/>
        <v>0</v>
      </c>
      <c r="AH85">
        <f t="shared" si="40"/>
        <v>0</v>
      </c>
      <c r="AI85">
        <f t="shared" si="41"/>
        <v>16415905140</v>
      </c>
    </row>
    <row r="86" spans="2:35" x14ac:dyDescent="0.25">
      <c r="B86" s="4">
        <v>2022</v>
      </c>
      <c r="C86" s="4" t="s">
        <v>28</v>
      </c>
      <c r="D86" s="4" t="s">
        <v>169</v>
      </c>
      <c r="E86" s="4" t="str">
        <f t="shared" si="42"/>
        <v>Ameren-IL</v>
      </c>
      <c r="F86" s="4" t="s">
        <v>146</v>
      </c>
      <c r="G86" s="4"/>
      <c r="H86" s="4" t="s">
        <v>179</v>
      </c>
      <c r="I86" s="4" t="s">
        <v>167</v>
      </c>
      <c r="J86" s="4" t="s">
        <v>155</v>
      </c>
      <c r="K86" s="5"/>
      <c r="L86" s="5">
        <f>K86/_xlfn.XLOOKUP(C86,'Utility target list'!$K$2:$K$8,'Utility target list'!$L$2:$L$8,1,0,1)</f>
        <v>0</v>
      </c>
      <c r="M86" s="8">
        <v>70668.612800000046</v>
      </c>
      <c r="N86" s="8"/>
      <c r="O86" s="8">
        <f>SUMIFS(EIAwtransport!$J$2:$J$675,EIAwtransport!$E$2:$E$675,Program_data!$E86,EIAwtransport!$H$2:$H$675,Program_data!$F86,EIAwtransport!$I$2:$I$675,Program_data!O$2)</f>
        <v>278274544</v>
      </c>
      <c r="P86" s="5">
        <f>SUMIFS(EIAwtransport!$J$2:$J$675,EIAwtransport!$E$2:$E$675,Program_data!$E86,EIAwtransport!$H$2:$H$675,Program_data!$F86,EIAwtransport!$I$2:$I$675,Program_data!P$2)</f>
        <v>103403271</v>
      </c>
      <c r="Q86" s="5">
        <f>SUMIFS(EIAwtransport!$J$2:$J$675,EIAwtransport!$E$2:$E$675,Program_data!$E86,EIAwtransport!$H$2:$H$675,Program_data!$F86,EIAwtransport!$I$2:$I$675,Program_data!Q$2)</f>
        <v>68751</v>
      </c>
      <c r="R86" s="8">
        <f>SUMIFS(EIAwtransport!$J$2:$J$675,EIAwtransport!$E$2:$E$675,Program_data!$E86,EIAwtransport!$I$2:$I$675,Program_data!R$2)</f>
        <v>934881707</v>
      </c>
      <c r="S86" s="5">
        <f>SUMIFS(EIAwtransport!$J$2:$J$675,EIAwtransport!$E$2:$E$675,Program_data!$E86,EIAwtransport!$I$2:$I$675,Program_data!S$2)</f>
        <v>155630500</v>
      </c>
      <c r="T86" s="5">
        <f>SUMIFS(EIAwtransport!$J$2:$J$675,EIAwtransport!$E$2:$E$675,Program_data!$E86,EIAwtransport!$I$2:$I$675,Program_data!T$2)</f>
        <v>814853</v>
      </c>
      <c r="U86" s="24">
        <f t="shared" si="47"/>
        <v>0</v>
      </c>
      <c r="V86" s="24">
        <f t="shared" si="31"/>
        <v>0</v>
      </c>
      <c r="W86" s="24">
        <f t="shared" si="48"/>
        <v>7.5590967574681671E-5</v>
      </c>
      <c r="X86" s="25">
        <f t="shared" si="49"/>
        <v>4.3830063334723444E-5</v>
      </c>
      <c r="Y86" s="8">
        <f t="shared" si="34"/>
        <v>2.5892479359324861E-2</v>
      </c>
      <c r="Z86" s="27">
        <f t="shared" si="35"/>
        <v>1.2769319188608966E-2</v>
      </c>
      <c r="AA86" s="27"/>
      <c r="AB86" s="27"/>
      <c r="AC86" s="56">
        <f t="shared" si="36"/>
        <v>0</v>
      </c>
      <c r="AD86" s="20">
        <f t="shared" si="46"/>
        <v>95402.627280000073</v>
      </c>
      <c r="AE86" s="20">
        <f t="shared" si="37"/>
        <v>0</v>
      </c>
      <c r="AF86" s="20">
        <f t="shared" si="38"/>
        <v>1262090304.45</v>
      </c>
      <c r="AG86">
        <f t="shared" si="39"/>
        <v>0</v>
      </c>
      <c r="AH86">
        <f t="shared" si="40"/>
        <v>0</v>
      </c>
      <c r="AI86">
        <f t="shared" si="41"/>
        <v>16415905140</v>
      </c>
    </row>
    <row r="87" spans="2:35" x14ac:dyDescent="0.25">
      <c r="B87" s="4">
        <v>2022</v>
      </c>
      <c r="C87" s="4" t="s">
        <v>28</v>
      </c>
      <c r="D87" s="4" t="s">
        <v>169</v>
      </c>
      <c r="E87" s="4" t="str">
        <f t="shared" si="42"/>
        <v>Ameren-IL</v>
      </c>
      <c r="F87" s="4" t="s">
        <v>135</v>
      </c>
      <c r="G87" s="4"/>
      <c r="H87" s="4" t="s">
        <v>180</v>
      </c>
      <c r="I87" s="4"/>
      <c r="J87" s="4" t="s">
        <v>142</v>
      </c>
      <c r="K87" s="5">
        <v>15660</v>
      </c>
      <c r="L87" s="5">
        <f>K87/_xlfn.XLOOKUP(C87,'Utility target list'!$K$2:$K$8,'Utility target list'!$L$2:$L$8,1,0,1)</f>
        <v>17400</v>
      </c>
      <c r="M87" s="8">
        <v>169664.08913099766</v>
      </c>
      <c r="N87" s="8"/>
      <c r="O87" s="8">
        <f>SUMIFS(EIAwtransport!$J$2:$J$675,EIAwtransport!$E$2:$E$675,Program_data!$E87,EIAwtransport!$H$2:$H$675,Program_data!$F87,EIAwtransport!$I$2:$I$675,Program_data!O$2)</f>
        <v>656607163</v>
      </c>
      <c r="P87" s="5">
        <f>SUMIFS(EIAwtransport!$J$2:$J$675,EIAwtransport!$E$2:$E$675,Program_data!$E87,EIAwtransport!$H$2:$H$675,Program_data!$F87,EIAwtransport!$I$2:$I$675,Program_data!P$2)</f>
        <v>52227229</v>
      </c>
      <c r="Q87" s="5">
        <f>SUMIFS(EIAwtransport!$J$2:$J$675,EIAwtransport!$E$2:$E$675,Program_data!$E87,EIAwtransport!$H$2:$H$675,Program_data!$F87,EIAwtransport!$I$2:$I$675,Program_data!Q$2)</f>
        <v>746102</v>
      </c>
      <c r="R87" s="8">
        <f>SUMIFS(EIAwtransport!$J$2:$J$675,EIAwtransport!$E$2:$E$675,Program_data!$E87,EIAwtransport!$I$2:$I$675,Program_data!R$2)</f>
        <v>934881707</v>
      </c>
      <c r="S87" s="5">
        <f>SUMIFS(EIAwtransport!$J$2:$J$675,EIAwtransport!$E$2:$E$675,Program_data!$E87,EIAwtransport!$I$2:$I$675,Program_data!S$2)</f>
        <v>155630500</v>
      </c>
      <c r="T87" s="5">
        <f>SUMIFS(EIAwtransport!$J$2:$J$675,EIAwtransport!$E$2:$E$675,Program_data!$E87,EIAwtransport!$I$2:$I$675,Program_data!T$2)</f>
        <v>814853</v>
      </c>
      <c r="U87" s="24">
        <f t="shared" si="47"/>
        <v>9.7126399490010748E-6</v>
      </c>
      <c r="V87" s="24">
        <f t="shared" si="31"/>
        <v>1.0791822165556749E-5</v>
      </c>
      <c r="W87" s="24">
        <f t="shared" si="48"/>
        <v>1.8148187932293946E-4</v>
      </c>
      <c r="X87" s="25">
        <f t="shared" si="49"/>
        <v>1.0522900447028141E-4</v>
      </c>
      <c r="Y87" s="8">
        <f t="shared" si="34"/>
        <v>0.11913563999247424</v>
      </c>
      <c r="Z87" s="27">
        <f t="shared" si="35"/>
        <v>3.0657102539846499E-2</v>
      </c>
      <c r="AA87" s="27"/>
      <c r="AB87" s="27"/>
      <c r="AC87" s="56">
        <f t="shared" si="36"/>
        <v>1.0482952954222644E-3</v>
      </c>
      <c r="AD87" s="20">
        <f t="shared" si="46"/>
        <v>229046.52032684686</v>
      </c>
      <c r="AE87" s="20">
        <f t="shared" si="37"/>
        <v>0</v>
      </c>
      <c r="AF87" s="20">
        <f t="shared" si="38"/>
        <v>1262090304.45</v>
      </c>
      <c r="AG87">
        <f t="shared" si="39"/>
        <v>1651816.8</v>
      </c>
      <c r="AH87">
        <f t="shared" si="40"/>
        <v>1835352</v>
      </c>
      <c r="AI87">
        <f t="shared" si="41"/>
        <v>16415905140</v>
      </c>
    </row>
    <row r="88" spans="2:35" x14ac:dyDescent="0.25">
      <c r="B88" s="4">
        <v>2022</v>
      </c>
      <c r="C88" s="4" t="s">
        <v>28</v>
      </c>
      <c r="D88" s="4" t="s">
        <v>169</v>
      </c>
      <c r="E88" s="4" t="str">
        <f t="shared" si="42"/>
        <v>Ameren-IL</v>
      </c>
      <c r="F88" s="4" t="s">
        <v>135</v>
      </c>
      <c r="G88" s="4"/>
      <c r="H88" s="4" t="s">
        <v>181</v>
      </c>
      <c r="I88" s="4"/>
      <c r="J88" s="4" t="s">
        <v>142</v>
      </c>
      <c r="K88" s="5">
        <v>43710</v>
      </c>
      <c r="L88" s="5">
        <f>K88/_xlfn.XLOOKUP(C88,'Utility target list'!$K$2:$K$8,'Utility target list'!$L$2:$L$8,1,0,1)</f>
        <v>48566.666666666664</v>
      </c>
      <c r="M88" s="8">
        <v>54468.217193083736</v>
      </c>
      <c r="N88" s="8"/>
      <c r="O88" s="8">
        <f>SUMIFS(EIAwtransport!$J$2:$J$675,EIAwtransport!$E$2:$E$675,Program_data!$E88,EIAwtransport!$H$2:$H$675,Program_data!$F88,EIAwtransport!$I$2:$I$675,Program_data!O$2)</f>
        <v>656607163</v>
      </c>
      <c r="P88" s="5">
        <f>SUMIFS(EIAwtransport!$J$2:$J$675,EIAwtransport!$E$2:$E$675,Program_data!$E88,EIAwtransport!$H$2:$H$675,Program_data!$F88,EIAwtransport!$I$2:$I$675,Program_data!P$2)</f>
        <v>52227229</v>
      </c>
      <c r="Q88" s="5">
        <f>SUMIFS(EIAwtransport!$J$2:$J$675,EIAwtransport!$E$2:$E$675,Program_data!$E88,EIAwtransport!$H$2:$H$675,Program_data!$F88,EIAwtransport!$I$2:$I$675,Program_data!Q$2)</f>
        <v>746102</v>
      </c>
      <c r="R88" s="8">
        <f>SUMIFS(EIAwtransport!$J$2:$J$675,EIAwtransport!$E$2:$E$675,Program_data!$E88,EIAwtransport!$I$2:$I$675,Program_data!R$2)</f>
        <v>934881707</v>
      </c>
      <c r="S88" s="5">
        <f>SUMIFS(EIAwtransport!$J$2:$J$675,EIAwtransport!$E$2:$E$675,Program_data!$E88,EIAwtransport!$I$2:$I$675,Program_data!S$2)</f>
        <v>155630500</v>
      </c>
      <c r="T88" s="5">
        <f>SUMIFS(EIAwtransport!$J$2:$J$675,EIAwtransport!$E$2:$E$675,Program_data!$E88,EIAwtransport!$I$2:$I$675,Program_data!T$2)</f>
        <v>814853</v>
      </c>
      <c r="U88" s="24">
        <f t="shared" si="47"/>
        <v>2.7109801543476178E-5</v>
      </c>
      <c r="V88" s="24">
        <f t="shared" si="31"/>
        <v>3.0122001714973528E-5</v>
      </c>
      <c r="W88" s="24">
        <f t="shared" si="48"/>
        <v>5.8262148874289326E-5</v>
      </c>
      <c r="X88" s="25">
        <f t="shared" si="49"/>
        <v>3.3782259403602314E-5</v>
      </c>
      <c r="Y88" s="8">
        <f t="shared" si="34"/>
        <v>3.8246784854612817E-2</v>
      </c>
      <c r="Z88" s="27">
        <f t="shared" si="35"/>
        <v>9.8420221285702731E-3</v>
      </c>
      <c r="AA88" s="27"/>
      <c r="AB88" s="27"/>
      <c r="AC88" s="56">
        <f t="shared" si="36"/>
        <v>2.9259889759199985E-3</v>
      </c>
      <c r="AD88" s="20">
        <f t="shared" si="46"/>
        <v>73532.09321066305</v>
      </c>
      <c r="AE88" s="20">
        <f t="shared" si="37"/>
        <v>0</v>
      </c>
      <c r="AF88" s="20">
        <f t="shared" si="38"/>
        <v>1262090304.45</v>
      </c>
      <c r="AG88">
        <f t="shared" si="39"/>
        <v>4610530.8</v>
      </c>
      <c r="AH88">
        <f t="shared" si="40"/>
        <v>5122812</v>
      </c>
      <c r="AI88">
        <f t="shared" si="41"/>
        <v>16415905140</v>
      </c>
    </row>
    <row r="89" spans="2:35" x14ac:dyDescent="0.25">
      <c r="B89" s="4">
        <v>2022</v>
      </c>
      <c r="C89" s="4" t="s">
        <v>28</v>
      </c>
      <c r="D89" s="4" t="s">
        <v>169</v>
      </c>
      <c r="E89" s="4" t="str">
        <f t="shared" si="42"/>
        <v>Ameren-IL</v>
      </c>
      <c r="F89" s="4" t="s">
        <v>135</v>
      </c>
      <c r="G89" s="4"/>
      <c r="H89" s="4" t="s">
        <v>182</v>
      </c>
      <c r="I89" s="4"/>
      <c r="J89" s="4" t="s">
        <v>142</v>
      </c>
      <c r="K89" s="5">
        <v>3578</v>
      </c>
      <c r="L89" s="5">
        <f>K89/_xlfn.XLOOKUP(C89,'Utility target list'!$K$2:$K$8,'Utility target list'!$L$2:$L$8,1,0,1)</f>
        <v>3975.5555555555557</v>
      </c>
      <c r="M89" s="8">
        <v>45697.90896258803</v>
      </c>
      <c r="N89" s="8"/>
      <c r="O89" s="8">
        <f>SUMIFS(EIAwtransport!$J$2:$J$675,EIAwtransport!$E$2:$E$675,Program_data!$E89,EIAwtransport!$H$2:$H$675,Program_data!$F89,EIAwtransport!$I$2:$I$675,Program_data!O$2)</f>
        <v>656607163</v>
      </c>
      <c r="P89" s="5">
        <f>SUMIFS(EIAwtransport!$J$2:$J$675,EIAwtransport!$E$2:$E$675,Program_data!$E89,EIAwtransport!$H$2:$H$675,Program_data!$F89,EIAwtransport!$I$2:$I$675,Program_data!P$2)</f>
        <v>52227229</v>
      </c>
      <c r="Q89" s="5">
        <f>SUMIFS(EIAwtransport!$J$2:$J$675,EIAwtransport!$E$2:$E$675,Program_data!$E89,EIAwtransport!$H$2:$H$675,Program_data!$F89,EIAwtransport!$I$2:$I$675,Program_data!Q$2)</f>
        <v>746102</v>
      </c>
      <c r="R89" s="8">
        <f>SUMIFS(EIAwtransport!$J$2:$J$675,EIAwtransport!$E$2:$E$675,Program_data!$E89,EIAwtransport!$I$2:$I$675,Program_data!R$2)</f>
        <v>934881707</v>
      </c>
      <c r="S89" s="5">
        <f>SUMIFS(EIAwtransport!$J$2:$J$675,EIAwtransport!$E$2:$E$675,Program_data!$E89,EIAwtransport!$I$2:$I$675,Program_data!S$2)</f>
        <v>155630500</v>
      </c>
      <c r="T89" s="5">
        <f>SUMIFS(EIAwtransport!$J$2:$J$675,EIAwtransport!$E$2:$E$675,Program_data!$E89,EIAwtransport!$I$2:$I$675,Program_data!T$2)</f>
        <v>814853</v>
      </c>
      <c r="U89" s="24">
        <f t="shared" si="47"/>
        <v>2.2191459602506924E-6</v>
      </c>
      <c r="V89" s="24">
        <f t="shared" si="31"/>
        <v>2.4657177336118803E-6</v>
      </c>
      <c r="W89" s="24">
        <f t="shared" si="48"/>
        <v>4.8880953194849528E-5</v>
      </c>
      <c r="X89" s="25">
        <f t="shared" si="49"/>
        <v>2.8342741773681149E-5</v>
      </c>
      <c r="Y89" s="8">
        <f t="shared" si="34"/>
        <v>3.2088402787299582E-2</v>
      </c>
      <c r="Z89" s="27">
        <f t="shared" si="35"/>
        <v>8.2572893774883974E-3</v>
      </c>
      <c r="AA89" s="27"/>
      <c r="AB89" s="27"/>
      <c r="AC89" s="56">
        <f t="shared" si="36"/>
        <v>2.3951472330912272E-4</v>
      </c>
      <c r="AD89" s="20">
        <f t="shared" si="46"/>
        <v>61692.177099493842</v>
      </c>
      <c r="AE89" s="20">
        <f t="shared" si="37"/>
        <v>0</v>
      </c>
      <c r="AF89" s="20">
        <f t="shared" si="38"/>
        <v>1262090304.45</v>
      </c>
      <c r="AG89">
        <f t="shared" si="39"/>
        <v>377407.44</v>
      </c>
      <c r="AH89">
        <f t="shared" si="40"/>
        <v>419341.60000000003</v>
      </c>
      <c r="AI89">
        <f t="shared" si="41"/>
        <v>16415905140</v>
      </c>
    </row>
    <row r="90" spans="2:35" x14ac:dyDescent="0.25">
      <c r="B90" s="4">
        <v>2022</v>
      </c>
      <c r="C90" s="4" t="s">
        <v>28</v>
      </c>
      <c r="D90" s="4" t="s">
        <v>169</v>
      </c>
      <c r="E90" s="4" t="str">
        <f t="shared" si="42"/>
        <v>Ameren-IL</v>
      </c>
      <c r="F90" s="4" t="s">
        <v>135</v>
      </c>
      <c r="G90" s="4"/>
      <c r="H90" s="4" t="s">
        <v>183</v>
      </c>
      <c r="I90" s="4"/>
      <c r="J90" s="4" t="s">
        <v>42</v>
      </c>
      <c r="K90" s="5">
        <v>105449</v>
      </c>
      <c r="L90" s="5">
        <f>K90/_xlfn.XLOOKUP(C90,'Utility target list'!$K$2:$K$8,'Utility target list'!$L$2:$L$8,1,0,1)</f>
        <v>117165.55555555555</v>
      </c>
      <c r="M90" s="8">
        <v>87788.151933523215</v>
      </c>
      <c r="N90" s="8"/>
      <c r="O90" s="8">
        <f>SUMIFS(EIAwtransport!$J$2:$J$675,EIAwtransport!$E$2:$E$675,Program_data!$E90,EIAwtransport!$H$2:$H$675,Program_data!$F90,EIAwtransport!$I$2:$I$675,Program_data!O$2)</f>
        <v>656607163</v>
      </c>
      <c r="P90" s="5">
        <f>SUMIFS(EIAwtransport!$J$2:$J$675,EIAwtransport!$E$2:$E$675,Program_data!$E90,EIAwtransport!$H$2:$H$675,Program_data!$F90,EIAwtransport!$I$2:$I$675,Program_data!P$2)</f>
        <v>52227229</v>
      </c>
      <c r="Q90" s="5">
        <f>SUMIFS(EIAwtransport!$J$2:$J$675,EIAwtransport!$E$2:$E$675,Program_data!$E90,EIAwtransport!$H$2:$H$675,Program_data!$F90,EIAwtransport!$I$2:$I$675,Program_data!Q$2)</f>
        <v>746102</v>
      </c>
      <c r="R90" s="8">
        <f>SUMIFS(EIAwtransport!$J$2:$J$675,EIAwtransport!$E$2:$E$675,Program_data!$E90,EIAwtransport!$I$2:$I$675,Program_data!R$2)</f>
        <v>934881707</v>
      </c>
      <c r="S90" s="5">
        <f>SUMIFS(EIAwtransport!$J$2:$J$675,EIAwtransport!$E$2:$E$675,Program_data!$E90,EIAwtransport!$I$2:$I$675,Program_data!S$2)</f>
        <v>155630500</v>
      </c>
      <c r="T90" s="5">
        <f>SUMIFS(EIAwtransport!$J$2:$J$675,EIAwtransport!$E$2:$E$675,Program_data!$E90,EIAwtransport!$I$2:$I$675,Program_data!T$2)</f>
        <v>814853</v>
      </c>
      <c r="U90" s="24">
        <f t="shared" si="47"/>
        <v>6.5401543421597332E-5</v>
      </c>
      <c r="V90" s="24">
        <f t="shared" si="31"/>
        <v>7.2668381579552585E-5</v>
      </c>
      <c r="W90" s="24">
        <f t="shared" si="48"/>
        <v>9.3902951866746946E-5</v>
      </c>
      <c r="X90" s="25">
        <f t="shared" si="49"/>
        <v>5.4447938155716058E-5</v>
      </c>
      <c r="Y90" s="8">
        <f t="shared" si="34"/>
        <v>6.1643555321136294E-2</v>
      </c>
      <c r="Z90" s="27">
        <f t="shared" si="35"/>
        <v>1.5862698991839508E-2</v>
      </c>
      <c r="AA90" s="27"/>
      <c r="AB90" s="27"/>
      <c r="AC90" s="56">
        <f t="shared" si="36"/>
        <v>7.0588563605991283E-3</v>
      </c>
      <c r="AD90" s="20">
        <f t="shared" si="46"/>
        <v>118514.00511025634</v>
      </c>
      <c r="AE90" s="20">
        <f t="shared" si="37"/>
        <v>0</v>
      </c>
      <c r="AF90" s="20">
        <f t="shared" si="38"/>
        <v>1262090304.45</v>
      </c>
      <c r="AG90">
        <f t="shared" si="39"/>
        <v>11122760.52</v>
      </c>
      <c r="AH90">
        <f t="shared" si="40"/>
        <v>12358622.799999999</v>
      </c>
      <c r="AI90">
        <f t="shared" si="41"/>
        <v>16415905140</v>
      </c>
    </row>
    <row r="91" spans="2:35" x14ac:dyDescent="0.25">
      <c r="B91" s="4">
        <v>2022</v>
      </c>
      <c r="C91" s="4" t="s">
        <v>28</v>
      </c>
      <c r="D91" s="4" t="s">
        <v>169</v>
      </c>
      <c r="E91" s="4" t="str">
        <f t="shared" si="42"/>
        <v>Ameren-IL</v>
      </c>
      <c r="F91" s="4" t="s">
        <v>135</v>
      </c>
      <c r="G91" s="4"/>
      <c r="H91" s="4" t="s">
        <v>184</v>
      </c>
      <c r="I91" s="4"/>
      <c r="J91" s="4" t="s">
        <v>142</v>
      </c>
      <c r="K91" s="5">
        <v>1026156</v>
      </c>
      <c r="L91" s="5">
        <f>K91/_xlfn.XLOOKUP(C91,'Utility target list'!$K$2:$K$8,'Utility target list'!$L$2:$L$8,1,0,1)</f>
        <v>1140173.3333333333</v>
      </c>
      <c r="M91" s="8">
        <v>1734164.1578644533</v>
      </c>
      <c r="N91" s="8"/>
      <c r="O91" s="8">
        <f>SUMIFS(EIAwtransport!$J$2:$J$675,EIAwtransport!$E$2:$E$675,Program_data!$E91,EIAwtransport!$H$2:$H$675,Program_data!$F91,EIAwtransport!$I$2:$I$675,Program_data!O$2)</f>
        <v>656607163</v>
      </c>
      <c r="P91" s="5">
        <f>SUMIFS(EIAwtransport!$J$2:$J$675,EIAwtransport!$E$2:$E$675,Program_data!$E91,EIAwtransport!$H$2:$H$675,Program_data!$F91,EIAwtransport!$I$2:$I$675,Program_data!P$2)</f>
        <v>52227229</v>
      </c>
      <c r="Q91" s="5">
        <f>SUMIFS(EIAwtransport!$J$2:$J$675,EIAwtransport!$E$2:$E$675,Program_data!$E91,EIAwtransport!$H$2:$H$675,Program_data!$F91,EIAwtransport!$I$2:$I$675,Program_data!Q$2)</f>
        <v>746102</v>
      </c>
      <c r="R91" s="8">
        <f>SUMIFS(EIAwtransport!$J$2:$J$675,EIAwtransport!$E$2:$E$675,Program_data!$E91,EIAwtransport!$I$2:$I$675,Program_data!R$2)</f>
        <v>934881707</v>
      </c>
      <c r="S91" s="5">
        <f>SUMIFS(EIAwtransport!$J$2:$J$675,EIAwtransport!$E$2:$E$675,Program_data!$E91,EIAwtransport!$I$2:$I$675,Program_data!S$2)</f>
        <v>155630500</v>
      </c>
      <c r="T91" s="5">
        <f>SUMIFS(EIAwtransport!$J$2:$J$675,EIAwtransport!$E$2:$E$675,Program_data!$E91,EIAwtransport!$I$2:$I$675,Program_data!T$2)</f>
        <v>814853</v>
      </c>
      <c r="U91" s="24">
        <f t="shared" si="47"/>
        <v>6.3644213023672709E-4</v>
      </c>
      <c r="V91" s="24">
        <f t="shared" si="31"/>
        <v>7.0715792248525228E-4</v>
      </c>
      <c r="W91" s="24">
        <f t="shared" si="48"/>
        <v>1.8549557071015116E-3</v>
      </c>
      <c r="X91" s="25">
        <f t="shared" si="49"/>
        <v>1.0755627125031988E-3</v>
      </c>
      <c r="Y91" s="8">
        <f t="shared" si="34"/>
        <v>1.2177046884663691</v>
      </c>
      <c r="Z91" s="27">
        <f t="shared" si="35"/>
        <v>0.31335121463168802</v>
      </c>
      <c r="AA91" s="27"/>
      <c r="AB91" s="27"/>
      <c r="AC91" s="56">
        <f t="shared" si="36"/>
        <v>6.8691858695359459E-2</v>
      </c>
      <c r="AD91" s="20">
        <f t="shared" si="46"/>
        <v>2341121.6131170122</v>
      </c>
      <c r="AE91" s="20">
        <f t="shared" si="37"/>
        <v>0</v>
      </c>
      <c r="AF91" s="20">
        <f t="shared" si="38"/>
        <v>1262090304.45</v>
      </c>
      <c r="AG91">
        <f t="shared" si="39"/>
        <v>108238934.88000001</v>
      </c>
      <c r="AH91">
        <f t="shared" si="40"/>
        <v>120265483.2</v>
      </c>
      <c r="AI91">
        <f t="shared" si="41"/>
        <v>16415905140</v>
      </c>
    </row>
    <row r="92" spans="2:35" x14ac:dyDescent="0.25">
      <c r="B92" s="4">
        <v>2022</v>
      </c>
      <c r="C92" s="4" t="s">
        <v>28</v>
      </c>
      <c r="D92" s="4" t="s">
        <v>169</v>
      </c>
      <c r="E92" s="4" t="str">
        <f t="shared" si="42"/>
        <v>Ameren-IL</v>
      </c>
      <c r="F92" s="4" t="s">
        <v>135</v>
      </c>
      <c r="G92" s="4"/>
      <c r="H92" s="4" t="s">
        <v>185</v>
      </c>
      <c r="I92" s="4"/>
      <c r="J92" s="4" t="s">
        <v>142</v>
      </c>
      <c r="K92" s="5">
        <v>246</v>
      </c>
      <c r="L92" s="5">
        <f>K92/_xlfn.XLOOKUP(C92,'Utility target list'!$K$2:$K$8,'Utility target list'!$L$2:$L$8,1,0,1)</f>
        <v>273.33333333333331</v>
      </c>
      <c r="M92" s="8">
        <v>7470.0852663504957</v>
      </c>
      <c r="N92" s="8"/>
      <c r="O92" s="8">
        <f>SUMIFS(EIAwtransport!$J$2:$J$675,EIAwtransport!$E$2:$E$675,Program_data!$E92,EIAwtransport!$H$2:$H$675,Program_data!$F92,EIAwtransport!$I$2:$I$675,Program_data!O$2)</f>
        <v>656607163</v>
      </c>
      <c r="P92" s="5">
        <f>SUMIFS(EIAwtransport!$J$2:$J$675,EIAwtransport!$E$2:$E$675,Program_data!$E92,EIAwtransport!$H$2:$H$675,Program_data!$F92,EIAwtransport!$I$2:$I$675,Program_data!P$2)</f>
        <v>52227229</v>
      </c>
      <c r="Q92" s="5">
        <f>SUMIFS(EIAwtransport!$J$2:$J$675,EIAwtransport!$E$2:$E$675,Program_data!$E92,EIAwtransport!$H$2:$H$675,Program_data!$F92,EIAwtransport!$I$2:$I$675,Program_data!Q$2)</f>
        <v>746102</v>
      </c>
      <c r="R92" s="8">
        <f>SUMIFS(EIAwtransport!$J$2:$J$675,EIAwtransport!$E$2:$E$675,Program_data!$E92,EIAwtransport!$I$2:$I$675,Program_data!R$2)</f>
        <v>934881707</v>
      </c>
      <c r="S92" s="5">
        <f>SUMIFS(EIAwtransport!$J$2:$J$675,EIAwtransport!$E$2:$E$675,Program_data!$E92,EIAwtransport!$I$2:$I$675,Program_data!S$2)</f>
        <v>155630500</v>
      </c>
      <c r="T92" s="5">
        <f>SUMIFS(EIAwtransport!$J$2:$J$675,EIAwtransport!$E$2:$E$675,Program_data!$E92,EIAwtransport!$I$2:$I$675,Program_data!T$2)</f>
        <v>814853</v>
      </c>
      <c r="U92" s="24">
        <f t="shared" si="47"/>
        <v>1.525740375130437E-7</v>
      </c>
      <c r="V92" s="24">
        <f t="shared" si="31"/>
        <v>1.6952670834782633E-7</v>
      </c>
      <c r="W92" s="24">
        <f t="shared" si="48"/>
        <v>7.9904069257293693E-6</v>
      </c>
      <c r="X92" s="25">
        <f t="shared" si="49"/>
        <v>4.63309377908047E-6</v>
      </c>
      <c r="Y92" s="8">
        <f t="shared" si="34"/>
        <v>5.2453845334228958E-3</v>
      </c>
      <c r="Z92" s="27">
        <f t="shared" si="35"/>
        <v>1.3497916451552935E-3</v>
      </c>
      <c r="AA92" s="27"/>
      <c r="AB92" s="27"/>
      <c r="AC92" s="56">
        <f t="shared" si="36"/>
        <v>1.6467473989391892E-5</v>
      </c>
      <c r="AD92" s="20">
        <f t="shared" si="46"/>
        <v>10084.615109573169</v>
      </c>
      <c r="AE92" s="20">
        <f t="shared" si="37"/>
        <v>0</v>
      </c>
      <c r="AF92" s="20">
        <f t="shared" si="38"/>
        <v>1262090304.45</v>
      </c>
      <c r="AG92">
        <f t="shared" si="39"/>
        <v>25948.080000000002</v>
      </c>
      <c r="AH92">
        <f t="shared" si="40"/>
        <v>28831.200000000001</v>
      </c>
      <c r="AI92">
        <f t="shared" si="41"/>
        <v>16415905140</v>
      </c>
    </row>
    <row r="93" spans="2:35" x14ac:dyDescent="0.25">
      <c r="B93" s="4">
        <v>2022</v>
      </c>
      <c r="C93" s="4" t="s">
        <v>28</v>
      </c>
      <c r="D93" s="4" t="s">
        <v>169</v>
      </c>
      <c r="E93" s="4" t="str">
        <f t="shared" si="42"/>
        <v>Ameren-IL</v>
      </c>
      <c r="F93" s="4" t="s">
        <v>135</v>
      </c>
      <c r="G93" s="4"/>
      <c r="H93" s="4" t="s">
        <v>186</v>
      </c>
      <c r="I93" s="4"/>
      <c r="J93" s="4" t="s">
        <v>142</v>
      </c>
      <c r="K93" s="5">
        <v>6117</v>
      </c>
      <c r="L93" s="5">
        <f>K93/_xlfn.XLOOKUP(C93,'Utility target list'!$K$2:$K$8,'Utility target list'!$L$2:$L$8,1,0,1)</f>
        <v>6796.6666666666661</v>
      </c>
      <c r="M93" s="8">
        <v>52684.659711823144</v>
      </c>
      <c r="N93" s="8"/>
      <c r="O93" s="8">
        <f>SUMIFS(EIAwtransport!$J$2:$J$675,EIAwtransport!$E$2:$E$675,Program_data!$E93,EIAwtransport!$H$2:$H$675,Program_data!$F93,EIAwtransport!$I$2:$I$675,Program_data!O$2)</f>
        <v>656607163</v>
      </c>
      <c r="P93" s="5">
        <f>SUMIFS(EIAwtransport!$J$2:$J$675,EIAwtransport!$E$2:$E$675,Program_data!$E93,EIAwtransport!$H$2:$H$675,Program_data!$F93,EIAwtransport!$I$2:$I$675,Program_data!P$2)</f>
        <v>52227229</v>
      </c>
      <c r="Q93" s="5">
        <f>SUMIFS(EIAwtransport!$J$2:$J$675,EIAwtransport!$E$2:$E$675,Program_data!$E93,EIAwtransport!$H$2:$H$675,Program_data!$F93,EIAwtransport!$I$2:$I$675,Program_data!Q$2)</f>
        <v>746102</v>
      </c>
      <c r="R93" s="8">
        <f>SUMIFS(EIAwtransport!$J$2:$J$675,EIAwtransport!$E$2:$E$675,Program_data!$E93,EIAwtransport!$I$2:$I$675,Program_data!R$2)</f>
        <v>934881707</v>
      </c>
      <c r="S93" s="5">
        <f>SUMIFS(EIAwtransport!$J$2:$J$675,EIAwtransport!$E$2:$E$675,Program_data!$E93,EIAwtransport!$I$2:$I$675,Program_data!S$2)</f>
        <v>155630500</v>
      </c>
      <c r="T93" s="5">
        <f>SUMIFS(EIAwtransport!$J$2:$J$675,EIAwtransport!$E$2:$E$675,Program_data!$E93,EIAwtransport!$I$2:$I$675,Program_data!T$2)</f>
        <v>814853</v>
      </c>
      <c r="U93" s="24">
        <f t="shared" si="47"/>
        <v>3.7938836888914157E-6</v>
      </c>
      <c r="V93" s="24">
        <f t="shared" si="31"/>
        <v>4.2154263209904611E-6</v>
      </c>
      <c r="W93" s="24">
        <f t="shared" si="48"/>
        <v>5.635435939899415E-5</v>
      </c>
      <c r="X93" s="25">
        <f t="shared" si="49"/>
        <v>3.2676061980624582E-5</v>
      </c>
      <c r="Y93" s="8">
        <f t="shared" si="34"/>
        <v>3.6994396897434167E-2</v>
      </c>
      <c r="Z93" s="27">
        <f t="shared" si="35"/>
        <v>9.519745889274291E-3</v>
      </c>
      <c r="AA93" s="27"/>
      <c r="AB93" s="27"/>
      <c r="AC93" s="56">
        <f t="shared" si="36"/>
        <v>4.0947779834597645E-4</v>
      </c>
      <c r="AD93" s="20">
        <f t="shared" si="46"/>
        <v>71124.290610961252</v>
      </c>
      <c r="AE93" s="20">
        <f t="shared" si="37"/>
        <v>0</v>
      </c>
      <c r="AF93" s="20">
        <f t="shared" si="38"/>
        <v>1262090304.45</v>
      </c>
      <c r="AG93">
        <f t="shared" si="39"/>
        <v>645221.16</v>
      </c>
      <c r="AH93">
        <f t="shared" si="40"/>
        <v>716912.39999999991</v>
      </c>
      <c r="AI93">
        <f t="shared" si="41"/>
        <v>16415905140</v>
      </c>
    </row>
    <row r="94" spans="2:35" x14ac:dyDescent="0.25">
      <c r="B94" s="4">
        <v>2022</v>
      </c>
      <c r="C94" s="4" t="s">
        <v>28</v>
      </c>
      <c r="D94" s="4" t="s">
        <v>169</v>
      </c>
      <c r="E94" s="4" t="str">
        <f t="shared" si="42"/>
        <v>Ameren-IL</v>
      </c>
      <c r="F94" s="4" t="s">
        <v>135</v>
      </c>
      <c r="G94" s="4"/>
      <c r="H94" s="4" t="s">
        <v>187</v>
      </c>
      <c r="I94" s="4"/>
      <c r="J94" s="4" t="s">
        <v>142</v>
      </c>
      <c r="K94" s="5">
        <v>20850</v>
      </c>
      <c r="L94" s="5">
        <f>K94/_xlfn.XLOOKUP(C94,'Utility target list'!$K$2:$K$8,'Utility target list'!$L$2:$L$8,1,0,1)</f>
        <v>23166.666666666668</v>
      </c>
      <c r="M94" s="8">
        <v>17695.738799999999</v>
      </c>
      <c r="N94" s="8"/>
      <c r="O94" s="8">
        <f>SUMIFS(EIAwtransport!$J$2:$J$675,EIAwtransport!$E$2:$E$675,Program_data!$E94,EIAwtransport!$H$2:$H$675,Program_data!$F94,EIAwtransport!$I$2:$I$675,Program_data!O$2)</f>
        <v>656607163</v>
      </c>
      <c r="P94" s="5">
        <f>SUMIFS(EIAwtransport!$J$2:$J$675,EIAwtransport!$E$2:$E$675,Program_data!$E94,EIAwtransport!$H$2:$H$675,Program_data!$F94,EIAwtransport!$I$2:$I$675,Program_data!P$2)</f>
        <v>52227229</v>
      </c>
      <c r="Q94" s="5">
        <f>SUMIFS(EIAwtransport!$J$2:$J$675,EIAwtransport!$E$2:$E$675,Program_data!$E94,EIAwtransport!$H$2:$H$675,Program_data!$F94,EIAwtransport!$I$2:$I$675,Program_data!Q$2)</f>
        <v>746102</v>
      </c>
      <c r="R94" s="8">
        <f>SUMIFS(EIAwtransport!$J$2:$J$675,EIAwtransport!$E$2:$E$675,Program_data!$E94,EIAwtransport!$I$2:$I$675,Program_data!R$2)</f>
        <v>934881707</v>
      </c>
      <c r="S94" s="5">
        <f>SUMIFS(EIAwtransport!$J$2:$J$675,EIAwtransport!$E$2:$E$675,Program_data!$E94,EIAwtransport!$I$2:$I$675,Program_data!S$2)</f>
        <v>155630500</v>
      </c>
      <c r="T94" s="5">
        <f>SUMIFS(EIAwtransport!$J$2:$J$675,EIAwtransport!$E$2:$E$675,Program_data!$E94,EIAwtransport!$I$2:$I$675,Program_data!T$2)</f>
        <v>814853</v>
      </c>
      <c r="U94" s="24">
        <f t="shared" si="47"/>
        <v>1.2931580008727484E-5</v>
      </c>
      <c r="V94" s="24">
        <f t="shared" si="31"/>
        <v>1.4368422231919428E-5</v>
      </c>
      <c r="W94" s="24">
        <f t="shared" si="48"/>
        <v>1.8928318596354779E-5</v>
      </c>
      <c r="X94" s="25">
        <f t="shared" si="49"/>
        <v>1.0975245184927736E-5</v>
      </c>
      <c r="Y94" s="8">
        <f t="shared" si="34"/>
        <v>1.2425688770532472E-2</v>
      </c>
      <c r="Z94" s="27">
        <f t="shared" si="35"/>
        <v>3.1974950131673169E-3</v>
      </c>
      <c r="AA94" s="27"/>
      <c r="AB94" s="27"/>
      <c r="AC94" s="56">
        <f t="shared" si="36"/>
        <v>1.3957188320277273E-3</v>
      </c>
      <c r="AD94" s="20">
        <f t="shared" si="46"/>
        <v>23889.247380000001</v>
      </c>
      <c r="AE94" s="20">
        <f t="shared" si="37"/>
        <v>0</v>
      </c>
      <c r="AF94" s="20">
        <f t="shared" si="38"/>
        <v>1262090304.45</v>
      </c>
      <c r="AG94">
        <f t="shared" si="39"/>
        <v>2199258</v>
      </c>
      <c r="AH94">
        <f t="shared" si="40"/>
        <v>2443620</v>
      </c>
      <c r="AI94">
        <f t="shared" si="41"/>
        <v>16415905140</v>
      </c>
    </row>
    <row r="95" spans="2:35" x14ac:dyDescent="0.25">
      <c r="B95" s="4">
        <v>2022</v>
      </c>
      <c r="C95" s="4" t="s">
        <v>28</v>
      </c>
      <c r="D95" s="4" t="s">
        <v>169</v>
      </c>
      <c r="E95" s="4" t="str">
        <f t="shared" si="42"/>
        <v>Ameren-IL</v>
      </c>
      <c r="F95" s="4" t="s">
        <v>143</v>
      </c>
      <c r="G95" s="4">
        <v>1</v>
      </c>
      <c r="H95" s="4" t="s">
        <v>188</v>
      </c>
      <c r="I95" s="4"/>
      <c r="J95" s="4" t="s">
        <v>108</v>
      </c>
      <c r="K95" s="5">
        <v>92278</v>
      </c>
      <c r="L95" s="5">
        <f>K95/_xlfn.XLOOKUP(C95,'Utility target list'!$K$2:$K$8,'Utility target list'!$L$2:$L$8,1,0,1)</f>
        <v>102531.11111111111</v>
      </c>
      <c r="M95" s="8">
        <v>1171145.9725393795</v>
      </c>
      <c r="N95" s="8"/>
      <c r="O95" s="8">
        <f>SUMIFS(EIAwtransport!$J$2:$J$675,EIAwtransport!$E$2:$E$675,Program_data!$E95,EIAwtransport!$H$2:$H$675,Program_data!$F95,EIAwtransport!$I$2:$I$675,Program_data!O$2)</f>
        <v>0</v>
      </c>
      <c r="P95" s="5">
        <f>SUMIFS(EIAwtransport!$J$2:$J$675,EIAwtransport!$E$2:$E$675,Program_data!$E95,EIAwtransport!$H$2:$H$675,Program_data!$F95,EIAwtransport!$I$2:$I$675,Program_data!P$2)</f>
        <v>0</v>
      </c>
      <c r="Q95" s="5">
        <f>SUMIFS(EIAwtransport!$J$2:$J$675,EIAwtransport!$E$2:$E$675,Program_data!$E95,EIAwtransport!$H$2:$H$675,Program_data!$F95,EIAwtransport!$I$2:$I$675,Program_data!Q$2)</f>
        <v>0</v>
      </c>
      <c r="R95" s="8">
        <f>SUMIFS(EIAwtransport!$J$2:$J$675,EIAwtransport!$E$2:$E$675,Program_data!$E95,EIAwtransport!$I$2:$I$675,Program_data!R$2)</f>
        <v>934881707</v>
      </c>
      <c r="S95" s="5">
        <f>SUMIFS(EIAwtransport!$J$2:$J$675,EIAwtransport!$E$2:$E$675,Program_data!$E95,EIAwtransport!$I$2:$I$675,Program_data!S$2)</f>
        <v>155630500</v>
      </c>
      <c r="T95" s="5">
        <f>SUMIFS(EIAwtransport!$J$2:$J$675,EIAwtransport!$E$2:$E$675,Program_data!$E95,EIAwtransport!$I$2:$I$675,Program_data!T$2)</f>
        <v>814853</v>
      </c>
      <c r="U95" s="24">
        <f t="shared" si="47"/>
        <v>5.7232630218002618E-5</v>
      </c>
      <c r="V95" s="24">
        <f t="shared" si="31"/>
        <v>6.359181135333625E-5</v>
      </c>
      <c r="W95" s="24">
        <f t="shared" si="48"/>
        <v>1.2527210274522779E-3</v>
      </c>
      <c r="X95" s="25">
        <f t="shared" si="49"/>
        <v>7.2636776238810296E-4</v>
      </c>
      <c r="Y95" s="8">
        <f t="shared" si="34"/>
        <v>0.84815568220837045</v>
      </c>
      <c r="Z95" s="27">
        <f t="shared" si="35"/>
        <v>0.21161780523600709</v>
      </c>
      <c r="AA95" s="27"/>
      <c r="AB95" s="27"/>
      <c r="AC95" s="56">
        <f t="shared" si="36"/>
        <v>6.1771770926548984E-3</v>
      </c>
      <c r="AD95" s="20">
        <f t="shared" si="46"/>
        <v>1581047.0629281625</v>
      </c>
      <c r="AE95" s="20">
        <f t="shared" si="37"/>
        <v>0</v>
      </c>
      <c r="AF95" s="20">
        <f t="shared" si="38"/>
        <v>1262090304.45</v>
      </c>
      <c r="AG95">
        <f t="shared" si="39"/>
        <v>9733483.4399999995</v>
      </c>
      <c r="AH95">
        <f t="shared" si="40"/>
        <v>10814981.6</v>
      </c>
      <c r="AI95">
        <f t="shared" si="41"/>
        <v>16415905140</v>
      </c>
    </row>
    <row r="96" spans="2:35" x14ac:dyDescent="0.25">
      <c r="B96" s="4">
        <v>2022</v>
      </c>
      <c r="C96" s="4" t="s">
        <v>28</v>
      </c>
      <c r="D96" s="4" t="s">
        <v>169</v>
      </c>
      <c r="E96" s="4" t="str">
        <f t="shared" si="42"/>
        <v>Ameren-IL</v>
      </c>
      <c r="F96" s="4" t="s">
        <v>143</v>
      </c>
      <c r="G96" s="4">
        <v>1</v>
      </c>
      <c r="H96" s="4" t="s">
        <v>189</v>
      </c>
      <c r="I96" s="4"/>
      <c r="J96" s="4" t="s">
        <v>108</v>
      </c>
      <c r="K96" s="5">
        <v>385049.53924914676</v>
      </c>
      <c r="L96" s="5">
        <f>K96/_xlfn.XLOOKUP(C96,'Utility target list'!$K$2:$K$8,'Utility target list'!$L$2:$L$8,1,0,1)</f>
        <v>427832.82138794084</v>
      </c>
      <c r="M96" s="8">
        <v>3335865.7387795099</v>
      </c>
      <c r="N96" s="8"/>
      <c r="O96" s="8">
        <f>SUMIFS(EIAwtransport!$J$2:$J$675,EIAwtransport!$E$2:$E$675,Program_data!$E96,EIAwtransport!$H$2:$H$675,Program_data!$F96,EIAwtransport!$I$2:$I$675,Program_data!O$2)</f>
        <v>0</v>
      </c>
      <c r="P96" s="5">
        <f>SUMIFS(EIAwtransport!$J$2:$J$675,EIAwtransport!$E$2:$E$675,Program_data!$E96,EIAwtransport!$H$2:$H$675,Program_data!$F96,EIAwtransport!$I$2:$I$675,Program_data!P$2)</f>
        <v>0</v>
      </c>
      <c r="Q96" s="5">
        <f>SUMIFS(EIAwtransport!$J$2:$J$675,EIAwtransport!$E$2:$E$675,Program_data!$E96,EIAwtransport!$H$2:$H$675,Program_data!$F96,EIAwtransport!$I$2:$I$675,Program_data!Q$2)</f>
        <v>0</v>
      </c>
      <c r="R96" s="8">
        <f>SUMIFS(EIAwtransport!$J$2:$J$675,EIAwtransport!$E$2:$E$675,Program_data!$E96,EIAwtransport!$I$2:$I$675,Program_data!R$2)</f>
        <v>934881707</v>
      </c>
      <c r="S96" s="5">
        <f>SUMIFS(EIAwtransport!$J$2:$J$675,EIAwtransport!$E$2:$E$675,Program_data!$E96,EIAwtransport!$I$2:$I$675,Program_data!S$2)</f>
        <v>155630500</v>
      </c>
      <c r="T96" s="5">
        <f>SUMIFS(EIAwtransport!$J$2:$J$675,EIAwtransport!$E$2:$E$675,Program_data!$E96,EIAwtransport!$I$2:$I$675,Program_data!T$2)</f>
        <v>814853</v>
      </c>
      <c r="U96" s="24">
        <f t="shared" si="47"/>
        <v>2.3881529612105492E-4</v>
      </c>
      <c r="V96" s="24">
        <f t="shared" si="31"/>
        <v>2.6535032902339438E-4</v>
      </c>
      <c r="W96" s="24">
        <f t="shared" si="48"/>
        <v>3.5682222828855819E-3</v>
      </c>
      <c r="X96" s="25">
        <f t="shared" si="49"/>
        <v>2.0689695299472444E-3</v>
      </c>
      <c r="Y96" s="8">
        <f t="shared" si="34"/>
        <v>2.41586749027985</v>
      </c>
      <c r="Z96" s="27">
        <f t="shared" si="35"/>
        <v>0.6027673772141795</v>
      </c>
      <c r="AA96" s="27"/>
      <c r="AB96" s="27"/>
      <c r="AC96" s="56">
        <f t="shared" si="36"/>
        <v>2.5775582407368523E-2</v>
      </c>
      <c r="AD96" s="20">
        <f t="shared" si="46"/>
        <v>4503418.7473523384</v>
      </c>
      <c r="AE96" s="20">
        <f t="shared" si="37"/>
        <v>0</v>
      </c>
      <c r="AF96" s="20">
        <f t="shared" si="38"/>
        <v>1262090304.45</v>
      </c>
      <c r="AG96">
        <f t="shared" si="39"/>
        <v>40615025.400000006</v>
      </c>
      <c r="AH96">
        <f t="shared" si="40"/>
        <v>45127806</v>
      </c>
      <c r="AI96">
        <f t="shared" si="41"/>
        <v>16415905140</v>
      </c>
    </row>
    <row r="97" spans="2:35" x14ac:dyDescent="0.25">
      <c r="B97" s="4">
        <v>2022</v>
      </c>
      <c r="C97" s="4" t="s">
        <v>28</v>
      </c>
      <c r="D97" s="4" t="s">
        <v>169</v>
      </c>
      <c r="E97" s="4" t="str">
        <f t="shared" si="42"/>
        <v>Ameren-IL</v>
      </c>
      <c r="F97" s="4" t="s">
        <v>143</v>
      </c>
      <c r="G97" s="4">
        <v>1</v>
      </c>
      <c r="H97" s="4" t="s">
        <v>190</v>
      </c>
      <c r="I97" s="4"/>
      <c r="J97" s="4" t="s">
        <v>108</v>
      </c>
      <c r="K97" s="5">
        <v>65065</v>
      </c>
      <c r="L97" s="5">
        <f>K97/_xlfn.XLOOKUP(C97,'Utility target list'!$K$2:$K$8,'Utility target list'!$L$2:$L$8,1,0,1)</f>
        <v>72294.444444444438</v>
      </c>
      <c r="M97" s="8">
        <v>236254.77455419535</v>
      </c>
      <c r="N97" s="8"/>
      <c r="O97" s="8">
        <f>SUMIFS(EIAwtransport!$J$2:$J$675,EIAwtransport!$E$2:$E$675,Program_data!$E97,EIAwtransport!$H$2:$H$675,Program_data!$F97,EIAwtransport!$I$2:$I$675,Program_data!O$2)</f>
        <v>0</v>
      </c>
      <c r="P97" s="5">
        <f>SUMIFS(EIAwtransport!$J$2:$J$675,EIAwtransport!$E$2:$E$675,Program_data!$E97,EIAwtransport!$H$2:$H$675,Program_data!$F97,EIAwtransport!$I$2:$I$675,Program_data!P$2)</f>
        <v>0</v>
      </c>
      <c r="Q97" s="5">
        <f>SUMIFS(EIAwtransport!$J$2:$J$675,EIAwtransport!$E$2:$E$675,Program_data!$E97,EIAwtransport!$H$2:$H$675,Program_data!$F97,EIAwtransport!$I$2:$I$675,Program_data!Q$2)</f>
        <v>0</v>
      </c>
      <c r="R97" s="8">
        <f>SUMIFS(EIAwtransport!$J$2:$J$675,EIAwtransport!$E$2:$E$675,Program_data!$E97,EIAwtransport!$I$2:$I$675,Program_data!R$2)</f>
        <v>934881707</v>
      </c>
      <c r="S97" s="5">
        <f>SUMIFS(EIAwtransport!$J$2:$J$675,EIAwtransport!$E$2:$E$675,Program_data!$E97,EIAwtransport!$I$2:$I$675,Program_data!S$2)</f>
        <v>155630500</v>
      </c>
      <c r="T97" s="5">
        <f>SUMIFS(EIAwtransport!$J$2:$J$675,EIAwtransport!$E$2:$E$675,Program_data!$E97,EIAwtransport!$I$2:$I$675,Program_data!T$2)</f>
        <v>814853</v>
      </c>
      <c r="U97" s="24">
        <f t="shared" si="47"/>
        <v>4.0354592482870681E-5</v>
      </c>
      <c r="V97" s="24">
        <f t="shared" si="31"/>
        <v>4.4838436092078532E-5</v>
      </c>
      <c r="W97" s="24">
        <f t="shared" si="48"/>
        <v>2.5271087538157952E-4</v>
      </c>
      <c r="X97" s="25">
        <f t="shared" si="49"/>
        <v>1.4652985705474586E-4</v>
      </c>
      <c r="Y97" s="8">
        <f t="shared" si="34"/>
        <v>0.17109808186635811</v>
      </c>
      <c r="Z97" s="27">
        <f t="shared" si="35"/>
        <v>4.2689569054557272E-2</v>
      </c>
      <c r="AA97" s="27"/>
      <c r="AB97" s="27"/>
      <c r="AC97" s="56">
        <f t="shared" si="36"/>
        <v>4.3555129882918023E-3</v>
      </c>
      <c r="AD97" s="20">
        <f t="shared" si="46"/>
        <v>318943.94564816373</v>
      </c>
      <c r="AE97" s="20">
        <f t="shared" si="37"/>
        <v>0</v>
      </c>
      <c r="AF97" s="20">
        <f t="shared" si="38"/>
        <v>1262090304.45</v>
      </c>
      <c r="AG97">
        <f t="shared" si="39"/>
        <v>6863056.2000000002</v>
      </c>
      <c r="AH97">
        <f t="shared" si="40"/>
        <v>7625618</v>
      </c>
      <c r="AI97">
        <f t="shared" si="41"/>
        <v>16415905140</v>
      </c>
    </row>
    <row r="98" spans="2:35" x14ac:dyDescent="0.25">
      <c r="B98" s="4">
        <v>2022</v>
      </c>
      <c r="C98" s="4" t="s">
        <v>28</v>
      </c>
      <c r="D98" s="4" t="s">
        <v>169</v>
      </c>
      <c r="E98" s="4" t="str">
        <f t="shared" si="42"/>
        <v>Ameren-IL</v>
      </c>
      <c r="F98" s="4" t="s">
        <v>143</v>
      </c>
      <c r="G98" s="4">
        <v>1</v>
      </c>
      <c r="H98" s="4" t="s">
        <v>191</v>
      </c>
      <c r="I98" s="4"/>
      <c r="J98" s="4" t="s">
        <v>108</v>
      </c>
      <c r="K98" s="5">
        <v>451429</v>
      </c>
      <c r="L98" s="5">
        <f>K98/_xlfn.XLOOKUP(C98,'Utility target list'!$K$2:$K$8,'Utility target list'!$L$2:$L$8,1,0,1)</f>
        <v>501587.77777777775</v>
      </c>
      <c r="M98" s="8">
        <v>700212.7546602356</v>
      </c>
      <c r="N98" s="8"/>
      <c r="O98" s="8">
        <f>SUMIFS(EIAwtransport!$J$2:$J$675,EIAwtransport!$E$2:$E$675,Program_data!$E98,EIAwtransport!$H$2:$H$675,Program_data!$F98,EIAwtransport!$I$2:$I$675,Program_data!O$2)</f>
        <v>0</v>
      </c>
      <c r="P98" s="5">
        <f>SUMIFS(EIAwtransport!$J$2:$J$675,EIAwtransport!$E$2:$E$675,Program_data!$E98,EIAwtransport!$H$2:$H$675,Program_data!$F98,EIAwtransport!$I$2:$I$675,Program_data!P$2)</f>
        <v>0</v>
      </c>
      <c r="Q98" s="5">
        <f>SUMIFS(EIAwtransport!$J$2:$J$675,EIAwtransport!$E$2:$E$675,Program_data!$E98,EIAwtransport!$H$2:$H$675,Program_data!$F98,EIAwtransport!$I$2:$I$675,Program_data!Q$2)</f>
        <v>0</v>
      </c>
      <c r="R98" s="8">
        <f>SUMIFS(EIAwtransport!$J$2:$J$675,EIAwtransport!$E$2:$E$675,Program_data!$E98,EIAwtransport!$I$2:$I$675,Program_data!R$2)</f>
        <v>934881707</v>
      </c>
      <c r="S98" s="5">
        <f>SUMIFS(EIAwtransport!$J$2:$J$675,EIAwtransport!$E$2:$E$675,Program_data!$E98,EIAwtransport!$I$2:$I$675,Program_data!S$2)</f>
        <v>155630500</v>
      </c>
      <c r="T98" s="5">
        <f>SUMIFS(EIAwtransport!$J$2:$J$675,EIAwtransport!$E$2:$E$675,Program_data!$E98,EIAwtransport!$I$2:$I$675,Program_data!T$2)</f>
        <v>814853</v>
      </c>
      <c r="U98" s="24">
        <f t="shared" si="47"/>
        <v>2.7998514301006425E-4</v>
      </c>
      <c r="V98" s="24">
        <f t="shared" si="31"/>
        <v>3.1109460334451583E-4</v>
      </c>
      <c r="W98" s="24">
        <f t="shared" si="48"/>
        <v>7.4898540576560414E-4</v>
      </c>
      <c r="X98" s="25">
        <f t="shared" si="49"/>
        <v>4.3428571990505063E-4</v>
      </c>
      <c r="Y98" s="8">
        <f t="shared" si="34"/>
        <v>0.50710111339249397</v>
      </c>
      <c r="Z98" s="27">
        <f t="shared" si="35"/>
        <v>0.12652349904612367</v>
      </c>
      <c r="AA98" s="27"/>
      <c r="AB98" s="27"/>
      <c r="AC98" s="56">
        <f t="shared" si="36"/>
        <v>3.0219086648606473E-2</v>
      </c>
      <c r="AD98" s="20">
        <f t="shared" si="46"/>
        <v>945287.21879131813</v>
      </c>
      <c r="AE98" s="20">
        <f t="shared" si="37"/>
        <v>0</v>
      </c>
      <c r="AF98" s="20">
        <f t="shared" si="38"/>
        <v>1262090304.45</v>
      </c>
      <c r="AG98">
        <f t="shared" si="39"/>
        <v>47616730.920000002</v>
      </c>
      <c r="AH98">
        <f t="shared" si="40"/>
        <v>52907478.799999997</v>
      </c>
      <c r="AI98">
        <f t="shared" si="41"/>
        <v>16415905140</v>
      </c>
    </row>
    <row r="99" spans="2:35" x14ac:dyDescent="0.25">
      <c r="B99" s="4">
        <v>2022</v>
      </c>
      <c r="C99" s="4" t="s">
        <v>28</v>
      </c>
      <c r="D99" s="4" t="s">
        <v>169</v>
      </c>
      <c r="E99" s="4" t="str">
        <f t="shared" si="42"/>
        <v>Ameren-IL</v>
      </c>
      <c r="F99" s="4" t="s">
        <v>143</v>
      </c>
      <c r="G99" s="4">
        <v>1</v>
      </c>
      <c r="H99" s="4" t="s">
        <v>192</v>
      </c>
      <c r="I99" s="4"/>
      <c r="J99" s="4" t="s">
        <v>108</v>
      </c>
      <c r="K99" s="5">
        <v>53778</v>
      </c>
      <c r="L99" s="5">
        <f>K99/_xlfn.XLOOKUP(C99,'Utility target list'!$K$2:$K$8,'Utility target list'!$L$2:$L$8,1,0,1)</f>
        <v>59753.333333333328</v>
      </c>
      <c r="M99" s="8">
        <v>32309.696833256763</v>
      </c>
      <c r="N99" s="8"/>
      <c r="O99" s="8">
        <f>SUMIFS(EIAwtransport!$J$2:$J$675,EIAwtransport!$E$2:$E$675,Program_data!$E99,EIAwtransport!$H$2:$H$675,Program_data!$F99,EIAwtransport!$I$2:$I$675,Program_data!O$2)</f>
        <v>0</v>
      </c>
      <c r="P99" s="5">
        <f>SUMIFS(EIAwtransport!$J$2:$J$675,EIAwtransport!$E$2:$E$675,Program_data!$E99,EIAwtransport!$H$2:$H$675,Program_data!$F99,EIAwtransport!$I$2:$I$675,Program_data!P$2)</f>
        <v>0</v>
      </c>
      <c r="Q99" s="5">
        <f>SUMIFS(EIAwtransport!$J$2:$J$675,EIAwtransport!$E$2:$E$675,Program_data!$E99,EIAwtransport!$H$2:$H$675,Program_data!$F99,EIAwtransport!$I$2:$I$675,Program_data!Q$2)</f>
        <v>0</v>
      </c>
      <c r="R99" s="8">
        <f>SUMIFS(EIAwtransport!$J$2:$J$675,EIAwtransport!$E$2:$E$675,Program_data!$E99,EIAwtransport!$I$2:$I$675,Program_data!R$2)</f>
        <v>934881707</v>
      </c>
      <c r="S99" s="5">
        <f>SUMIFS(EIAwtransport!$J$2:$J$675,EIAwtransport!$E$2:$E$675,Program_data!$E99,EIAwtransport!$I$2:$I$675,Program_data!S$2)</f>
        <v>155630500</v>
      </c>
      <c r="T99" s="5">
        <f>SUMIFS(EIAwtransport!$J$2:$J$675,EIAwtransport!$E$2:$E$675,Program_data!$E99,EIAwtransport!$I$2:$I$675,Program_data!T$2)</f>
        <v>814853</v>
      </c>
      <c r="U99" s="24">
        <f t="shared" si="47"/>
        <v>3.33541731275466E-5</v>
      </c>
      <c r="V99" s="24">
        <f t="shared" si="31"/>
        <v>3.7060192363940661E-5</v>
      </c>
      <c r="W99" s="24">
        <f t="shared" si="48"/>
        <v>3.4560197928075156E-5</v>
      </c>
      <c r="X99" s="25">
        <f t="shared" si="49"/>
        <v>2.0039109336066611E-5</v>
      </c>
      <c r="Y99" s="8">
        <f t="shared" si="34"/>
        <v>2.3399007128152915E-2</v>
      </c>
      <c r="Z99" s="27">
        <f t="shared" si="35"/>
        <v>5.8381340089223265E-3</v>
      </c>
      <c r="AA99" s="27"/>
      <c r="AB99" s="27"/>
      <c r="AC99" s="56">
        <f t="shared" si="36"/>
        <v>3.5999504723638908E-3</v>
      </c>
      <c r="AD99" s="20">
        <f t="shared" si="46"/>
        <v>43618.090724896632</v>
      </c>
      <c r="AE99" s="20">
        <f t="shared" si="37"/>
        <v>0</v>
      </c>
      <c r="AF99" s="20">
        <f t="shared" si="38"/>
        <v>1262090304.45</v>
      </c>
      <c r="AG99">
        <f t="shared" si="39"/>
        <v>5672503.4400000004</v>
      </c>
      <c r="AH99">
        <f t="shared" si="40"/>
        <v>6302781.5999999996</v>
      </c>
      <c r="AI99">
        <f t="shared" si="41"/>
        <v>16415905140</v>
      </c>
    </row>
    <row r="100" spans="2:35" x14ac:dyDescent="0.25">
      <c r="B100" s="4">
        <v>2022</v>
      </c>
      <c r="C100" s="4" t="s">
        <v>28</v>
      </c>
      <c r="D100" s="4" t="s">
        <v>169</v>
      </c>
      <c r="E100" s="4" t="str">
        <f t="shared" si="42"/>
        <v>Ameren-IL</v>
      </c>
      <c r="F100" s="4" t="s">
        <v>143</v>
      </c>
      <c r="G100" s="4">
        <v>1</v>
      </c>
      <c r="H100" s="4" t="s">
        <v>193</v>
      </c>
      <c r="I100" s="4"/>
      <c r="J100" s="4" t="s">
        <v>108</v>
      </c>
      <c r="K100" s="5">
        <v>110459.66211604096</v>
      </c>
      <c r="L100" s="5">
        <f>K100/_xlfn.XLOOKUP(C100,'Utility target list'!$K$2:$K$8,'Utility target list'!$L$2:$L$8,1,0,1)</f>
        <v>122732.95790671217</v>
      </c>
      <c r="M100" s="8">
        <v>38917.839631069379</v>
      </c>
      <c r="N100" s="8"/>
      <c r="O100" s="8">
        <f>SUMIFS(EIAwtransport!$J$2:$J$675,EIAwtransport!$E$2:$E$675,Program_data!$E100,EIAwtransport!$H$2:$H$675,Program_data!$F100,EIAwtransport!$I$2:$I$675,Program_data!O$2)</f>
        <v>0</v>
      </c>
      <c r="P100" s="5">
        <f>SUMIFS(EIAwtransport!$J$2:$J$675,EIAwtransport!$E$2:$E$675,Program_data!$E100,EIAwtransport!$H$2:$H$675,Program_data!$F100,EIAwtransport!$I$2:$I$675,Program_data!P$2)</f>
        <v>0</v>
      </c>
      <c r="Q100" s="5">
        <f>SUMIFS(EIAwtransport!$J$2:$J$675,EIAwtransport!$E$2:$E$675,Program_data!$E100,EIAwtransport!$H$2:$H$675,Program_data!$F100,EIAwtransport!$I$2:$I$675,Program_data!Q$2)</f>
        <v>0</v>
      </c>
      <c r="R100" s="8">
        <f>SUMIFS(EIAwtransport!$J$2:$J$675,EIAwtransport!$E$2:$E$675,Program_data!$E100,EIAwtransport!$I$2:$I$675,Program_data!R$2)</f>
        <v>934881707</v>
      </c>
      <c r="S100" s="5">
        <f>SUMIFS(EIAwtransport!$J$2:$J$675,EIAwtransport!$E$2:$E$675,Program_data!$E100,EIAwtransport!$I$2:$I$675,Program_data!S$2)</f>
        <v>155630500</v>
      </c>
      <c r="T100" s="5">
        <f>SUMIFS(EIAwtransport!$J$2:$J$675,EIAwtransport!$E$2:$E$675,Program_data!$E100,EIAwtransport!$I$2:$I$675,Program_data!T$2)</f>
        <v>814853</v>
      </c>
      <c r="U100" s="24">
        <f t="shared" si="47"/>
        <v>6.8509254599068964E-5</v>
      </c>
      <c r="V100" s="24">
        <f t="shared" si="31"/>
        <v>7.6121393998965505E-5</v>
      </c>
      <c r="W100" s="24">
        <f t="shared" si="48"/>
        <v>4.1628624605304613E-5</v>
      </c>
      <c r="X100" s="25">
        <f t="shared" si="49"/>
        <v>2.4137609446330888E-5</v>
      </c>
      <c r="Y100" s="8">
        <f t="shared" si="34"/>
        <v>2.8184690547834939E-2</v>
      </c>
      <c r="Z100" s="27">
        <f t="shared" si="35"/>
        <v>7.0321787380580982E-3</v>
      </c>
      <c r="AA100" s="27"/>
      <c r="AB100" s="27"/>
      <c r="AC100" s="56">
        <f t="shared" ref="AC100:AC131" si="50">IFERROR(K100/SUMIFS($M$3:$M$1234,$E$3:$E$1234,E100,$B$3:$B$1234,B100),"")</f>
        <v>7.3942748486704119E-3</v>
      </c>
      <c r="AD100" s="20">
        <f t="shared" si="46"/>
        <v>52539.083501943664</v>
      </c>
      <c r="AE100" s="20">
        <f t="shared" si="37"/>
        <v>0</v>
      </c>
      <c r="AF100" s="20">
        <f t="shared" si="38"/>
        <v>1262090304.45</v>
      </c>
      <c r="AG100">
        <f t="shared" si="39"/>
        <v>11651285.16</v>
      </c>
      <c r="AH100">
        <f t="shared" si="40"/>
        <v>12945872.4</v>
      </c>
      <c r="AI100">
        <f t="shared" si="41"/>
        <v>16415905140</v>
      </c>
    </row>
    <row r="101" spans="2:35" x14ac:dyDescent="0.25">
      <c r="B101" s="4">
        <v>2022</v>
      </c>
      <c r="C101" s="4" t="s">
        <v>28</v>
      </c>
      <c r="D101" s="4" t="s">
        <v>169</v>
      </c>
      <c r="E101" s="4" t="str">
        <f t="shared" si="42"/>
        <v>Ameren-IL</v>
      </c>
      <c r="F101" s="4" t="s">
        <v>143</v>
      </c>
      <c r="G101" s="4">
        <v>1</v>
      </c>
      <c r="H101" s="4" t="s">
        <v>194</v>
      </c>
      <c r="I101" s="4" t="s">
        <v>167</v>
      </c>
      <c r="J101" s="4" t="s">
        <v>155</v>
      </c>
      <c r="K101" s="5"/>
      <c r="L101" s="5">
        <f>K101/_xlfn.XLOOKUP(C101,'Utility target list'!$K$2:$K$8,'Utility target list'!$L$2:$L$8,1,0,1)</f>
        <v>0</v>
      </c>
      <c r="M101" s="8">
        <v>55653.09</v>
      </c>
      <c r="N101" s="8"/>
      <c r="O101" s="8">
        <f>SUMIFS(EIAwtransport!$J$2:$J$675,EIAwtransport!$E$2:$E$675,Program_data!$E101,EIAwtransport!$H$2:$H$675,Program_data!$F101,EIAwtransport!$I$2:$I$675,Program_data!O$2)</f>
        <v>0</v>
      </c>
      <c r="P101" s="5">
        <f>SUMIFS(EIAwtransport!$J$2:$J$675,EIAwtransport!$E$2:$E$675,Program_data!$E101,EIAwtransport!$H$2:$H$675,Program_data!$F101,EIAwtransport!$I$2:$I$675,Program_data!P$2)</f>
        <v>0</v>
      </c>
      <c r="Q101" s="5">
        <f>SUMIFS(EIAwtransport!$J$2:$J$675,EIAwtransport!$E$2:$E$675,Program_data!$E101,EIAwtransport!$H$2:$H$675,Program_data!$F101,EIAwtransport!$I$2:$I$675,Program_data!Q$2)</f>
        <v>0</v>
      </c>
      <c r="R101" s="8">
        <f>SUMIFS(EIAwtransport!$J$2:$J$675,EIAwtransport!$E$2:$E$675,Program_data!$E101,EIAwtransport!$I$2:$I$675,Program_data!R$2)</f>
        <v>934881707</v>
      </c>
      <c r="S101" s="5">
        <f>SUMIFS(EIAwtransport!$J$2:$J$675,EIAwtransport!$E$2:$E$675,Program_data!$E101,EIAwtransport!$I$2:$I$675,Program_data!S$2)</f>
        <v>155630500</v>
      </c>
      <c r="T101" s="5">
        <f>SUMIFS(EIAwtransport!$J$2:$J$675,EIAwtransport!$E$2:$E$675,Program_data!$E101,EIAwtransport!$I$2:$I$675,Program_data!T$2)</f>
        <v>814853</v>
      </c>
      <c r="U101" s="24">
        <f t="shared" si="47"/>
        <v>0</v>
      </c>
      <c r="V101" s="24">
        <f t="shared" si="31"/>
        <v>0</v>
      </c>
      <c r="W101" s="24">
        <f t="shared" si="48"/>
        <v>5.9529552865665384E-5</v>
      </c>
      <c r="X101" s="25">
        <f t="shared" si="49"/>
        <v>3.4517140818604866E-5</v>
      </c>
      <c r="Y101" s="8">
        <f t="shared" si="34"/>
        <v>4.0304527038252415E-2</v>
      </c>
      <c r="Z101" s="27">
        <f t="shared" si="35"/>
        <v>1.0056120275823232E-2</v>
      </c>
      <c r="AA101" s="27"/>
      <c r="AB101" s="27"/>
      <c r="AC101" s="56">
        <f t="shared" si="50"/>
        <v>0</v>
      </c>
      <c r="AD101" s="20">
        <f t="shared" si="46"/>
        <v>75131.671499999997</v>
      </c>
      <c r="AE101" s="20">
        <f t="shared" si="37"/>
        <v>0</v>
      </c>
      <c r="AF101" s="20">
        <f t="shared" si="38"/>
        <v>1262090304.45</v>
      </c>
      <c r="AG101">
        <f t="shared" si="39"/>
        <v>0</v>
      </c>
      <c r="AH101">
        <f t="shared" si="40"/>
        <v>0</v>
      </c>
      <c r="AI101">
        <f t="shared" si="41"/>
        <v>16415905140</v>
      </c>
    </row>
    <row r="102" spans="2:35" x14ac:dyDescent="0.25">
      <c r="B102" s="4">
        <v>2022</v>
      </c>
      <c r="C102" s="4" t="s">
        <v>28</v>
      </c>
      <c r="D102" s="4" t="s">
        <v>169</v>
      </c>
      <c r="E102" s="4" t="str">
        <f t="shared" si="42"/>
        <v>Ameren-IL</v>
      </c>
      <c r="F102" s="4" t="s">
        <v>143</v>
      </c>
      <c r="G102" s="4">
        <v>1</v>
      </c>
      <c r="H102" s="4" t="s">
        <v>195</v>
      </c>
      <c r="I102" s="4"/>
      <c r="J102" s="4" t="s">
        <v>108</v>
      </c>
      <c r="K102" s="5">
        <v>29259</v>
      </c>
      <c r="L102" s="5">
        <f>K102/_xlfn.XLOOKUP(C102,'Utility target list'!$K$2:$K$8,'Utility target list'!$L$2:$L$8,1,0,1)</f>
        <v>32510</v>
      </c>
      <c r="M102" s="8">
        <v>602339.93378618313</v>
      </c>
      <c r="N102" s="8"/>
      <c r="O102" s="8">
        <f>SUMIFS(EIAwtransport!$J$2:$J$675,EIAwtransport!$E$2:$E$675,Program_data!$E102,EIAwtransport!$H$2:$H$675,Program_data!$F102,EIAwtransport!$I$2:$I$675,Program_data!O$2)</f>
        <v>0</v>
      </c>
      <c r="P102" s="5">
        <f>SUMIFS(EIAwtransport!$J$2:$J$675,EIAwtransport!$E$2:$E$675,Program_data!$E102,EIAwtransport!$H$2:$H$675,Program_data!$F102,EIAwtransport!$I$2:$I$675,Program_data!P$2)</f>
        <v>0</v>
      </c>
      <c r="Q102" s="5">
        <f>SUMIFS(EIAwtransport!$J$2:$J$675,EIAwtransport!$E$2:$E$675,Program_data!$E102,EIAwtransport!$H$2:$H$675,Program_data!$F102,EIAwtransport!$I$2:$I$675,Program_data!Q$2)</f>
        <v>0</v>
      </c>
      <c r="R102" s="8">
        <f>SUMIFS(EIAwtransport!$J$2:$J$675,EIAwtransport!$E$2:$E$675,Program_data!$E102,EIAwtransport!$I$2:$I$675,Program_data!R$2)</f>
        <v>934881707</v>
      </c>
      <c r="S102" s="5">
        <f>SUMIFS(EIAwtransport!$J$2:$J$675,EIAwtransport!$E$2:$E$675,Program_data!$E102,EIAwtransport!$I$2:$I$675,Program_data!S$2)</f>
        <v>155630500</v>
      </c>
      <c r="T102" s="5">
        <f>SUMIFS(EIAwtransport!$J$2:$J$675,EIAwtransport!$E$2:$E$675,Program_data!$E102,EIAwtransport!$I$2:$I$675,Program_data!T$2)</f>
        <v>814853</v>
      </c>
      <c r="U102" s="24">
        <f t="shared" si="47"/>
        <v>1.8147007169081895E-5</v>
      </c>
      <c r="V102" s="24">
        <f t="shared" si="31"/>
        <v>2.0163341298979878E-5</v>
      </c>
      <c r="W102" s="24">
        <f t="shared" si="48"/>
        <v>6.4429534696862259E-4</v>
      </c>
      <c r="X102" s="25">
        <f t="shared" si="49"/>
        <v>3.7358307176055836E-4</v>
      </c>
      <c r="Y102" s="8">
        <f t="shared" si="34"/>
        <v>0.43622063298739366</v>
      </c>
      <c r="Z102" s="27">
        <f t="shared" si="35"/>
        <v>0.10883857160645097</v>
      </c>
      <c r="AA102" s="27"/>
      <c r="AB102" s="27"/>
      <c r="AC102" s="56">
        <f t="shared" si="50"/>
        <v>1.9586252904699891E-3</v>
      </c>
      <c r="AD102" s="20">
        <f t="shared" si="46"/>
        <v>813158.9106113473</v>
      </c>
      <c r="AE102" s="20">
        <f t="shared" si="37"/>
        <v>0</v>
      </c>
      <c r="AF102" s="20">
        <f t="shared" si="38"/>
        <v>1262090304.45</v>
      </c>
      <c r="AG102">
        <f t="shared" si="39"/>
        <v>3086239.3200000003</v>
      </c>
      <c r="AH102">
        <f t="shared" si="40"/>
        <v>3429154.8000000003</v>
      </c>
      <c r="AI102">
        <f t="shared" si="41"/>
        <v>16415905140</v>
      </c>
    </row>
    <row r="103" spans="2:35" x14ac:dyDescent="0.25">
      <c r="B103" s="4">
        <v>2022</v>
      </c>
      <c r="C103" s="4" t="s">
        <v>28</v>
      </c>
      <c r="D103" s="4" t="s">
        <v>169</v>
      </c>
      <c r="E103" s="4" t="str">
        <f t="shared" si="42"/>
        <v>Ameren-IL</v>
      </c>
      <c r="F103" s="4" t="s">
        <v>143</v>
      </c>
      <c r="G103" s="4">
        <v>1</v>
      </c>
      <c r="H103" s="4" t="s">
        <v>196</v>
      </c>
      <c r="I103" s="4" t="s">
        <v>167</v>
      </c>
      <c r="J103" s="4" t="s">
        <v>155</v>
      </c>
      <c r="K103" s="5"/>
      <c r="L103" s="5">
        <f>K103/_xlfn.XLOOKUP(C103,'Utility target list'!$K$2:$K$8,'Utility target list'!$L$2:$L$8,1,0,1)</f>
        <v>0</v>
      </c>
      <c r="M103" s="8">
        <v>18429.12</v>
      </c>
      <c r="N103" s="8"/>
      <c r="O103" s="8">
        <f>SUMIFS(EIAwtransport!$J$2:$J$675,EIAwtransport!$E$2:$E$675,Program_data!$E103,EIAwtransport!$H$2:$H$675,Program_data!$F103,EIAwtransport!$I$2:$I$675,Program_data!O$2)</f>
        <v>0</v>
      </c>
      <c r="P103" s="5">
        <f>SUMIFS(EIAwtransport!$J$2:$J$675,EIAwtransport!$E$2:$E$675,Program_data!$E103,EIAwtransport!$H$2:$H$675,Program_data!$F103,EIAwtransport!$I$2:$I$675,Program_data!P$2)</f>
        <v>0</v>
      </c>
      <c r="Q103" s="5">
        <f>SUMIFS(EIAwtransport!$J$2:$J$675,EIAwtransport!$E$2:$E$675,Program_data!$E103,EIAwtransport!$H$2:$H$675,Program_data!$F103,EIAwtransport!$I$2:$I$675,Program_data!Q$2)</f>
        <v>0</v>
      </c>
      <c r="R103" s="8">
        <f>SUMIFS(EIAwtransport!$J$2:$J$675,EIAwtransport!$E$2:$E$675,Program_data!$E103,EIAwtransport!$I$2:$I$675,Program_data!R$2)</f>
        <v>934881707</v>
      </c>
      <c r="S103" s="5">
        <f>SUMIFS(EIAwtransport!$J$2:$J$675,EIAwtransport!$E$2:$E$675,Program_data!$E103,EIAwtransport!$I$2:$I$675,Program_data!S$2)</f>
        <v>155630500</v>
      </c>
      <c r="T103" s="5">
        <f>SUMIFS(EIAwtransport!$J$2:$J$675,EIAwtransport!$E$2:$E$675,Program_data!$E103,EIAwtransport!$I$2:$I$675,Program_data!T$2)</f>
        <v>814853</v>
      </c>
      <c r="U103" s="24">
        <f t="shared" si="47"/>
        <v>0</v>
      </c>
      <c r="V103" s="24">
        <f t="shared" si="31"/>
        <v>0</v>
      </c>
      <c r="W103" s="24">
        <f t="shared" si="48"/>
        <v>1.9712782763862551E-5</v>
      </c>
      <c r="X103" s="25">
        <f t="shared" si="49"/>
        <v>1.1430102626879607E-5</v>
      </c>
      <c r="Y103" s="8">
        <f t="shared" si="34"/>
        <v>1.3346553899005398E-2</v>
      </c>
      <c r="Z103" s="27">
        <f t="shared" si="35"/>
        <v>3.3300118160120031E-3</v>
      </c>
      <c r="AA103" s="27"/>
      <c r="AB103" s="27"/>
      <c r="AC103" s="56">
        <f t="shared" si="50"/>
        <v>0</v>
      </c>
      <c r="AD103" s="20">
        <f t="shared" si="46"/>
        <v>24879.312000000002</v>
      </c>
      <c r="AE103" s="20">
        <f t="shared" si="37"/>
        <v>0</v>
      </c>
      <c r="AF103" s="20">
        <f t="shared" si="38"/>
        <v>1262090304.45</v>
      </c>
      <c r="AG103">
        <f t="shared" si="39"/>
        <v>0</v>
      </c>
      <c r="AH103">
        <f t="shared" si="40"/>
        <v>0</v>
      </c>
      <c r="AI103">
        <f t="shared" si="41"/>
        <v>16415905140</v>
      </c>
    </row>
    <row r="104" spans="2:35" x14ac:dyDescent="0.25">
      <c r="B104" s="4">
        <v>2022</v>
      </c>
      <c r="C104" s="4" t="s">
        <v>28</v>
      </c>
      <c r="D104" s="4" t="s">
        <v>169</v>
      </c>
      <c r="E104" s="4" t="str">
        <f t="shared" ref="E104:E141" si="51">D104&amp;"-"&amp;C104</f>
        <v>Ameren-IL</v>
      </c>
      <c r="F104" s="4" t="s">
        <v>135</v>
      </c>
      <c r="G104" s="4"/>
      <c r="H104" s="4" t="s">
        <v>174</v>
      </c>
      <c r="I104" s="4"/>
      <c r="J104" s="4" t="s">
        <v>142</v>
      </c>
      <c r="K104" s="5">
        <v>32350.38466</v>
      </c>
      <c r="L104" s="5">
        <f>K104/_xlfn.XLOOKUP(C104,'Utility target list'!$K$2:$K$8,'Utility target list'!$L$2:$L$8,1,0,1)</f>
        <v>35944.871844444446</v>
      </c>
      <c r="M104" s="8">
        <v>86519.939999999988</v>
      </c>
      <c r="N104" s="8"/>
      <c r="O104" s="8">
        <f>SUMIFS(EIAwtransport!$J$2:$J$675,EIAwtransport!$E$2:$E$675,Program_data!$E104,EIAwtransport!$H$2:$H$675,Program_data!$F104,EIAwtransport!$I$2:$I$675,Program_data!O$2)</f>
        <v>656607163</v>
      </c>
      <c r="P104" s="5">
        <f>SUMIFS(EIAwtransport!$J$2:$J$675,EIAwtransport!$E$2:$E$675,Program_data!$E104,EIAwtransport!$H$2:$H$675,Program_data!$F104,EIAwtransport!$I$2:$I$675,Program_data!P$2)</f>
        <v>52227229</v>
      </c>
      <c r="Q104" s="5">
        <f>SUMIFS(EIAwtransport!$J$2:$J$675,EIAwtransport!$E$2:$E$675,Program_data!$E104,EIAwtransport!$H$2:$H$675,Program_data!$F104,EIAwtransport!$I$2:$I$675,Program_data!Q$2)</f>
        <v>746102</v>
      </c>
      <c r="R104" s="8">
        <f>SUMIFS(EIAwtransport!$J$2:$J$675,EIAwtransport!$E$2:$E$675,Program_data!$E104,EIAwtransport!$I$2:$I$675,Program_data!R$2)</f>
        <v>934881707</v>
      </c>
      <c r="S104" s="5">
        <f>SUMIFS(EIAwtransport!$J$2:$J$675,EIAwtransport!$E$2:$E$675,Program_data!$E104,EIAwtransport!$I$2:$I$675,Program_data!S$2)</f>
        <v>155630500</v>
      </c>
      <c r="T104" s="5">
        <f>SUMIFS(EIAwtransport!$J$2:$J$675,EIAwtransport!$E$2:$E$675,Program_data!$E104,EIAwtransport!$I$2:$I$675,Program_data!T$2)</f>
        <v>814853</v>
      </c>
      <c r="U104" s="24">
        <f t="shared" si="47"/>
        <v>2.0064344726326148E-5</v>
      </c>
      <c r="V104" s="24">
        <f t="shared" si="31"/>
        <v>2.2293716362584613E-5</v>
      </c>
      <c r="W104" s="24">
        <f t="shared" si="48"/>
        <v>9.2546403841443431E-5</v>
      </c>
      <c r="X104" s="25">
        <f t="shared" si="49"/>
        <v>5.3661368175554016E-5</v>
      </c>
      <c r="Y104" s="8">
        <f t="shared" si="34"/>
        <v>6.0753035464399099E-2</v>
      </c>
      <c r="Z104" s="27">
        <f t="shared" si="35"/>
        <v>1.5633542053047001E-2</v>
      </c>
      <c r="AA104" s="27"/>
      <c r="AB104" s="27"/>
      <c r="AC104" s="56">
        <f t="shared" si="50"/>
        <v>2.1655655200624895E-3</v>
      </c>
      <c r="AD104" s="20">
        <f t="shared" si="46"/>
        <v>116801.91899999999</v>
      </c>
      <c r="AE104" s="20">
        <f t="shared" si="37"/>
        <v>0</v>
      </c>
      <c r="AF104" s="20">
        <f t="shared" si="38"/>
        <v>1262090304.45</v>
      </c>
      <c r="AG104">
        <f t="shared" si="39"/>
        <v>3412318.5739368</v>
      </c>
      <c r="AH104">
        <f t="shared" si="40"/>
        <v>3791465.0821520002</v>
      </c>
      <c r="AI104">
        <f t="shared" si="41"/>
        <v>16415905140</v>
      </c>
    </row>
    <row r="105" spans="2:35" x14ac:dyDescent="0.25">
      <c r="B105" s="4">
        <v>2022</v>
      </c>
      <c r="C105" s="4" t="s">
        <v>28</v>
      </c>
      <c r="D105" s="4" t="s">
        <v>169</v>
      </c>
      <c r="E105" s="4" t="str">
        <f t="shared" si="51"/>
        <v>Ameren-IL</v>
      </c>
      <c r="F105" s="4" t="s">
        <v>135</v>
      </c>
      <c r="G105" s="4"/>
      <c r="H105" s="4" t="s">
        <v>181</v>
      </c>
      <c r="I105" s="4"/>
      <c r="J105" s="4" t="s">
        <v>142</v>
      </c>
      <c r="K105" s="5">
        <v>43710</v>
      </c>
      <c r="L105" s="5">
        <f>K105/_xlfn.XLOOKUP(C105,'Utility target list'!$K$2:$K$8,'Utility target list'!$L$2:$L$8,1,0,1)</f>
        <v>48566.666666666664</v>
      </c>
      <c r="M105" s="8">
        <v>54468.217193083736</v>
      </c>
      <c r="N105" s="8"/>
      <c r="O105" s="8">
        <f>SUMIFS(EIAwtransport!$J$2:$J$675,EIAwtransport!$E$2:$E$675,Program_data!$E105,EIAwtransport!$H$2:$H$675,Program_data!$F105,EIAwtransport!$I$2:$I$675,Program_data!O$2)</f>
        <v>656607163</v>
      </c>
      <c r="P105" s="5">
        <f>SUMIFS(EIAwtransport!$J$2:$J$675,EIAwtransport!$E$2:$E$675,Program_data!$E105,EIAwtransport!$H$2:$H$675,Program_data!$F105,EIAwtransport!$I$2:$I$675,Program_data!P$2)</f>
        <v>52227229</v>
      </c>
      <c r="Q105" s="5">
        <f>SUMIFS(EIAwtransport!$J$2:$J$675,EIAwtransport!$E$2:$E$675,Program_data!$E105,EIAwtransport!$H$2:$H$675,Program_data!$F105,EIAwtransport!$I$2:$I$675,Program_data!Q$2)</f>
        <v>746102</v>
      </c>
      <c r="R105" s="8">
        <f>SUMIFS(EIAwtransport!$J$2:$J$675,EIAwtransport!$E$2:$E$675,Program_data!$E105,EIAwtransport!$I$2:$I$675,Program_data!R$2)</f>
        <v>934881707</v>
      </c>
      <c r="S105" s="5">
        <f>SUMIFS(EIAwtransport!$J$2:$J$675,EIAwtransport!$E$2:$E$675,Program_data!$E105,EIAwtransport!$I$2:$I$675,Program_data!S$2)</f>
        <v>155630500</v>
      </c>
      <c r="T105" s="5">
        <f>SUMIFS(EIAwtransport!$J$2:$J$675,EIAwtransport!$E$2:$E$675,Program_data!$E105,EIAwtransport!$I$2:$I$675,Program_data!T$2)</f>
        <v>814853</v>
      </c>
      <c r="U105" s="24">
        <f t="shared" si="47"/>
        <v>2.7109801543476178E-5</v>
      </c>
      <c r="V105" s="24">
        <f t="shared" si="31"/>
        <v>3.0122001714973528E-5</v>
      </c>
      <c r="W105" s="24">
        <f t="shared" si="48"/>
        <v>5.8262148874289326E-5</v>
      </c>
      <c r="X105" s="25">
        <f t="shared" si="49"/>
        <v>3.3782259403602314E-5</v>
      </c>
      <c r="Y105" s="8">
        <f t="shared" si="34"/>
        <v>3.8246784854612817E-2</v>
      </c>
      <c r="Z105" s="27">
        <f t="shared" si="35"/>
        <v>9.8420221285702731E-3</v>
      </c>
      <c r="AA105" s="27"/>
      <c r="AB105" s="27"/>
      <c r="AC105" s="56">
        <f t="shared" si="50"/>
        <v>2.9259889759199985E-3</v>
      </c>
      <c r="AD105" s="20">
        <f t="shared" si="46"/>
        <v>73532.09321066305</v>
      </c>
      <c r="AE105" s="20">
        <f t="shared" si="37"/>
        <v>0</v>
      </c>
      <c r="AF105" s="20">
        <f t="shared" si="38"/>
        <v>1262090304.45</v>
      </c>
      <c r="AG105">
        <f t="shared" si="39"/>
        <v>4610530.8</v>
      </c>
      <c r="AH105">
        <f t="shared" si="40"/>
        <v>5122812</v>
      </c>
      <c r="AI105">
        <f t="shared" si="41"/>
        <v>16415905140</v>
      </c>
    </row>
    <row r="106" spans="2:35" x14ac:dyDescent="0.25">
      <c r="B106" s="4">
        <v>2022</v>
      </c>
      <c r="C106" s="4" t="s">
        <v>28</v>
      </c>
      <c r="D106" s="4" t="s">
        <v>169</v>
      </c>
      <c r="E106" s="4" t="str">
        <f t="shared" si="51"/>
        <v>Ameren-IL</v>
      </c>
      <c r="F106" s="4" t="s">
        <v>135</v>
      </c>
      <c r="G106" s="4"/>
      <c r="H106" s="4" t="s">
        <v>183</v>
      </c>
      <c r="I106" s="4"/>
      <c r="J106" s="4" t="s">
        <v>42</v>
      </c>
      <c r="K106" s="5">
        <v>105449</v>
      </c>
      <c r="L106" s="5">
        <f>K106/_xlfn.XLOOKUP(C106,'Utility target list'!$K$2:$K$8,'Utility target list'!$L$2:$L$8,1,0,1)</f>
        <v>117165.55555555555</v>
      </c>
      <c r="M106" s="8">
        <v>87788.151933523215</v>
      </c>
      <c r="N106" s="8"/>
      <c r="O106" s="8">
        <f>SUMIFS(EIAwtransport!$J$2:$J$675,EIAwtransport!$E$2:$E$675,Program_data!$E106,EIAwtransport!$H$2:$H$675,Program_data!$F106,EIAwtransport!$I$2:$I$675,Program_data!O$2)</f>
        <v>656607163</v>
      </c>
      <c r="P106" s="5">
        <f>SUMIFS(EIAwtransport!$J$2:$J$675,EIAwtransport!$E$2:$E$675,Program_data!$E106,EIAwtransport!$H$2:$H$675,Program_data!$F106,EIAwtransport!$I$2:$I$675,Program_data!P$2)</f>
        <v>52227229</v>
      </c>
      <c r="Q106" s="5">
        <f>SUMIFS(EIAwtransport!$J$2:$J$675,EIAwtransport!$E$2:$E$675,Program_data!$E106,EIAwtransport!$H$2:$H$675,Program_data!$F106,EIAwtransport!$I$2:$I$675,Program_data!Q$2)</f>
        <v>746102</v>
      </c>
      <c r="R106" s="8">
        <f>SUMIFS(EIAwtransport!$J$2:$J$675,EIAwtransport!$E$2:$E$675,Program_data!$E106,EIAwtransport!$I$2:$I$675,Program_data!R$2)</f>
        <v>934881707</v>
      </c>
      <c r="S106" s="5">
        <f>SUMIFS(EIAwtransport!$J$2:$J$675,EIAwtransport!$E$2:$E$675,Program_data!$E106,EIAwtransport!$I$2:$I$675,Program_data!S$2)</f>
        <v>155630500</v>
      </c>
      <c r="T106" s="5">
        <f>SUMIFS(EIAwtransport!$J$2:$J$675,EIAwtransport!$E$2:$E$675,Program_data!$E106,EIAwtransport!$I$2:$I$675,Program_data!T$2)</f>
        <v>814853</v>
      </c>
      <c r="U106" s="24">
        <f t="shared" si="47"/>
        <v>6.5401543421597332E-5</v>
      </c>
      <c r="V106" s="24">
        <f t="shared" si="31"/>
        <v>7.2668381579552585E-5</v>
      </c>
      <c r="W106" s="24">
        <f t="shared" si="48"/>
        <v>9.3902951866746946E-5</v>
      </c>
      <c r="X106" s="25">
        <f t="shared" si="49"/>
        <v>5.4447938155716058E-5</v>
      </c>
      <c r="Y106" s="8">
        <f t="shared" si="34"/>
        <v>6.1643555321136294E-2</v>
      </c>
      <c r="Z106" s="27">
        <f t="shared" si="35"/>
        <v>1.5862698991839508E-2</v>
      </c>
      <c r="AA106" s="27"/>
      <c r="AB106" s="27"/>
      <c r="AC106" s="56">
        <f t="shared" si="50"/>
        <v>7.0588563605991283E-3</v>
      </c>
      <c r="AD106" s="20">
        <f t="shared" si="46"/>
        <v>118514.00511025634</v>
      </c>
      <c r="AE106" s="20">
        <f t="shared" si="37"/>
        <v>0</v>
      </c>
      <c r="AF106" s="20">
        <f t="shared" si="38"/>
        <v>1262090304.45</v>
      </c>
      <c r="AG106">
        <f t="shared" si="39"/>
        <v>11122760.52</v>
      </c>
      <c r="AH106">
        <f t="shared" si="40"/>
        <v>12358622.799999999</v>
      </c>
      <c r="AI106">
        <f t="shared" si="41"/>
        <v>16415905140</v>
      </c>
    </row>
    <row r="107" spans="2:35" x14ac:dyDescent="0.25">
      <c r="B107" s="4">
        <v>2022</v>
      </c>
      <c r="C107" s="4" t="s">
        <v>28</v>
      </c>
      <c r="D107" s="4" t="s">
        <v>169</v>
      </c>
      <c r="E107" s="4" t="str">
        <f t="shared" si="51"/>
        <v>Ameren-IL</v>
      </c>
      <c r="F107" s="4" t="s">
        <v>143</v>
      </c>
      <c r="G107" s="4">
        <v>1</v>
      </c>
      <c r="H107" s="4" t="s">
        <v>192</v>
      </c>
      <c r="I107" s="4"/>
      <c r="J107" s="4" t="s">
        <v>108</v>
      </c>
      <c r="K107" s="5">
        <v>53778</v>
      </c>
      <c r="L107" s="5">
        <f>K107/_xlfn.XLOOKUP(C107,'Utility target list'!$K$2:$K$8,'Utility target list'!$L$2:$L$8,1,0,1)</f>
        <v>59753.333333333328</v>
      </c>
      <c r="M107" s="8">
        <v>32309.696833256763</v>
      </c>
      <c r="N107" s="8"/>
      <c r="O107" s="8">
        <f>SUMIFS(EIAwtransport!$J$2:$J$675,EIAwtransport!$E$2:$E$675,Program_data!$E107,EIAwtransport!$H$2:$H$675,Program_data!$F107,EIAwtransport!$I$2:$I$675,Program_data!O$2)</f>
        <v>0</v>
      </c>
      <c r="P107" s="5">
        <f>SUMIFS(EIAwtransport!$J$2:$J$675,EIAwtransport!$E$2:$E$675,Program_data!$E107,EIAwtransport!$H$2:$H$675,Program_data!$F107,EIAwtransport!$I$2:$I$675,Program_data!P$2)</f>
        <v>0</v>
      </c>
      <c r="Q107" s="5">
        <f>SUMIFS(EIAwtransport!$J$2:$J$675,EIAwtransport!$E$2:$E$675,Program_data!$E107,EIAwtransport!$H$2:$H$675,Program_data!$F107,EIAwtransport!$I$2:$I$675,Program_data!Q$2)</f>
        <v>0</v>
      </c>
      <c r="R107" s="8">
        <f>SUMIFS(EIAwtransport!$J$2:$J$675,EIAwtransport!$E$2:$E$675,Program_data!$E107,EIAwtransport!$I$2:$I$675,Program_data!R$2)</f>
        <v>934881707</v>
      </c>
      <c r="S107" s="5">
        <f>SUMIFS(EIAwtransport!$J$2:$J$675,EIAwtransport!$E$2:$E$675,Program_data!$E107,EIAwtransport!$I$2:$I$675,Program_data!S$2)</f>
        <v>155630500</v>
      </c>
      <c r="T107" s="5">
        <f>SUMIFS(EIAwtransport!$J$2:$J$675,EIAwtransport!$E$2:$E$675,Program_data!$E107,EIAwtransport!$I$2:$I$675,Program_data!T$2)</f>
        <v>814853</v>
      </c>
      <c r="U107" s="24">
        <f t="shared" si="47"/>
        <v>3.33541731275466E-5</v>
      </c>
      <c r="V107" s="24">
        <f t="shared" si="31"/>
        <v>3.7060192363940661E-5</v>
      </c>
      <c r="W107" s="24">
        <f t="shared" si="48"/>
        <v>3.4560197928075156E-5</v>
      </c>
      <c r="X107" s="25">
        <f t="shared" si="49"/>
        <v>2.0039109336066611E-5</v>
      </c>
      <c r="Y107" s="8">
        <f t="shared" si="34"/>
        <v>2.3399007128152915E-2</v>
      </c>
      <c r="Z107" s="27">
        <f t="shared" si="35"/>
        <v>5.8381340089223265E-3</v>
      </c>
      <c r="AA107" s="27"/>
      <c r="AB107" s="27"/>
      <c r="AC107" s="56">
        <f t="shared" si="50"/>
        <v>3.5999504723638908E-3</v>
      </c>
      <c r="AD107" s="20">
        <f t="shared" si="46"/>
        <v>43618.090724896632</v>
      </c>
      <c r="AE107" s="20">
        <f t="shared" si="37"/>
        <v>0</v>
      </c>
      <c r="AF107" s="20">
        <f t="shared" si="38"/>
        <v>1262090304.45</v>
      </c>
      <c r="AG107">
        <f t="shared" si="39"/>
        <v>5672503.4400000004</v>
      </c>
      <c r="AH107">
        <f t="shared" si="40"/>
        <v>6302781.5999999996</v>
      </c>
      <c r="AI107">
        <f t="shared" si="41"/>
        <v>16415905140</v>
      </c>
    </row>
    <row r="108" spans="2:35" x14ac:dyDescent="0.25">
      <c r="B108" s="4">
        <v>2022</v>
      </c>
      <c r="C108" s="4" t="s">
        <v>28</v>
      </c>
      <c r="D108" s="4" t="s">
        <v>169</v>
      </c>
      <c r="E108" s="4" t="str">
        <f t="shared" si="51"/>
        <v>Ameren-IL</v>
      </c>
      <c r="F108" s="4" t="s">
        <v>143</v>
      </c>
      <c r="G108" s="4">
        <v>1</v>
      </c>
      <c r="H108" s="4" t="s">
        <v>193</v>
      </c>
      <c r="I108" s="4"/>
      <c r="J108" s="4" t="s">
        <v>108</v>
      </c>
      <c r="K108" s="5">
        <v>110459.66211604096</v>
      </c>
      <c r="L108" s="5">
        <f>K108/_xlfn.XLOOKUP(C108,'Utility target list'!$K$2:$K$8,'Utility target list'!$L$2:$L$8,1,0,1)</f>
        <v>122732.95790671217</v>
      </c>
      <c r="M108" s="8">
        <v>38917.839631069379</v>
      </c>
      <c r="N108" s="8"/>
      <c r="O108" s="8">
        <f>SUMIFS(EIAwtransport!$J$2:$J$675,EIAwtransport!$E$2:$E$675,Program_data!$E108,EIAwtransport!$H$2:$H$675,Program_data!$F108,EIAwtransport!$I$2:$I$675,Program_data!O$2)</f>
        <v>0</v>
      </c>
      <c r="P108" s="5">
        <f>SUMIFS(EIAwtransport!$J$2:$J$675,EIAwtransport!$E$2:$E$675,Program_data!$E108,EIAwtransport!$H$2:$H$675,Program_data!$F108,EIAwtransport!$I$2:$I$675,Program_data!P$2)</f>
        <v>0</v>
      </c>
      <c r="Q108" s="5">
        <f>SUMIFS(EIAwtransport!$J$2:$J$675,EIAwtransport!$E$2:$E$675,Program_data!$E108,EIAwtransport!$H$2:$H$675,Program_data!$F108,EIAwtransport!$I$2:$I$675,Program_data!Q$2)</f>
        <v>0</v>
      </c>
      <c r="R108" s="8">
        <f>SUMIFS(EIAwtransport!$J$2:$J$675,EIAwtransport!$E$2:$E$675,Program_data!$E108,EIAwtransport!$I$2:$I$675,Program_data!R$2)</f>
        <v>934881707</v>
      </c>
      <c r="S108" s="5">
        <f>SUMIFS(EIAwtransport!$J$2:$J$675,EIAwtransport!$E$2:$E$675,Program_data!$E108,EIAwtransport!$I$2:$I$675,Program_data!S$2)</f>
        <v>155630500</v>
      </c>
      <c r="T108" s="5">
        <f>SUMIFS(EIAwtransport!$J$2:$J$675,EIAwtransport!$E$2:$E$675,Program_data!$E108,EIAwtransport!$I$2:$I$675,Program_data!T$2)</f>
        <v>814853</v>
      </c>
      <c r="U108" s="24">
        <f t="shared" si="47"/>
        <v>6.8509254599068964E-5</v>
      </c>
      <c r="V108" s="24">
        <f t="shared" si="31"/>
        <v>7.6121393998965505E-5</v>
      </c>
      <c r="W108" s="24">
        <f t="shared" si="48"/>
        <v>4.1628624605304613E-5</v>
      </c>
      <c r="X108" s="25">
        <f t="shared" si="49"/>
        <v>2.4137609446330888E-5</v>
      </c>
      <c r="Y108" s="8">
        <f t="shared" si="34"/>
        <v>2.8184690547834939E-2</v>
      </c>
      <c r="Z108" s="27">
        <f t="shared" si="35"/>
        <v>7.0321787380580982E-3</v>
      </c>
      <c r="AA108" s="27"/>
      <c r="AB108" s="27"/>
      <c r="AC108" s="56">
        <f t="shared" si="50"/>
        <v>7.3942748486704119E-3</v>
      </c>
      <c r="AD108" s="20">
        <f t="shared" si="46"/>
        <v>52539.083501943664</v>
      </c>
      <c r="AE108" s="20">
        <f t="shared" si="37"/>
        <v>0</v>
      </c>
      <c r="AF108" s="20">
        <f t="shared" si="38"/>
        <v>1262090304.45</v>
      </c>
      <c r="AG108">
        <f t="shared" si="39"/>
        <v>11651285.16</v>
      </c>
      <c r="AH108">
        <f t="shared" si="40"/>
        <v>12945872.4</v>
      </c>
      <c r="AI108">
        <f t="shared" si="41"/>
        <v>16415905140</v>
      </c>
    </row>
    <row r="109" spans="2:35" x14ac:dyDescent="0.25">
      <c r="B109" s="4">
        <v>2022</v>
      </c>
      <c r="C109" s="4" t="s">
        <v>28</v>
      </c>
      <c r="D109" s="4" t="s">
        <v>169</v>
      </c>
      <c r="E109" s="4" t="str">
        <f t="shared" si="51"/>
        <v>Ameren-IL</v>
      </c>
      <c r="F109" s="4" t="s">
        <v>143</v>
      </c>
      <c r="G109" s="4">
        <v>1</v>
      </c>
      <c r="H109" s="4" t="s">
        <v>195</v>
      </c>
      <c r="I109" s="4"/>
      <c r="J109" s="4" t="s">
        <v>108</v>
      </c>
      <c r="K109" s="5">
        <v>29259</v>
      </c>
      <c r="L109" s="5">
        <f>K109/_xlfn.XLOOKUP(C109,'Utility target list'!$K$2:$K$8,'Utility target list'!$L$2:$L$8,1,0,1)</f>
        <v>32510</v>
      </c>
      <c r="M109" s="8">
        <v>602339.93378618313</v>
      </c>
      <c r="N109" s="8"/>
      <c r="O109" s="8">
        <f>SUMIFS(EIAwtransport!$J$2:$J$675,EIAwtransport!$E$2:$E$675,Program_data!$E109,EIAwtransport!$H$2:$H$675,Program_data!$F109,EIAwtransport!$I$2:$I$675,Program_data!O$2)</f>
        <v>0</v>
      </c>
      <c r="P109" s="5">
        <f>SUMIFS(EIAwtransport!$J$2:$J$675,EIAwtransport!$E$2:$E$675,Program_data!$E109,EIAwtransport!$H$2:$H$675,Program_data!$F109,EIAwtransport!$I$2:$I$675,Program_data!P$2)</f>
        <v>0</v>
      </c>
      <c r="Q109" s="5">
        <f>SUMIFS(EIAwtransport!$J$2:$J$675,EIAwtransport!$E$2:$E$675,Program_data!$E109,EIAwtransport!$H$2:$H$675,Program_data!$F109,EIAwtransport!$I$2:$I$675,Program_data!Q$2)</f>
        <v>0</v>
      </c>
      <c r="R109" s="8">
        <f>SUMIFS(EIAwtransport!$J$2:$J$675,EIAwtransport!$E$2:$E$675,Program_data!$E109,EIAwtransport!$I$2:$I$675,Program_data!R$2)</f>
        <v>934881707</v>
      </c>
      <c r="S109" s="5">
        <f>SUMIFS(EIAwtransport!$J$2:$J$675,EIAwtransport!$E$2:$E$675,Program_data!$E109,EIAwtransport!$I$2:$I$675,Program_data!S$2)</f>
        <v>155630500</v>
      </c>
      <c r="T109" s="5">
        <f>SUMIFS(EIAwtransport!$J$2:$J$675,EIAwtransport!$E$2:$E$675,Program_data!$E109,EIAwtransport!$I$2:$I$675,Program_data!T$2)</f>
        <v>814853</v>
      </c>
      <c r="U109" s="24">
        <f t="shared" si="47"/>
        <v>1.8147007169081895E-5</v>
      </c>
      <c r="V109" s="24">
        <f t="shared" si="31"/>
        <v>2.0163341298979878E-5</v>
      </c>
      <c r="W109" s="24">
        <f t="shared" si="48"/>
        <v>6.4429534696862259E-4</v>
      </c>
      <c r="X109" s="25">
        <f t="shared" si="49"/>
        <v>3.7358307176055836E-4</v>
      </c>
      <c r="Y109" s="8">
        <f t="shared" si="34"/>
        <v>0.43622063298739366</v>
      </c>
      <c r="Z109" s="27">
        <f t="shared" si="35"/>
        <v>0.10883857160645097</v>
      </c>
      <c r="AA109" s="27"/>
      <c r="AB109" s="27"/>
      <c r="AC109" s="56">
        <f t="shared" si="50"/>
        <v>1.9586252904699891E-3</v>
      </c>
      <c r="AD109" s="20">
        <f t="shared" si="46"/>
        <v>813158.9106113473</v>
      </c>
      <c r="AE109" s="20">
        <f t="shared" si="37"/>
        <v>0</v>
      </c>
      <c r="AF109" s="20">
        <f t="shared" si="38"/>
        <v>1262090304.45</v>
      </c>
      <c r="AG109">
        <f t="shared" si="39"/>
        <v>3086239.3200000003</v>
      </c>
      <c r="AH109">
        <f t="shared" si="40"/>
        <v>3429154.8000000003</v>
      </c>
      <c r="AI109">
        <f t="shared" si="41"/>
        <v>16415905140</v>
      </c>
    </row>
    <row r="110" spans="2:35" x14ac:dyDescent="0.25">
      <c r="B110" s="4">
        <v>2022</v>
      </c>
      <c r="C110" s="4" t="s">
        <v>28</v>
      </c>
      <c r="D110" s="4" t="s">
        <v>169</v>
      </c>
      <c r="E110" s="4" t="str">
        <f t="shared" si="51"/>
        <v>Ameren-IL</v>
      </c>
      <c r="F110" s="4" t="s">
        <v>143</v>
      </c>
      <c r="G110" s="4">
        <v>1</v>
      </c>
      <c r="H110" s="4" t="s">
        <v>196</v>
      </c>
      <c r="I110" s="4" t="s">
        <v>167</v>
      </c>
      <c r="J110" s="4" t="s">
        <v>155</v>
      </c>
      <c r="K110" s="5"/>
      <c r="L110" s="5">
        <f>K110/_xlfn.XLOOKUP(C110,'Utility target list'!$K$2:$K$8,'Utility target list'!$L$2:$L$8,1,0,1)</f>
        <v>0</v>
      </c>
      <c r="M110" s="8">
        <v>18429.12</v>
      </c>
      <c r="N110" s="8"/>
      <c r="O110" s="8">
        <f>SUMIFS(EIAwtransport!$J$2:$J$675,EIAwtransport!$E$2:$E$675,Program_data!$E110,EIAwtransport!$H$2:$H$675,Program_data!$F110,EIAwtransport!$I$2:$I$675,Program_data!O$2)</f>
        <v>0</v>
      </c>
      <c r="P110" s="5">
        <f>SUMIFS(EIAwtransport!$J$2:$J$675,EIAwtransport!$E$2:$E$675,Program_data!$E110,EIAwtransport!$H$2:$H$675,Program_data!$F110,EIAwtransport!$I$2:$I$675,Program_data!P$2)</f>
        <v>0</v>
      </c>
      <c r="Q110" s="5">
        <f>SUMIFS(EIAwtransport!$J$2:$J$675,EIAwtransport!$E$2:$E$675,Program_data!$E110,EIAwtransport!$H$2:$H$675,Program_data!$F110,EIAwtransport!$I$2:$I$675,Program_data!Q$2)</f>
        <v>0</v>
      </c>
      <c r="R110" s="8">
        <f>SUMIFS(EIAwtransport!$J$2:$J$675,EIAwtransport!$E$2:$E$675,Program_data!$E110,EIAwtransport!$I$2:$I$675,Program_data!R$2)</f>
        <v>934881707</v>
      </c>
      <c r="S110" s="5">
        <f>SUMIFS(EIAwtransport!$J$2:$J$675,EIAwtransport!$E$2:$E$675,Program_data!$E110,EIAwtransport!$I$2:$I$675,Program_data!S$2)</f>
        <v>155630500</v>
      </c>
      <c r="T110" s="5">
        <f>SUMIFS(EIAwtransport!$J$2:$J$675,EIAwtransport!$E$2:$E$675,Program_data!$E110,EIAwtransport!$I$2:$I$675,Program_data!T$2)</f>
        <v>814853</v>
      </c>
      <c r="U110" s="24">
        <f t="shared" si="47"/>
        <v>0</v>
      </c>
      <c r="V110" s="24">
        <f t="shared" si="31"/>
        <v>0</v>
      </c>
      <c r="W110" s="24">
        <f t="shared" si="48"/>
        <v>1.9712782763862551E-5</v>
      </c>
      <c r="X110" s="25">
        <f t="shared" si="49"/>
        <v>1.1430102626879607E-5</v>
      </c>
      <c r="Y110" s="8">
        <f t="shared" si="34"/>
        <v>1.3346553899005398E-2</v>
      </c>
      <c r="Z110" s="27">
        <f t="shared" si="35"/>
        <v>3.3300118160120031E-3</v>
      </c>
      <c r="AA110" s="27"/>
      <c r="AB110" s="27"/>
      <c r="AC110" s="56">
        <f t="shared" si="50"/>
        <v>0</v>
      </c>
      <c r="AD110" s="20">
        <f t="shared" si="46"/>
        <v>24879.312000000002</v>
      </c>
      <c r="AE110" s="20">
        <f t="shared" si="37"/>
        <v>0</v>
      </c>
      <c r="AF110" s="20">
        <f t="shared" si="38"/>
        <v>1262090304.45</v>
      </c>
      <c r="AG110">
        <f t="shared" si="39"/>
        <v>0</v>
      </c>
      <c r="AH110">
        <f t="shared" si="40"/>
        <v>0</v>
      </c>
      <c r="AI110">
        <f t="shared" si="41"/>
        <v>16415905140</v>
      </c>
    </row>
    <row r="111" spans="2:35" x14ac:dyDescent="0.25">
      <c r="B111" s="4">
        <v>2022</v>
      </c>
      <c r="C111" s="4" t="s">
        <v>28</v>
      </c>
      <c r="D111" s="4" t="s">
        <v>169</v>
      </c>
      <c r="E111" s="4" t="str">
        <f t="shared" si="51"/>
        <v>Ameren-IL</v>
      </c>
      <c r="F111" s="4" t="s">
        <v>143</v>
      </c>
      <c r="G111" s="4">
        <v>1</v>
      </c>
      <c r="H111" s="4" t="s">
        <v>173</v>
      </c>
      <c r="I111" s="4" t="s">
        <v>167</v>
      </c>
      <c r="J111" s="4" t="s">
        <v>155</v>
      </c>
      <c r="K111" s="5">
        <v>0</v>
      </c>
      <c r="L111" s="5"/>
      <c r="M111" s="8">
        <v>0</v>
      </c>
      <c r="N111" s="8"/>
      <c r="O111" s="8">
        <f>SUMIFS(EIAwtransport!$J$2:$J$675,EIAwtransport!$E$2:$E$675,Program_data!$E111,EIAwtransport!$H$2:$H$675,Program_data!$F111,EIAwtransport!$I$2:$I$675,Program_data!O$2)</f>
        <v>0</v>
      </c>
      <c r="P111" s="5">
        <f>SUMIFS(EIAwtransport!$J$2:$J$675,EIAwtransport!$E$2:$E$675,Program_data!$E111,EIAwtransport!$H$2:$H$675,Program_data!$F111,EIAwtransport!$I$2:$I$675,Program_data!P$2)</f>
        <v>0</v>
      </c>
      <c r="Q111" s="5">
        <f>SUMIFS(EIAwtransport!$J$2:$J$675,EIAwtransport!$E$2:$E$675,Program_data!$E111,EIAwtransport!$H$2:$H$675,Program_data!$F111,EIAwtransport!$I$2:$I$675,Program_data!Q$2)</f>
        <v>0</v>
      </c>
      <c r="R111" s="8">
        <f>SUMIFS(EIAwtransport!$J$2:$J$675,EIAwtransport!$E$2:$E$675,Program_data!$E111,EIAwtransport!$I$2:$I$675,Program_data!R$2)</f>
        <v>934881707</v>
      </c>
      <c r="S111" s="5">
        <f>SUMIFS(EIAwtransport!$J$2:$J$675,EIAwtransport!$E$2:$E$675,Program_data!$E111,EIAwtransport!$I$2:$I$675,Program_data!S$2)</f>
        <v>155630500</v>
      </c>
      <c r="T111" s="5">
        <f>SUMIFS(EIAwtransport!$J$2:$J$675,EIAwtransport!$E$2:$E$675,Program_data!$E111,EIAwtransport!$I$2:$I$675,Program_data!T$2)</f>
        <v>814853</v>
      </c>
      <c r="U111" s="24">
        <f t="shared" si="47"/>
        <v>0</v>
      </c>
      <c r="V111" s="24">
        <f t="shared" si="31"/>
        <v>0</v>
      </c>
      <c r="W111" s="24">
        <f t="shared" si="48"/>
        <v>0</v>
      </c>
      <c r="X111" s="25">
        <f t="shared" si="49"/>
        <v>0</v>
      </c>
      <c r="Y111" s="8">
        <f t="shared" si="34"/>
        <v>0</v>
      </c>
      <c r="Z111" s="27">
        <f t="shared" si="35"/>
        <v>0</v>
      </c>
      <c r="AA111" s="27"/>
      <c r="AB111" s="27"/>
      <c r="AC111" s="56">
        <f t="shared" si="50"/>
        <v>0</v>
      </c>
      <c r="AD111" s="20">
        <f t="shared" si="46"/>
        <v>0</v>
      </c>
      <c r="AE111" s="20">
        <f t="shared" si="37"/>
        <v>0</v>
      </c>
      <c r="AF111" s="20">
        <f t="shared" si="38"/>
        <v>1262090304.45</v>
      </c>
      <c r="AG111">
        <f t="shared" si="39"/>
        <v>0</v>
      </c>
      <c r="AH111">
        <f t="shared" si="40"/>
        <v>0</v>
      </c>
      <c r="AI111">
        <f t="shared" si="41"/>
        <v>16415905140</v>
      </c>
    </row>
    <row r="112" spans="2:35" x14ac:dyDescent="0.25">
      <c r="B112" s="4">
        <v>2022</v>
      </c>
      <c r="C112" s="4" t="s">
        <v>28</v>
      </c>
      <c r="D112" s="4" t="s">
        <v>169</v>
      </c>
      <c r="E112" s="4" t="str">
        <f t="shared" si="51"/>
        <v>Ameren-IL</v>
      </c>
      <c r="F112" s="4" t="s">
        <v>135</v>
      </c>
      <c r="G112" s="4"/>
      <c r="H112" s="4" t="s">
        <v>187</v>
      </c>
      <c r="I112" s="4"/>
      <c r="J112" s="4" t="s">
        <v>142</v>
      </c>
      <c r="K112" s="5">
        <v>20850</v>
      </c>
      <c r="L112" s="5">
        <f>K112/_xlfn.XLOOKUP(C112,'Utility target list'!$K$2:$K$8,'Utility target list'!$L$2:$L$8,1,0,1)</f>
        <v>23166.666666666668</v>
      </c>
      <c r="M112" s="8">
        <v>17695.738799999999</v>
      </c>
      <c r="N112" s="8"/>
      <c r="O112" s="8">
        <f>SUMIFS(EIAwtransport!$J$2:$J$675,EIAwtransport!$E$2:$E$675,Program_data!$E112,EIAwtransport!$H$2:$H$675,Program_data!$F112,EIAwtransport!$I$2:$I$675,Program_data!O$2)</f>
        <v>656607163</v>
      </c>
      <c r="P112" s="5">
        <f>SUMIFS(EIAwtransport!$J$2:$J$675,EIAwtransport!$E$2:$E$675,Program_data!$E112,EIAwtransport!$H$2:$H$675,Program_data!$F112,EIAwtransport!$I$2:$I$675,Program_data!P$2)</f>
        <v>52227229</v>
      </c>
      <c r="Q112" s="5">
        <f>SUMIFS(EIAwtransport!$J$2:$J$675,EIAwtransport!$E$2:$E$675,Program_data!$E112,EIAwtransport!$H$2:$H$675,Program_data!$F112,EIAwtransport!$I$2:$I$675,Program_data!Q$2)</f>
        <v>746102</v>
      </c>
      <c r="R112" s="8">
        <f>SUMIFS(EIAwtransport!$J$2:$J$675,EIAwtransport!$E$2:$E$675,Program_data!$E112,EIAwtransport!$I$2:$I$675,Program_data!R$2)</f>
        <v>934881707</v>
      </c>
      <c r="S112" s="5">
        <f>SUMIFS(EIAwtransport!$J$2:$J$675,EIAwtransport!$E$2:$E$675,Program_data!$E112,EIAwtransport!$I$2:$I$675,Program_data!S$2)</f>
        <v>155630500</v>
      </c>
      <c r="T112" s="5">
        <f>SUMIFS(EIAwtransport!$J$2:$J$675,EIAwtransport!$E$2:$E$675,Program_data!$E112,EIAwtransport!$I$2:$I$675,Program_data!T$2)</f>
        <v>814853</v>
      </c>
      <c r="U112" s="24">
        <f t="shared" si="47"/>
        <v>1.2931580008727484E-5</v>
      </c>
      <c r="V112" s="24">
        <f t="shared" si="31"/>
        <v>1.4368422231919428E-5</v>
      </c>
      <c r="W112" s="24">
        <f t="shared" si="48"/>
        <v>1.8928318596354779E-5</v>
      </c>
      <c r="X112" s="25">
        <f t="shared" si="49"/>
        <v>1.0975245184927736E-5</v>
      </c>
      <c r="Y112" s="8">
        <f t="shared" si="34"/>
        <v>1.2425688770532472E-2</v>
      </c>
      <c r="Z112" s="27">
        <f t="shared" si="35"/>
        <v>3.1974950131673169E-3</v>
      </c>
      <c r="AA112" s="27"/>
      <c r="AB112" s="27"/>
      <c r="AC112" s="56">
        <f t="shared" si="50"/>
        <v>1.3957188320277273E-3</v>
      </c>
      <c r="AD112" s="20">
        <f t="shared" si="46"/>
        <v>23889.247380000001</v>
      </c>
      <c r="AE112" s="20">
        <f t="shared" si="37"/>
        <v>0</v>
      </c>
      <c r="AF112" s="20">
        <f t="shared" si="38"/>
        <v>1262090304.45</v>
      </c>
      <c r="AG112">
        <f t="shared" si="39"/>
        <v>2199258</v>
      </c>
      <c r="AH112">
        <f t="shared" si="40"/>
        <v>2443620</v>
      </c>
      <c r="AI112">
        <f t="shared" si="41"/>
        <v>16415905140</v>
      </c>
    </row>
    <row r="113" spans="2:35" x14ac:dyDescent="0.25">
      <c r="B113" s="4">
        <v>2022</v>
      </c>
      <c r="C113" s="4" t="s">
        <v>28</v>
      </c>
      <c r="D113" s="4" t="s">
        <v>169</v>
      </c>
      <c r="E113" s="4" t="str">
        <f t="shared" si="51"/>
        <v>Ameren-IL</v>
      </c>
      <c r="F113" s="4" t="s">
        <v>135</v>
      </c>
      <c r="G113" s="4"/>
      <c r="H113" s="4" t="s">
        <v>197</v>
      </c>
      <c r="I113" s="4" t="s">
        <v>167</v>
      </c>
      <c r="J113" s="4" t="s">
        <v>155</v>
      </c>
      <c r="K113" s="5">
        <v>0</v>
      </c>
      <c r="L113" s="5">
        <f>K113/_xlfn.XLOOKUP(C113,'Utility target list'!$K$2:$K$8,'Utility target list'!$L$2:$L$8,1,0,1)</f>
        <v>0</v>
      </c>
      <c r="M113" s="8">
        <v>0</v>
      </c>
      <c r="N113" s="8"/>
      <c r="O113" s="8">
        <f>SUMIFS(EIAwtransport!$J$2:$J$675,EIAwtransport!$E$2:$E$675,Program_data!$E113,EIAwtransport!$H$2:$H$675,Program_data!$F113,EIAwtransport!$I$2:$I$675,Program_data!O$2)</f>
        <v>656607163</v>
      </c>
      <c r="P113" s="5">
        <f>SUMIFS(EIAwtransport!$J$2:$J$675,EIAwtransport!$E$2:$E$675,Program_data!$E113,EIAwtransport!$H$2:$H$675,Program_data!$F113,EIAwtransport!$I$2:$I$675,Program_data!P$2)</f>
        <v>52227229</v>
      </c>
      <c r="Q113" s="5">
        <f>SUMIFS(EIAwtransport!$J$2:$J$675,EIAwtransport!$E$2:$E$675,Program_data!$E113,EIAwtransport!$H$2:$H$675,Program_data!$F113,EIAwtransport!$I$2:$I$675,Program_data!Q$2)</f>
        <v>746102</v>
      </c>
      <c r="R113" s="8">
        <f>SUMIFS(EIAwtransport!$J$2:$J$675,EIAwtransport!$E$2:$E$675,Program_data!$E113,EIAwtransport!$I$2:$I$675,Program_data!R$2)</f>
        <v>934881707</v>
      </c>
      <c r="S113" s="5">
        <f>SUMIFS(EIAwtransport!$J$2:$J$675,EIAwtransport!$E$2:$E$675,Program_data!$E113,EIAwtransport!$I$2:$I$675,Program_data!S$2)</f>
        <v>155630500</v>
      </c>
      <c r="T113" s="5">
        <f>SUMIFS(EIAwtransport!$J$2:$J$675,EIAwtransport!$E$2:$E$675,Program_data!$E113,EIAwtransport!$I$2:$I$675,Program_data!T$2)</f>
        <v>814853</v>
      </c>
      <c r="U113" s="24">
        <f t="shared" si="47"/>
        <v>0</v>
      </c>
      <c r="V113" s="24">
        <f t="shared" si="31"/>
        <v>0</v>
      </c>
      <c r="W113" s="24">
        <f t="shared" si="48"/>
        <v>0</v>
      </c>
      <c r="X113" s="25">
        <f t="shared" si="49"/>
        <v>0</v>
      </c>
      <c r="Y113" s="8">
        <f t="shared" si="34"/>
        <v>0</v>
      </c>
      <c r="Z113" s="27">
        <f t="shared" si="35"/>
        <v>0</v>
      </c>
      <c r="AA113" s="27"/>
      <c r="AB113" s="27"/>
      <c r="AC113" s="56">
        <f t="shared" si="50"/>
        <v>0</v>
      </c>
      <c r="AD113" s="20">
        <f t="shared" si="46"/>
        <v>0</v>
      </c>
      <c r="AE113" s="20">
        <f t="shared" si="37"/>
        <v>0</v>
      </c>
      <c r="AF113" s="20">
        <f t="shared" si="38"/>
        <v>1262090304.45</v>
      </c>
      <c r="AG113">
        <f t="shared" si="39"/>
        <v>0</v>
      </c>
      <c r="AH113">
        <f t="shared" si="40"/>
        <v>0</v>
      </c>
      <c r="AI113">
        <f t="shared" si="41"/>
        <v>16415905140</v>
      </c>
    </row>
    <row r="114" spans="2:35" x14ac:dyDescent="0.25">
      <c r="B114" s="94">
        <v>2022</v>
      </c>
      <c r="C114" s="4" t="s">
        <v>28</v>
      </c>
      <c r="D114" s="4" t="s">
        <v>169</v>
      </c>
      <c r="E114" s="4" t="str">
        <f t="shared" si="51"/>
        <v>Ameren-IL</v>
      </c>
      <c r="F114" s="4" t="s">
        <v>135</v>
      </c>
      <c r="G114" s="4"/>
      <c r="H114" s="4" t="s">
        <v>198</v>
      </c>
      <c r="I114" s="4" t="s">
        <v>167</v>
      </c>
      <c r="J114" s="4" t="s">
        <v>155</v>
      </c>
      <c r="K114" s="5">
        <v>0</v>
      </c>
      <c r="L114" s="5">
        <f>K114/_xlfn.XLOOKUP(C114,'Utility target list'!$K$2:$K$8,'Utility target list'!$L$2:$L$8,1,0,1)</f>
        <v>0</v>
      </c>
      <c r="M114" s="8">
        <v>0</v>
      </c>
      <c r="N114" s="8"/>
      <c r="O114" s="8">
        <f>SUMIFS(EIAwtransport!$J$2:$J$675,EIAwtransport!$E$2:$E$675,Program_data!$E114,EIAwtransport!$H$2:$H$675,Program_data!$F114,EIAwtransport!$I$2:$I$675,Program_data!O$2)</f>
        <v>656607163</v>
      </c>
      <c r="P114" s="5">
        <f>SUMIFS(EIAwtransport!$J$2:$J$675,EIAwtransport!$E$2:$E$675,Program_data!$E114,EIAwtransport!$H$2:$H$675,Program_data!$F114,EIAwtransport!$I$2:$I$675,Program_data!P$2)</f>
        <v>52227229</v>
      </c>
      <c r="Q114" s="5">
        <f>SUMIFS(EIAwtransport!$J$2:$J$675,EIAwtransport!$E$2:$E$675,Program_data!$E114,EIAwtransport!$H$2:$H$675,Program_data!$F114,EIAwtransport!$I$2:$I$675,Program_data!Q$2)</f>
        <v>746102</v>
      </c>
      <c r="R114" s="8">
        <f>SUMIFS(EIAwtransport!$J$2:$J$675,EIAwtransport!$E$2:$E$675,Program_data!$E114,EIAwtransport!$I$2:$I$675,Program_data!R$2)</f>
        <v>934881707</v>
      </c>
      <c r="S114" s="5">
        <f>SUMIFS(EIAwtransport!$J$2:$J$675,EIAwtransport!$E$2:$E$675,Program_data!$E114,EIAwtransport!$I$2:$I$675,Program_data!S$2)</f>
        <v>155630500</v>
      </c>
      <c r="T114" s="5">
        <f>SUMIFS(EIAwtransport!$J$2:$J$675,EIAwtransport!$E$2:$E$675,Program_data!$E114,EIAwtransport!$I$2:$I$675,Program_data!T$2)</f>
        <v>814853</v>
      </c>
      <c r="U114" s="24">
        <f t="shared" si="47"/>
        <v>0</v>
      </c>
      <c r="V114" s="24">
        <f t="shared" si="31"/>
        <v>0</v>
      </c>
      <c r="W114" s="24">
        <f t="shared" si="48"/>
        <v>0</v>
      </c>
      <c r="X114" s="25">
        <f t="shared" si="49"/>
        <v>0</v>
      </c>
      <c r="Y114" s="8">
        <f t="shared" si="34"/>
        <v>0</v>
      </c>
      <c r="Z114" s="27">
        <f t="shared" si="35"/>
        <v>0</v>
      </c>
      <c r="AA114" s="27"/>
      <c r="AB114" s="27"/>
      <c r="AC114" s="56">
        <f t="shared" si="50"/>
        <v>0</v>
      </c>
      <c r="AD114" s="20">
        <f t="shared" si="46"/>
        <v>0</v>
      </c>
      <c r="AE114" s="20">
        <f t="shared" si="37"/>
        <v>0</v>
      </c>
      <c r="AF114" s="20">
        <f t="shared" si="38"/>
        <v>1262090304.45</v>
      </c>
      <c r="AG114">
        <f t="shared" si="39"/>
        <v>0</v>
      </c>
      <c r="AH114">
        <f t="shared" si="40"/>
        <v>0</v>
      </c>
      <c r="AI114">
        <f t="shared" si="41"/>
        <v>16415905140</v>
      </c>
    </row>
    <row r="115" spans="2:35" x14ac:dyDescent="0.25">
      <c r="B115" s="4">
        <v>2023</v>
      </c>
      <c r="C115" s="4" t="s">
        <v>199</v>
      </c>
      <c r="D115" s="4" t="s">
        <v>200</v>
      </c>
      <c r="E115" s="4" t="str">
        <f t="shared" si="51"/>
        <v>DTE-MI</v>
      </c>
      <c r="F115" s="4" t="s">
        <v>135</v>
      </c>
      <c r="G115" s="4"/>
      <c r="H115" s="4" t="s">
        <v>201</v>
      </c>
      <c r="I115" s="11"/>
      <c r="J115" s="4" t="s">
        <v>142</v>
      </c>
      <c r="K115" s="5">
        <v>273504</v>
      </c>
      <c r="L115" s="5">
        <f>K115/0.92</f>
        <v>297286.95652173914</v>
      </c>
      <c r="M115" s="8">
        <v>426247</v>
      </c>
      <c r="N115" s="8"/>
      <c r="O115" s="8">
        <f>SUMIFS(EIAwtransport!$J$2:$J$675,EIAwtransport!$E$2:$E$675,Program_data!$E115,EIAwtransport!$H$2:$H$675,Program_data!$F115,EIAwtransport!$I$2:$I$675,Program_data!O$2)</f>
        <v>931968579</v>
      </c>
      <c r="P115" s="5">
        <f>SUMIFS(EIAwtransport!$J$2:$J$675,EIAwtransport!$E$2:$E$675,Program_data!$E115,EIAwtransport!$H$2:$H$675,Program_data!$F115,EIAwtransport!$I$2:$I$675,Program_data!P$2)</f>
        <v>108792722</v>
      </c>
      <c r="Q115" s="5">
        <f>SUMIFS(EIAwtransport!$J$2:$J$675,EIAwtransport!$E$2:$E$675,Program_data!$E115,EIAwtransport!$H$2:$H$675,Program_data!$F115,EIAwtransport!$I$2:$I$675,Program_data!Q$2)</f>
        <v>1214769</v>
      </c>
      <c r="R115" s="8">
        <f>SUMIFS(EIAwtransport!$J$2:$J$675,EIAwtransport!$E$2:$E$675,Program_data!$E115,EIAwtransport!$I$2:$I$675,Program_data!R$2)</f>
        <v>1280322374</v>
      </c>
      <c r="S115" s="5">
        <f>SUMIFS(EIAwtransport!$J$2:$J$675,EIAwtransport!$E$2:$E$675,Program_data!$E115,EIAwtransport!$I$2:$I$675,Program_data!S$2)</f>
        <v>233428713</v>
      </c>
      <c r="T115" s="5">
        <f>SUMIFS(EIAwtransport!$J$2:$J$675,EIAwtransport!$E$2:$E$675,Program_data!$E115,EIAwtransport!$I$2:$I$675,Program_data!T$2)</f>
        <v>1305155</v>
      </c>
      <c r="U115" s="24">
        <f t="shared" si="47"/>
        <v>1.1309662663478764E-4</v>
      </c>
      <c r="V115" s="24">
        <f t="shared" si="31"/>
        <v>1.2293111590737789E-4</v>
      </c>
      <c r="W115" s="24">
        <f t="shared" si="48"/>
        <v>3.3292162087921145E-4</v>
      </c>
      <c r="X115" s="25">
        <f t="shared" si="49"/>
        <v>1.7625737763688403E-4</v>
      </c>
      <c r="Y115" s="8">
        <f t="shared" si="34"/>
        <v>5.327913437068011E-2</v>
      </c>
      <c r="Z115" s="27">
        <f t="shared" si="35"/>
        <v>2.2781642705839614E-2</v>
      </c>
      <c r="AA115" s="27"/>
      <c r="AB115" s="27"/>
      <c r="AC115" s="56">
        <f t="shared" si="50"/>
        <v>6.8624365302904274E-3</v>
      </c>
      <c r="AD115" s="20">
        <f t="shared" si="46"/>
        <v>575433.45000000007</v>
      </c>
      <c r="AE115" s="20">
        <f t="shared" si="37"/>
        <v>0</v>
      </c>
      <c r="AF115" s="20">
        <f t="shared" si="38"/>
        <v>1728435204.9000001</v>
      </c>
      <c r="AG115">
        <f t="shared" si="39"/>
        <v>28849201.920000002</v>
      </c>
      <c r="AH115">
        <f t="shared" si="40"/>
        <v>31357828.173913047</v>
      </c>
      <c r="AI115">
        <f t="shared" si="41"/>
        <v>24622060647.240002</v>
      </c>
    </row>
    <row r="116" spans="2:35" x14ac:dyDescent="0.25">
      <c r="B116" s="4">
        <v>2023</v>
      </c>
      <c r="C116" s="4" t="s">
        <v>199</v>
      </c>
      <c r="D116" s="4" t="s">
        <v>200</v>
      </c>
      <c r="E116" s="4" t="str">
        <f t="shared" si="51"/>
        <v>DTE-MI</v>
      </c>
      <c r="F116" s="4" t="s">
        <v>135</v>
      </c>
      <c r="G116" s="4"/>
      <c r="H116" s="4" t="s">
        <v>202</v>
      </c>
      <c r="I116" s="11"/>
      <c r="J116" s="4" t="s">
        <v>142</v>
      </c>
      <c r="K116" s="5">
        <v>2727591.1599999997</v>
      </c>
      <c r="L116" s="5">
        <f t="shared" ref="L116:L129" si="52">K116/0.92</f>
        <v>2964772.9999999995</v>
      </c>
      <c r="M116" s="8">
        <v>5183365</v>
      </c>
      <c r="N116" s="8"/>
      <c r="O116" s="8">
        <f>SUMIFS(EIAwtransport!$J$2:$J$675,EIAwtransport!$E$2:$E$675,Program_data!$E116,EIAwtransport!$H$2:$H$675,Program_data!$F116,EIAwtransport!$I$2:$I$675,Program_data!O$2)</f>
        <v>931968579</v>
      </c>
      <c r="P116" s="5">
        <f>SUMIFS(EIAwtransport!$J$2:$J$675,EIAwtransport!$E$2:$E$675,Program_data!$E116,EIAwtransport!$H$2:$H$675,Program_data!$F116,EIAwtransport!$I$2:$I$675,Program_data!P$2)</f>
        <v>108792722</v>
      </c>
      <c r="Q116" s="5">
        <f>SUMIFS(EIAwtransport!$J$2:$J$675,EIAwtransport!$E$2:$E$675,Program_data!$E116,EIAwtransport!$H$2:$H$675,Program_data!$F116,EIAwtransport!$I$2:$I$675,Program_data!Q$2)</f>
        <v>1214769</v>
      </c>
      <c r="R116" s="8">
        <f>SUMIFS(EIAwtransport!$J$2:$J$675,EIAwtransport!$E$2:$E$675,Program_data!$E116,EIAwtransport!$I$2:$I$675,Program_data!R$2)</f>
        <v>1280322374</v>
      </c>
      <c r="S116" s="5">
        <f>SUMIFS(EIAwtransport!$J$2:$J$675,EIAwtransport!$E$2:$E$675,Program_data!$E116,EIAwtransport!$I$2:$I$675,Program_data!S$2)</f>
        <v>233428713</v>
      </c>
      <c r="T116" s="5">
        <f>SUMIFS(EIAwtransport!$J$2:$J$675,EIAwtransport!$E$2:$E$675,Program_data!$E116,EIAwtransport!$I$2:$I$675,Program_data!T$2)</f>
        <v>1305155</v>
      </c>
      <c r="U116" s="24">
        <f t="shared" si="47"/>
        <v>1.1278860968573306E-3</v>
      </c>
      <c r="V116" s="24">
        <f t="shared" si="31"/>
        <v>1.2259631487579676E-3</v>
      </c>
      <c r="W116" s="24">
        <f t="shared" si="48"/>
        <v>4.0484842765076915E-3</v>
      </c>
      <c r="X116" s="25">
        <f t="shared" si="49"/>
        <v>2.1433730260501716E-3</v>
      </c>
      <c r="Y116" s="8">
        <f t="shared" si="34"/>
        <v>0.64789945812470306</v>
      </c>
      <c r="Z116" s="27">
        <f t="shared" si="35"/>
        <v>0.277035543813691</v>
      </c>
      <c r="AA116" s="27"/>
      <c r="AB116" s="27"/>
      <c r="AC116" s="56">
        <f t="shared" si="50"/>
        <v>6.843746788376491E-2</v>
      </c>
      <c r="AD116" s="20">
        <f t="shared" si="46"/>
        <v>6997542.75</v>
      </c>
      <c r="AE116" s="20">
        <f t="shared" si="37"/>
        <v>0</v>
      </c>
      <c r="AF116" s="20">
        <f t="shared" si="38"/>
        <v>1728435204.9000001</v>
      </c>
      <c r="AG116">
        <f t="shared" si="39"/>
        <v>287706315.55679995</v>
      </c>
      <c r="AH116">
        <f t="shared" si="40"/>
        <v>312724256.03999996</v>
      </c>
      <c r="AI116">
        <f t="shared" si="41"/>
        <v>24622060647.240002</v>
      </c>
    </row>
    <row r="117" spans="2:35" x14ac:dyDescent="0.25">
      <c r="B117" s="4">
        <v>2023</v>
      </c>
      <c r="C117" s="4" t="s">
        <v>199</v>
      </c>
      <c r="D117" s="4" t="s">
        <v>200</v>
      </c>
      <c r="E117" s="4" t="str">
        <f t="shared" si="51"/>
        <v>DTE-MI</v>
      </c>
      <c r="F117" s="4" t="s">
        <v>135</v>
      </c>
      <c r="G117" s="4"/>
      <c r="H117" s="4" t="s">
        <v>203</v>
      </c>
      <c r="I117" s="11"/>
      <c r="J117" s="4" t="s">
        <v>142</v>
      </c>
      <c r="K117" s="5">
        <v>95384.51999999999</v>
      </c>
      <c r="L117" s="5">
        <f t="shared" si="52"/>
        <v>103678.82608695651</v>
      </c>
      <c r="M117" s="8">
        <v>163153</v>
      </c>
      <c r="N117" s="8"/>
      <c r="O117" s="8">
        <f>SUMIFS(EIAwtransport!$J$2:$J$675,EIAwtransport!$E$2:$E$675,Program_data!$E117,EIAwtransport!$H$2:$H$675,Program_data!$F117,EIAwtransport!$I$2:$I$675,Program_data!O$2)</f>
        <v>931968579</v>
      </c>
      <c r="P117" s="5">
        <f>SUMIFS(EIAwtransport!$J$2:$J$675,EIAwtransport!$E$2:$E$675,Program_data!$E117,EIAwtransport!$H$2:$H$675,Program_data!$F117,EIAwtransport!$I$2:$I$675,Program_data!P$2)</f>
        <v>108792722</v>
      </c>
      <c r="Q117" s="5">
        <f>SUMIFS(EIAwtransport!$J$2:$J$675,EIAwtransport!$E$2:$E$675,Program_data!$E117,EIAwtransport!$H$2:$H$675,Program_data!$F117,EIAwtransport!$I$2:$I$675,Program_data!Q$2)</f>
        <v>1214769</v>
      </c>
      <c r="R117" s="8">
        <f>SUMIFS(EIAwtransport!$J$2:$J$675,EIAwtransport!$E$2:$E$675,Program_data!$E117,EIAwtransport!$I$2:$I$675,Program_data!R$2)</f>
        <v>1280322374</v>
      </c>
      <c r="S117" s="5">
        <f>SUMIFS(EIAwtransport!$J$2:$J$675,EIAwtransport!$E$2:$E$675,Program_data!$E117,EIAwtransport!$I$2:$I$675,Program_data!S$2)</f>
        <v>233428713</v>
      </c>
      <c r="T117" s="5">
        <f>SUMIFS(EIAwtransport!$J$2:$J$675,EIAwtransport!$E$2:$E$675,Program_data!$E117,EIAwtransport!$I$2:$I$675,Program_data!T$2)</f>
        <v>1305155</v>
      </c>
      <c r="U117" s="24">
        <f t="shared" ref="U117:U174" si="53">IFERROR(K117/10.36/S117,"")</f>
        <v>3.944244853888219E-5</v>
      </c>
      <c r="V117" s="24">
        <f t="shared" si="31"/>
        <v>4.2872226672698033E-5</v>
      </c>
      <c r="W117" s="24">
        <f t="shared" ref="W117:W174" si="54">IFERROR(M117/R117,"")</f>
        <v>1.2743118710819312E-4</v>
      </c>
      <c r="X117" s="25">
        <f t="shared" ref="X117:X174" si="55">IFERROR(M117/S117/10.36,"")</f>
        <v>6.7465389629934143E-5</v>
      </c>
      <c r="Y117" s="8">
        <f t="shared" si="34"/>
        <v>2.039345874570278E-2</v>
      </c>
      <c r="Z117" s="27">
        <f t="shared" si="35"/>
        <v>8.7200457771804858E-3</v>
      </c>
      <c r="AA117" s="27"/>
      <c r="AB117" s="27"/>
      <c r="AC117" s="56">
        <f t="shared" si="50"/>
        <v>2.3932747399387864E-3</v>
      </c>
      <c r="AD117" s="20">
        <f t="shared" si="46"/>
        <v>220256.55000000002</v>
      </c>
      <c r="AE117" s="20">
        <f t="shared" si="37"/>
        <v>0</v>
      </c>
      <c r="AF117" s="20">
        <f t="shared" si="38"/>
        <v>1728435204.9000001</v>
      </c>
      <c r="AG117">
        <f t="shared" si="39"/>
        <v>10061159.169599999</v>
      </c>
      <c r="AH117">
        <f t="shared" si="40"/>
        <v>10936042.575652173</v>
      </c>
      <c r="AI117">
        <f t="shared" si="41"/>
        <v>24622060647.240002</v>
      </c>
    </row>
    <row r="118" spans="2:35" x14ac:dyDescent="0.25">
      <c r="B118" s="4">
        <v>2023</v>
      </c>
      <c r="C118" s="4" t="s">
        <v>199</v>
      </c>
      <c r="D118" s="4" t="s">
        <v>200</v>
      </c>
      <c r="E118" s="4" t="str">
        <f t="shared" si="51"/>
        <v>DTE-MI</v>
      </c>
      <c r="F118" s="4" t="s">
        <v>135</v>
      </c>
      <c r="G118" s="4"/>
      <c r="H118" s="4" t="s">
        <v>204</v>
      </c>
      <c r="I118" s="11"/>
      <c r="J118" s="4" t="s">
        <v>142</v>
      </c>
      <c r="K118" s="5">
        <v>222294.52</v>
      </c>
      <c r="L118" s="5">
        <f t="shared" si="52"/>
        <v>241624.47826086954</v>
      </c>
      <c r="M118" s="8">
        <v>1279653</v>
      </c>
      <c r="N118" s="8"/>
      <c r="O118" s="8">
        <f>SUMIFS(EIAwtransport!$J$2:$J$675,EIAwtransport!$E$2:$E$675,Program_data!$E118,EIAwtransport!$H$2:$H$675,Program_data!$F118,EIAwtransport!$I$2:$I$675,Program_data!O$2)</f>
        <v>931968579</v>
      </c>
      <c r="P118" s="5">
        <f>SUMIFS(EIAwtransport!$J$2:$J$675,EIAwtransport!$E$2:$E$675,Program_data!$E118,EIAwtransport!$H$2:$H$675,Program_data!$F118,EIAwtransport!$I$2:$I$675,Program_data!P$2)</f>
        <v>108792722</v>
      </c>
      <c r="Q118" s="5">
        <f>SUMIFS(EIAwtransport!$J$2:$J$675,EIAwtransport!$E$2:$E$675,Program_data!$E118,EIAwtransport!$H$2:$H$675,Program_data!$F118,EIAwtransport!$I$2:$I$675,Program_data!Q$2)</f>
        <v>1214769</v>
      </c>
      <c r="R118" s="8">
        <f>SUMIFS(EIAwtransport!$J$2:$J$675,EIAwtransport!$E$2:$E$675,Program_data!$E118,EIAwtransport!$I$2:$I$675,Program_data!R$2)</f>
        <v>1280322374</v>
      </c>
      <c r="S118" s="5">
        <f>SUMIFS(EIAwtransport!$J$2:$J$675,EIAwtransport!$E$2:$E$675,Program_data!$E118,EIAwtransport!$I$2:$I$675,Program_data!S$2)</f>
        <v>233428713</v>
      </c>
      <c r="T118" s="5">
        <f>SUMIFS(EIAwtransport!$J$2:$J$675,EIAwtransport!$E$2:$E$675,Program_data!$E118,EIAwtransport!$I$2:$I$675,Program_data!T$2)</f>
        <v>1305155</v>
      </c>
      <c r="U118" s="24">
        <f t="shared" si="53"/>
        <v>9.1920996882675693E-5</v>
      </c>
      <c r="V118" s="24">
        <f t="shared" si="31"/>
        <v>9.9914127046386614E-5</v>
      </c>
      <c r="W118" s="24">
        <f t="shared" si="54"/>
        <v>9.9947718323635266E-4</v>
      </c>
      <c r="X118" s="25">
        <f t="shared" si="55"/>
        <v>5.2914925398928688E-4</v>
      </c>
      <c r="Y118" s="8">
        <f t="shared" si="34"/>
        <v>0.15995139938778202</v>
      </c>
      <c r="Z118" s="27">
        <f t="shared" si="35"/>
        <v>6.8393671822806437E-2</v>
      </c>
      <c r="AA118" s="27"/>
      <c r="AB118" s="27"/>
      <c r="AC118" s="56">
        <f t="shared" si="50"/>
        <v>5.5775492663046097E-3</v>
      </c>
      <c r="AD118" s="20">
        <f t="shared" si="46"/>
        <v>1727531.55</v>
      </c>
      <c r="AE118" s="20">
        <f t="shared" si="37"/>
        <v>0</v>
      </c>
      <c r="AF118" s="20">
        <f t="shared" si="38"/>
        <v>1728435204.9000001</v>
      </c>
      <c r="AG118">
        <f t="shared" si="39"/>
        <v>23447625.969599999</v>
      </c>
      <c r="AH118">
        <f t="shared" si="40"/>
        <v>25486549.966956519</v>
      </c>
      <c r="AI118">
        <f t="shared" si="41"/>
        <v>24622060647.240002</v>
      </c>
    </row>
    <row r="119" spans="2:35" x14ac:dyDescent="0.25">
      <c r="B119" s="4">
        <v>2023</v>
      </c>
      <c r="C119" s="4" t="s">
        <v>199</v>
      </c>
      <c r="D119" s="4" t="s">
        <v>200</v>
      </c>
      <c r="E119" s="4" t="str">
        <f t="shared" si="51"/>
        <v>DTE-MI</v>
      </c>
      <c r="F119" s="4" t="s">
        <v>135</v>
      </c>
      <c r="G119" s="4"/>
      <c r="H119" s="4" t="s">
        <v>205</v>
      </c>
      <c r="I119" s="11"/>
      <c r="J119" s="4" t="s">
        <v>27</v>
      </c>
      <c r="K119" s="5">
        <v>483294</v>
      </c>
      <c r="L119" s="5">
        <f t="shared" si="52"/>
        <v>525319.56521739124</v>
      </c>
      <c r="M119" s="8">
        <v>1587328</v>
      </c>
      <c r="N119" s="8"/>
      <c r="O119" s="8">
        <f>SUMIFS(EIAwtransport!$J$2:$J$675,EIAwtransport!$E$2:$E$675,Program_data!$E119,EIAwtransport!$H$2:$H$675,Program_data!$F119,EIAwtransport!$I$2:$I$675,Program_data!O$2)</f>
        <v>931968579</v>
      </c>
      <c r="P119" s="5">
        <f>SUMIFS(EIAwtransport!$J$2:$J$675,EIAwtransport!$E$2:$E$675,Program_data!$E119,EIAwtransport!$H$2:$H$675,Program_data!$F119,EIAwtransport!$I$2:$I$675,Program_data!P$2)</f>
        <v>108792722</v>
      </c>
      <c r="Q119" s="5">
        <f>SUMIFS(EIAwtransport!$J$2:$J$675,EIAwtransport!$E$2:$E$675,Program_data!$E119,EIAwtransport!$H$2:$H$675,Program_data!$F119,EIAwtransport!$I$2:$I$675,Program_data!Q$2)</f>
        <v>1214769</v>
      </c>
      <c r="R119" s="8">
        <f>SUMIFS(EIAwtransport!$J$2:$J$675,EIAwtransport!$E$2:$E$675,Program_data!$E119,EIAwtransport!$I$2:$I$675,Program_data!R$2)</f>
        <v>1280322374</v>
      </c>
      <c r="S119" s="5">
        <f>SUMIFS(EIAwtransport!$J$2:$J$675,EIAwtransport!$E$2:$E$675,Program_data!$E119,EIAwtransport!$I$2:$I$675,Program_data!S$2)</f>
        <v>233428713</v>
      </c>
      <c r="T119" s="5">
        <f>SUMIFS(EIAwtransport!$J$2:$J$675,EIAwtransport!$E$2:$E$675,Program_data!$E119,EIAwtransport!$I$2:$I$675,Program_data!T$2)</f>
        <v>1305155</v>
      </c>
      <c r="U119" s="24">
        <f t="shared" si="53"/>
        <v>1.998468800194259E-4</v>
      </c>
      <c r="V119" s="24">
        <f t="shared" si="31"/>
        <v>2.1722486958633249E-4</v>
      </c>
      <c r="W119" s="24">
        <f t="shared" si="54"/>
        <v>1.23978775364274E-3</v>
      </c>
      <c r="X119" s="25">
        <f t="shared" si="55"/>
        <v>6.5637592928419403E-4</v>
      </c>
      <c r="Y119" s="8">
        <f t="shared" si="34"/>
        <v>0.19840951796104822</v>
      </c>
      <c r="Z119" s="27">
        <f t="shared" si="35"/>
        <v>8.4837991476714156E-2</v>
      </c>
      <c r="AA119" s="27"/>
      <c r="AB119" s="27"/>
      <c r="AC119" s="56">
        <f t="shared" si="50"/>
        <v>1.212623727795638E-2</v>
      </c>
      <c r="AD119" s="20">
        <f t="shared" si="46"/>
        <v>2142892.8000000003</v>
      </c>
      <c r="AE119" s="20">
        <f t="shared" si="37"/>
        <v>0</v>
      </c>
      <c r="AF119" s="20">
        <f t="shared" si="38"/>
        <v>1728435204.9000001</v>
      </c>
      <c r="AG119">
        <f t="shared" si="39"/>
        <v>50977851.120000005</v>
      </c>
      <c r="AH119">
        <f t="shared" si="40"/>
        <v>55410707.73913043</v>
      </c>
      <c r="AI119">
        <f t="shared" si="41"/>
        <v>24622060647.240002</v>
      </c>
    </row>
    <row r="120" spans="2:35" x14ac:dyDescent="0.25">
      <c r="B120" s="4">
        <v>2023</v>
      </c>
      <c r="C120" s="4" t="s">
        <v>199</v>
      </c>
      <c r="D120" s="4" t="s">
        <v>200</v>
      </c>
      <c r="E120" s="4" t="str">
        <f t="shared" si="51"/>
        <v>DTE-MI</v>
      </c>
      <c r="F120" s="4" t="s">
        <v>135</v>
      </c>
      <c r="G120" s="4"/>
      <c r="H120" s="4" t="s">
        <v>206</v>
      </c>
      <c r="I120" s="11"/>
      <c r="J120" s="4" t="s">
        <v>142</v>
      </c>
      <c r="K120" s="5">
        <v>1135632.1199999999</v>
      </c>
      <c r="L120" s="5">
        <f t="shared" si="52"/>
        <v>1234382.7391304346</v>
      </c>
      <c r="M120" s="8">
        <v>582124</v>
      </c>
      <c r="N120" s="8"/>
      <c r="O120" s="8">
        <f>SUMIFS(EIAwtransport!$J$2:$J$675,EIAwtransport!$E$2:$E$675,Program_data!$E120,EIAwtransport!$H$2:$H$675,Program_data!$F120,EIAwtransport!$I$2:$I$675,Program_data!O$2)</f>
        <v>931968579</v>
      </c>
      <c r="P120" s="5">
        <f>SUMIFS(EIAwtransport!$J$2:$J$675,EIAwtransport!$E$2:$E$675,Program_data!$E120,EIAwtransport!$H$2:$H$675,Program_data!$F120,EIAwtransport!$I$2:$I$675,Program_data!P$2)</f>
        <v>108792722</v>
      </c>
      <c r="Q120" s="5">
        <f>SUMIFS(EIAwtransport!$J$2:$J$675,EIAwtransport!$E$2:$E$675,Program_data!$E120,EIAwtransport!$H$2:$H$675,Program_data!$F120,EIAwtransport!$I$2:$I$675,Program_data!Q$2)</f>
        <v>1214769</v>
      </c>
      <c r="R120" s="8">
        <f>SUMIFS(EIAwtransport!$J$2:$J$675,EIAwtransport!$E$2:$E$675,Program_data!$E120,EIAwtransport!$I$2:$I$675,Program_data!R$2)</f>
        <v>1280322374</v>
      </c>
      <c r="S120" s="5">
        <f>SUMIFS(EIAwtransport!$J$2:$J$675,EIAwtransport!$E$2:$E$675,Program_data!$E120,EIAwtransport!$I$2:$I$675,Program_data!S$2)</f>
        <v>233428713</v>
      </c>
      <c r="T120" s="5">
        <f>SUMIFS(EIAwtransport!$J$2:$J$675,EIAwtransport!$E$2:$E$675,Program_data!$E120,EIAwtransport!$I$2:$I$675,Program_data!T$2)</f>
        <v>1305155</v>
      </c>
      <c r="U120" s="24">
        <f t="shared" si="53"/>
        <v>4.6959518643278474E-4</v>
      </c>
      <c r="V120" s="24">
        <f t="shared" si="31"/>
        <v>5.1042955047041812E-4</v>
      </c>
      <c r="W120" s="24">
        <f t="shared" si="54"/>
        <v>4.5466986426342026E-4</v>
      </c>
      <c r="X120" s="25">
        <f t="shared" si="55"/>
        <v>2.407140688368328E-4</v>
      </c>
      <c r="Y120" s="8">
        <f t="shared" si="34"/>
        <v>7.2763122828777185E-2</v>
      </c>
      <c r="Z120" s="27">
        <f t="shared" si="35"/>
        <v>3.1112807781624688E-2</v>
      </c>
      <c r="AA120" s="27"/>
      <c r="AB120" s="27"/>
      <c r="AC120" s="56">
        <f t="shared" si="50"/>
        <v>2.8493928225032033E-2</v>
      </c>
      <c r="AD120" s="20">
        <f t="shared" si="46"/>
        <v>785867.4</v>
      </c>
      <c r="AE120" s="20">
        <f t="shared" si="37"/>
        <v>0</v>
      </c>
      <c r="AF120" s="20">
        <f t="shared" si="38"/>
        <v>1728435204.9000001</v>
      </c>
      <c r="AG120">
        <f t="shared" si="39"/>
        <v>119786476.01759999</v>
      </c>
      <c r="AH120">
        <f t="shared" si="40"/>
        <v>130202691.32347825</v>
      </c>
      <c r="AI120">
        <f t="shared" si="41"/>
        <v>24622060647.240002</v>
      </c>
    </row>
    <row r="121" spans="2:35" x14ac:dyDescent="0.25">
      <c r="B121" s="4">
        <v>2023</v>
      </c>
      <c r="C121" s="4" t="s">
        <v>199</v>
      </c>
      <c r="D121" s="4" t="s">
        <v>200</v>
      </c>
      <c r="E121" s="4" t="str">
        <f t="shared" si="51"/>
        <v>DTE-MI</v>
      </c>
      <c r="F121" s="4" t="s">
        <v>135</v>
      </c>
      <c r="G121" s="4"/>
      <c r="H121" s="4" t="s">
        <v>42</v>
      </c>
      <c r="I121" s="11"/>
      <c r="J121" s="4" t="s">
        <v>42</v>
      </c>
      <c r="K121" s="5">
        <v>74592</v>
      </c>
      <c r="L121" s="5">
        <f t="shared" si="52"/>
        <v>81078.260869565216</v>
      </c>
      <c r="M121" s="8">
        <v>111613</v>
      </c>
      <c r="N121" s="8"/>
      <c r="O121" s="8">
        <f>SUMIFS(EIAwtransport!$J$2:$J$675,EIAwtransport!$E$2:$E$675,Program_data!$E121,EIAwtransport!$H$2:$H$675,Program_data!$F121,EIAwtransport!$I$2:$I$675,Program_data!O$2)</f>
        <v>931968579</v>
      </c>
      <c r="P121" s="5">
        <f>SUMIFS(EIAwtransport!$J$2:$J$675,EIAwtransport!$E$2:$E$675,Program_data!$E121,EIAwtransport!$H$2:$H$675,Program_data!$F121,EIAwtransport!$I$2:$I$675,Program_data!P$2)</f>
        <v>108792722</v>
      </c>
      <c r="Q121" s="5">
        <f>SUMIFS(EIAwtransport!$J$2:$J$675,EIAwtransport!$E$2:$E$675,Program_data!$E121,EIAwtransport!$H$2:$H$675,Program_data!$F121,EIAwtransport!$I$2:$I$675,Program_data!Q$2)</f>
        <v>1214769</v>
      </c>
      <c r="R121" s="8">
        <f>SUMIFS(EIAwtransport!$J$2:$J$675,EIAwtransport!$E$2:$E$675,Program_data!$E121,EIAwtransport!$I$2:$I$675,Program_data!R$2)</f>
        <v>1280322374</v>
      </c>
      <c r="S121" s="5">
        <f>SUMIFS(EIAwtransport!$J$2:$J$675,EIAwtransport!$E$2:$E$675,Program_data!$E121,EIAwtransport!$I$2:$I$675,Program_data!S$2)</f>
        <v>233428713</v>
      </c>
      <c r="T121" s="5">
        <f>SUMIFS(EIAwtransport!$J$2:$J$675,EIAwtransport!$E$2:$E$675,Program_data!$E121,EIAwtransport!$I$2:$I$675,Program_data!T$2)</f>
        <v>1305155</v>
      </c>
      <c r="U121" s="24">
        <f t="shared" si="53"/>
        <v>3.0844534536760265E-5</v>
      </c>
      <c r="V121" s="24">
        <f t="shared" si="31"/>
        <v>3.3526667974739415E-5</v>
      </c>
      <c r="W121" s="24">
        <f t="shared" si="54"/>
        <v>8.7175700641157428E-5</v>
      </c>
      <c r="X121" s="25">
        <f t="shared" si="55"/>
        <v>4.6153086567613467E-5</v>
      </c>
      <c r="Y121" s="8">
        <f t="shared" si="34"/>
        <v>1.3951169215301738E-2</v>
      </c>
      <c r="Z121" s="27">
        <f t="shared" si="35"/>
        <v>5.9653850638875508E-3</v>
      </c>
      <c r="AA121" s="27"/>
      <c r="AB121" s="27"/>
      <c r="AC121" s="56">
        <f t="shared" si="50"/>
        <v>1.8715735991701166E-3</v>
      </c>
      <c r="AD121" s="20">
        <f t="shared" si="46"/>
        <v>150677.55000000002</v>
      </c>
      <c r="AE121" s="20">
        <f t="shared" si="37"/>
        <v>0</v>
      </c>
      <c r="AF121" s="20">
        <f t="shared" si="38"/>
        <v>1728435204.9000001</v>
      </c>
      <c r="AG121">
        <f t="shared" si="39"/>
        <v>7867964.1600000001</v>
      </c>
      <c r="AH121">
        <f t="shared" si="40"/>
        <v>8552134.9565217402</v>
      </c>
      <c r="AI121">
        <f t="shared" si="41"/>
        <v>24622060647.240002</v>
      </c>
    </row>
    <row r="122" spans="2:35" x14ac:dyDescent="0.25">
      <c r="B122" s="4">
        <v>2023</v>
      </c>
      <c r="C122" s="4" t="s">
        <v>199</v>
      </c>
      <c r="D122" s="4" t="s">
        <v>200</v>
      </c>
      <c r="E122" s="4" t="str">
        <f t="shared" si="51"/>
        <v>DTE-MI</v>
      </c>
      <c r="F122" s="4" t="s">
        <v>135</v>
      </c>
      <c r="G122" s="4"/>
      <c r="H122" s="4" t="s">
        <v>207</v>
      </c>
      <c r="I122" s="11"/>
      <c r="J122" s="4" t="s">
        <v>32</v>
      </c>
      <c r="K122" s="5">
        <v>452182.92</v>
      </c>
      <c r="L122" s="5">
        <f t="shared" si="52"/>
        <v>491503.17391304346</v>
      </c>
      <c r="M122" s="8">
        <v>1061115</v>
      </c>
      <c r="N122" s="8"/>
      <c r="O122" s="8">
        <f>SUMIFS(EIAwtransport!$J$2:$J$675,EIAwtransport!$E$2:$E$675,Program_data!$E122,EIAwtransport!$H$2:$H$675,Program_data!$F122,EIAwtransport!$I$2:$I$675,Program_data!O$2)</f>
        <v>931968579</v>
      </c>
      <c r="P122" s="5">
        <f>SUMIFS(EIAwtransport!$J$2:$J$675,EIAwtransport!$E$2:$E$675,Program_data!$E122,EIAwtransport!$H$2:$H$675,Program_data!$F122,EIAwtransport!$I$2:$I$675,Program_data!P$2)</f>
        <v>108792722</v>
      </c>
      <c r="Q122" s="5">
        <f>SUMIFS(EIAwtransport!$J$2:$J$675,EIAwtransport!$E$2:$E$675,Program_data!$E122,EIAwtransport!$H$2:$H$675,Program_data!$F122,EIAwtransport!$I$2:$I$675,Program_data!Q$2)</f>
        <v>1214769</v>
      </c>
      <c r="R122" s="8">
        <f>SUMIFS(EIAwtransport!$J$2:$J$675,EIAwtransport!$E$2:$E$675,Program_data!$E122,EIAwtransport!$I$2:$I$675,Program_data!R$2)</f>
        <v>1280322374</v>
      </c>
      <c r="S122" s="5">
        <f>SUMIFS(EIAwtransport!$J$2:$J$675,EIAwtransport!$E$2:$E$675,Program_data!$E122,EIAwtransport!$I$2:$I$675,Program_data!S$2)</f>
        <v>233428713</v>
      </c>
      <c r="T122" s="5">
        <f>SUMIFS(EIAwtransport!$J$2:$J$675,EIAwtransport!$E$2:$E$675,Program_data!$E122,EIAwtransport!$I$2:$I$675,Program_data!T$2)</f>
        <v>1305155</v>
      </c>
      <c r="U122" s="24">
        <f t="shared" si="53"/>
        <v>1.869821387397188E-4</v>
      </c>
      <c r="V122" s="24">
        <f t="shared" si="31"/>
        <v>2.0324145515186824E-4</v>
      </c>
      <c r="W122" s="24">
        <f t="shared" si="54"/>
        <v>8.2878735976850155E-4</v>
      </c>
      <c r="X122" s="25">
        <f t="shared" si="55"/>
        <v>4.3878161552142822E-4</v>
      </c>
      <c r="Y122" s="8">
        <f t="shared" si="34"/>
        <v>0.13263504181318397</v>
      </c>
      <c r="Z122" s="27">
        <f t="shared" si="35"/>
        <v>5.671346144326412E-2</v>
      </c>
      <c r="AA122" s="27"/>
      <c r="AB122" s="27"/>
      <c r="AC122" s="56">
        <f t="shared" si="50"/>
        <v>1.1345635122635844E-2</v>
      </c>
      <c r="AD122" s="20">
        <f t="shared" si="46"/>
        <v>1432505.25</v>
      </c>
      <c r="AE122" s="20">
        <f t="shared" si="37"/>
        <v>0</v>
      </c>
      <c r="AF122" s="20">
        <f t="shared" si="38"/>
        <v>1728435204.9000001</v>
      </c>
      <c r="AG122">
        <f t="shared" si="39"/>
        <v>47696254.401600003</v>
      </c>
      <c r="AH122">
        <f t="shared" si="40"/>
        <v>51843754.784347825</v>
      </c>
      <c r="AI122">
        <f t="shared" si="41"/>
        <v>24622060647.240002</v>
      </c>
    </row>
    <row r="123" spans="2:35" x14ac:dyDescent="0.25">
      <c r="B123" s="4">
        <v>2023</v>
      </c>
      <c r="C123" s="4" t="s">
        <v>199</v>
      </c>
      <c r="D123" s="4" t="s">
        <v>200</v>
      </c>
      <c r="E123" s="4" t="str">
        <f t="shared" si="51"/>
        <v>DTE-MI</v>
      </c>
      <c r="F123" s="4" t="s">
        <v>135</v>
      </c>
      <c r="G123" s="4"/>
      <c r="H123" s="4" t="s">
        <v>208</v>
      </c>
      <c r="I123" s="11"/>
      <c r="J123" s="4" t="s">
        <v>142</v>
      </c>
      <c r="K123" s="5">
        <v>1977931.2</v>
      </c>
      <c r="L123" s="5">
        <f t="shared" si="52"/>
        <v>2149925.2173913042</v>
      </c>
      <c r="M123" s="8">
        <v>462265</v>
      </c>
      <c r="N123" s="8"/>
      <c r="O123" s="8">
        <f>SUMIFS(EIAwtransport!$J$2:$J$675,EIAwtransport!$E$2:$E$675,Program_data!$E123,EIAwtransport!$H$2:$H$675,Program_data!$F123,EIAwtransport!$I$2:$I$675,Program_data!O$2)</f>
        <v>931968579</v>
      </c>
      <c r="P123" s="5">
        <f>SUMIFS(EIAwtransport!$J$2:$J$675,EIAwtransport!$E$2:$E$675,Program_data!$E123,EIAwtransport!$H$2:$H$675,Program_data!$F123,EIAwtransport!$I$2:$I$675,Program_data!P$2)</f>
        <v>108792722</v>
      </c>
      <c r="Q123" s="5">
        <f>SUMIFS(EIAwtransport!$J$2:$J$675,EIAwtransport!$E$2:$E$675,Program_data!$E123,EIAwtransport!$H$2:$H$675,Program_data!$F123,EIAwtransport!$I$2:$I$675,Program_data!Q$2)</f>
        <v>1214769</v>
      </c>
      <c r="R123" s="8">
        <f>SUMIFS(EIAwtransport!$J$2:$J$675,EIAwtransport!$E$2:$E$675,Program_data!$E123,EIAwtransport!$I$2:$I$675,Program_data!R$2)</f>
        <v>1280322374</v>
      </c>
      <c r="S123" s="5">
        <f>SUMIFS(EIAwtransport!$J$2:$J$675,EIAwtransport!$E$2:$E$675,Program_data!$E123,EIAwtransport!$I$2:$I$675,Program_data!S$2)</f>
        <v>233428713</v>
      </c>
      <c r="T123" s="5">
        <f>SUMIFS(EIAwtransport!$J$2:$J$675,EIAwtransport!$E$2:$E$675,Program_data!$E123,EIAwtransport!$I$2:$I$675,Program_data!T$2)</f>
        <v>1305155</v>
      </c>
      <c r="U123" s="24">
        <f t="shared" si="53"/>
        <v>8.1789424079975969E-4</v>
      </c>
      <c r="V123" s="24">
        <f t="shared" si="31"/>
        <v>8.8901547913017363E-4</v>
      </c>
      <c r="W123" s="24">
        <f t="shared" si="54"/>
        <v>3.6105359820885237E-4</v>
      </c>
      <c r="X123" s="25">
        <f t="shared" si="55"/>
        <v>1.9115117918322991E-4</v>
      </c>
      <c r="Y123" s="8">
        <f t="shared" si="34"/>
        <v>5.7781237286977837E-2</v>
      </c>
      <c r="Z123" s="27">
        <f t="shared" si="35"/>
        <v>2.4706698382428376E-2</v>
      </c>
      <c r="AA123" s="27"/>
      <c r="AB123" s="27"/>
      <c r="AC123" s="56">
        <f t="shared" si="50"/>
        <v>4.9627893271327585E-2</v>
      </c>
      <c r="AD123" s="20">
        <f t="shared" si="46"/>
        <v>624057.75</v>
      </c>
      <c r="AE123" s="20">
        <f t="shared" si="37"/>
        <v>0</v>
      </c>
      <c r="AF123" s="20">
        <f t="shared" si="38"/>
        <v>1728435204.9000001</v>
      </c>
      <c r="AG123">
        <f t="shared" si="39"/>
        <v>208632182.97600001</v>
      </c>
      <c r="AH123">
        <f t="shared" si="40"/>
        <v>226774111.93043476</v>
      </c>
      <c r="AI123">
        <f t="shared" si="41"/>
        <v>24622060647.240002</v>
      </c>
    </row>
    <row r="124" spans="2:35" x14ac:dyDescent="0.25">
      <c r="B124" s="4">
        <v>2023</v>
      </c>
      <c r="C124" s="4" t="s">
        <v>199</v>
      </c>
      <c r="D124" s="4" t="s">
        <v>200</v>
      </c>
      <c r="E124" s="4" t="str">
        <f t="shared" si="51"/>
        <v>DTE-MI</v>
      </c>
      <c r="F124" s="4" t="s">
        <v>135</v>
      </c>
      <c r="G124" s="4"/>
      <c r="H124" s="4" t="s">
        <v>209</v>
      </c>
      <c r="I124" s="11"/>
      <c r="J124" s="4" t="s">
        <v>142</v>
      </c>
      <c r="K124" s="5">
        <v>310800</v>
      </c>
      <c r="L124" s="5">
        <f t="shared" si="52"/>
        <v>337826.08695652173</v>
      </c>
      <c r="M124" s="8">
        <v>163501</v>
      </c>
      <c r="N124" s="8"/>
      <c r="O124" s="8">
        <f>SUMIFS(EIAwtransport!$J$2:$J$675,EIAwtransport!$E$2:$E$675,Program_data!$E124,EIAwtransport!$H$2:$H$675,Program_data!$F124,EIAwtransport!$I$2:$I$675,Program_data!O$2)</f>
        <v>931968579</v>
      </c>
      <c r="P124" s="5">
        <f>SUMIFS(EIAwtransport!$J$2:$J$675,EIAwtransport!$E$2:$E$675,Program_data!$E124,EIAwtransport!$H$2:$H$675,Program_data!$F124,EIAwtransport!$I$2:$I$675,Program_data!P$2)</f>
        <v>108792722</v>
      </c>
      <c r="Q124" s="5">
        <f>SUMIFS(EIAwtransport!$J$2:$J$675,EIAwtransport!$E$2:$E$675,Program_data!$E124,EIAwtransport!$H$2:$H$675,Program_data!$F124,EIAwtransport!$I$2:$I$675,Program_data!Q$2)</f>
        <v>1214769</v>
      </c>
      <c r="R124" s="8">
        <f>SUMIFS(EIAwtransport!$J$2:$J$675,EIAwtransport!$E$2:$E$675,Program_data!$E124,EIAwtransport!$I$2:$I$675,Program_data!R$2)</f>
        <v>1280322374</v>
      </c>
      <c r="S124" s="5">
        <f>SUMIFS(EIAwtransport!$J$2:$J$675,EIAwtransport!$E$2:$E$675,Program_data!$E124,EIAwtransport!$I$2:$I$675,Program_data!S$2)</f>
        <v>233428713</v>
      </c>
      <c r="T124" s="5">
        <f>SUMIFS(EIAwtransport!$J$2:$J$675,EIAwtransport!$E$2:$E$675,Program_data!$E124,EIAwtransport!$I$2:$I$675,Program_data!T$2)</f>
        <v>1305155</v>
      </c>
      <c r="U124" s="24">
        <f t="shared" si="53"/>
        <v>1.2851889390316779E-4</v>
      </c>
      <c r="V124" s="24">
        <f t="shared" si="31"/>
        <v>1.3969444989474756E-4</v>
      </c>
      <c r="W124" s="24">
        <f t="shared" si="54"/>
        <v>1.2770299365244084E-4</v>
      </c>
      <c r="X124" s="25">
        <f t="shared" si="55"/>
        <v>6.7609291094150055E-5</v>
      </c>
      <c r="Y124" s="8">
        <f t="shared" si="34"/>
        <v>2.0436957324604207E-2</v>
      </c>
      <c r="Z124" s="27">
        <f t="shared" si="35"/>
        <v>8.7386453489349657E-3</v>
      </c>
      <c r="AA124" s="27"/>
      <c r="AB124" s="27"/>
      <c r="AC124" s="56">
        <f t="shared" si="50"/>
        <v>7.7982233298754854E-3</v>
      </c>
      <c r="AD124" s="20">
        <f t="shared" si="46"/>
        <v>220726.35</v>
      </c>
      <c r="AE124" s="20">
        <f t="shared" si="37"/>
        <v>0</v>
      </c>
      <c r="AF124" s="20">
        <f t="shared" si="38"/>
        <v>1728435204.9000001</v>
      </c>
      <c r="AG124">
        <f t="shared" si="39"/>
        <v>32783184</v>
      </c>
      <c r="AH124">
        <f t="shared" si="40"/>
        <v>35633895.652173914</v>
      </c>
      <c r="AI124">
        <f t="shared" si="41"/>
        <v>24622060647.240002</v>
      </c>
    </row>
    <row r="125" spans="2:35" x14ac:dyDescent="0.25">
      <c r="B125" s="4">
        <v>2023</v>
      </c>
      <c r="C125" s="4" t="s">
        <v>199</v>
      </c>
      <c r="D125" s="4" t="s">
        <v>200</v>
      </c>
      <c r="E125" s="4" t="str">
        <f t="shared" si="51"/>
        <v>DTE-MI</v>
      </c>
      <c r="F125" s="4" t="s">
        <v>135</v>
      </c>
      <c r="G125" s="4"/>
      <c r="H125" s="4" t="s">
        <v>210</v>
      </c>
      <c r="I125" s="11"/>
      <c r="J125" s="4" t="s">
        <v>142</v>
      </c>
      <c r="K125" s="5">
        <v>247054.91999999998</v>
      </c>
      <c r="L125" s="5">
        <f t="shared" si="52"/>
        <v>268537.95652173908</v>
      </c>
      <c r="M125" s="8">
        <v>471818</v>
      </c>
      <c r="N125" s="8"/>
      <c r="O125" s="8">
        <f>SUMIFS(EIAwtransport!$J$2:$J$675,EIAwtransport!$E$2:$E$675,Program_data!$E125,EIAwtransport!$H$2:$H$675,Program_data!$F125,EIAwtransport!$I$2:$I$675,Program_data!O$2)</f>
        <v>931968579</v>
      </c>
      <c r="P125" s="5">
        <f>SUMIFS(EIAwtransport!$J$2:$J$675,EIAwtransport!$E$2:$E$675,Program_data!$E125,EIAwtransport!$H$2:$H$675,Program_data!$F125,EIAwtransport!$I$2:$I$675,Program_data!P$2)</f>
        <v>108792722</v>
      </c>
      <c r="Q125" s="5">
        <f>SUMIFS(EIAwtransport!$J$2:$J$675,EIAwtransport!$E$2:$E$675,Program_data!$E125,EIAwtransport!$H$2:$H$675,Program_data!$F125,EIAwtransport!$I$2:$I$675,Program_data!Q$2)</f>
        <v>1214769</v>
      </c>
      <c r="R125" s="8">
        <f>SUMIFS(EIAwtransport!$J$2:$J$675,EIAwtransport!$E$2:$E$675,Program_data!$E125,EIAwtransport!$I$2:$I$675,Program_data!R$2)</f>
        <v>1280322374</v>
      </c>
      <c r="S125" s="5">
        <f>SUMIFS(EIAwtransport!$J$2:$J$675,EIAwtransport!$E$2:$E$675,Program_data!$E125,EIAwtransport!$I$2:$I$675,Program_data!S$2)</f>
        <v>233428713</v>
      </c>
      <c r="T125" s="5">
        <f>SUMIFS(EIAwtransport!$J$2:$J$675,EIAwtransport!$E$2:$E$675,Program_data!$E125,EIAwtransport!$I$2:$I$675,Program_data!T$2)</f>
        <v>1305155</v>
      </c>
      <c r="U125" s="24">
        <f t="shared" si="53"/>
        <v>1.0215966876362806E-4</v>
      </c>
      <c r="V125" s="24">
        <f t="shared" si="31"/>
        <v>1.1104311822133484E-4</v>
      </c>
      <c r="W125" s="24">
        <f t="shared" si="54"/>
        <v>3.6851500026976802E-4</v>
      </c>
      <c r="X125" s="25">
        <f t="shared" si="55"/>
        <v>1.9510143977993826E-4</v>
      </c>
      <c r="Y125" s="8">
        <f t="shared" si="34"/>
        <v>5.8975323276188568E-2</v>
      </c>
      <c r="Z125" s="27">
        <f t="shared" si="35"/>
        <v>2.5217278005906986E-2</v>
      </c>
      <c r="AA125" s="27"/>
      <c r="AB125" s="27"/>
      <c r="AC125" s="56">
        <f t="shared" si="50"/>
        <v>6.1988077249180229E-3</v>
      </c>
      <c r="AD125" s="20">
        <f t="shared" si="46"/>
        <v>636954.30000000005</v>
      </c>
      <c r="AE125" s="20">
        <f t="shared" si="37"/>
        <v>0</v>
      </c>
      <c r="AF125" s="20">
        <f t="shared" si="38"/>
        <v>1728435204.9000001</v>
      </c>
      <c r="AG125">
        <f t="shared" si="39"/>
        <v>26059352.961599998</v>
      </c>
      <c r="AH125">
        <f t="shared" si="40"/>
        <v>28325383.65391304</v>
      </c>
      <c r="AI125">
        <f t="shared" si="41"/>
        <v>24622060647.240002</v>
      </c>
    </row>
    <row r="126" spans="2:35" x14ac:dyDescent="0.25">
      <c r="B126" s="4">
        <v>2023</v>
      </c>
      <c r="C126" s="4" t="s">
        <v>199</v>
      </c>
      <c r="D126" s="4" t="s">
        <v>200</v>
      </c>
      <c r="E126" s="4" t="str">
        <f t="shared" si="51"/>
        <v>DTE-MI</v>
      </c>
      <c r="F126" s="4" t="s">
        <v>135</v>
      </c>
      <c r="G126" s="4"/>
      <c r="H126" s="4" t="s">
        <v>211</v>
      </c>
      <c r="I126" s="4" t="s">
        <v>167</v>
      </c>
      <c r="J126" s="4" t="s">
        <v>155</v>
      </c>
      <c r="K126" s="5"/>
      <c r="L126" s="5">
        <f t="shared" si="52"/>
        <v>0</v>
      </c>
      <c r="M126" s="8">
        <v>1824075</v>
      </c>
      <c r="N126" s="8"/>
      <c r="O126" s="8">
        <f>SUMIFS(EIAwtransport!$J$2:$J$675,EIAwtransport!$E$2:$E$675,Program_data!$E126,EIAwtransport!$H$2:$H$675,Program_data!$F126,EIAwtransport!$I$2:$I$675,Program_data!O$2)</f>
        <v>931968579</v>
      </c>
      <c r="P126" s="5">
        <f>SUMIFS(EIAwtransport!$J$2:$J$675,EIAwtransport!$E$2:$E$675,Program_data!$E126,EIAwtransport!$H$2:$H$675,Program_data!$F126,EIAwtransport!$I$2:$I$675,Program_data!P$2)</f>
        <v>108792722</v>
      </c>
      <c r="Q126" s="5">
        <f>SUMIFS(EIAwtransport!$J$2:$J$675,EIAwtransport!$E$2:$E$675,Program_data!$E126,EIAwtransport!$H$2:$H$675,Program_data!$F126,EIAwtransport!$I$2:$I$675,Program_data!Q$2)</f>
        <v>1214769</v>
      </c>
      <c r="R126" s="8">
        <f>SUMIFS(EIAwtransport!$J$2:$J$675,EIAwtransport!$E$2:$E$675,Program_data!$E126,EIAwtransport!$I$2:$I$675,Program_data!R$2)</f>
        <v>1280322374</v>
      </c>
      <c r="S126" s="5">
        <f>SUMIFS(EIAwtransport!$J$2:$J$675,EIAwtransport!$E$2:$E$675,Program_data!$E126,EIAwtransport!$I$2:$I$675,Program_data!S$2)</f>
        <v>233428713</v>
      </c>
      <c r="T126" s="5">
        <f>SUMIFS(EIAwtransport!$J$2:$J$675,EIAwtransport!$E$2:$E$675,Program_data!$E126,EIAwtransport!$I$2:$I$675,Program_data!T$2)</f>
        <v>1305155</v>
      </c>
      <c r="U126" s="24">
        <f t="shared" si="53"/>
        <v>0</v>
      </c>
      <c r="V126" s="24">
        <f t="shared" si="31"/>
        <v>0</v>
      </c>
      <c r="W126" s="24">
        <f t="shared" si="54"/>
        <v>1.4246997764330251E-3</v>
      </c>
      <c r="X126" s="25">
        <f t="shared" si="55"/>
        <v>7.5427317051615433E-4</v>
      </c>
      <c r="Y126" s="8">
        <f t="shared" si="34"/>
        <v>0.22800192617707182</v>
      </c>
      <c r="Z126" s="27">
        <f t="shared" si="35"/>
        <v>9.7491419103605162E-2</v>
      </c>
      <c r="AA126" s="27"/>
      <c r="AB126" s="27"/>
      <c r="AC126" s="56">
        <f t="shared" si="50"/>
        <v>0</v>
      </c>
      <c r="AD126" s="20">
        <f t="shared" si="46"/>
        <v>2462501.25</v>
      </c>
      <c r="AE126" s="20">
        <f t="shared" si="37"/>
        <v>0</v>
      </c>
      <c r="AF126" s="20">
        <f t="shared" si="38"/>
        <v>1728435204.9000001</v>
      </c>
      <c r="AG126">
        <f t="shared" si="39"/>
        <v>0</v>
      </c>
      <c r="AH126">
        <f t="shared" si="40"/>
        <v>0</v>
      </c>
      <c r="AI126">
        <f t="shared" si="41"/>
        <v>24622060647.240002</v>
      </c>
    </row>
    <row r="127" spans="2:35" x14ac:dyDescent="0.25">
      <c r="B127" s="4">
        <v>2023</v>
      </c>
      <c r="C127" s="4" t="s">
        <v>199</v>
      </c>
      <c r="D127" s="4" t="s">
        <v>200</v>
      </c>
      <c r="E127" s="4" t="str">
        <f t="shared" si="51"/>
        <v>DTE-MI</v>
      </c>
      <c r="F127" s="4" t="s">
        <v>143</v>
      </c>
      <c r="G127" s="4">
        <v>1</v>
      </c>
      <c r="H127" s="4" t="s">
        <v>212</v>
      </c>
      <c r="I127" s="11"/>
      <c r="J127" s="4" t="s">
        <v>108</v>
      </c>
      <c r="K127" s="5">
        <v>725054.96</v>
      </c>
      <c r="L127" s="5">
        <f t="shared" si="52"/>
        <v>788103.21739130432</v>
      </c>
      <c r="M127" s="8">
        <v>9491434</v>
      </c>
      <c r="N127" s="8"/>
      <c r="O127" s="8">
        <f>SUMIFS(EIAwtransport!$J$2:$J$675,EIAwtransport!$E$2:$E$675,Program_data!$E127,EIAwtransport!$H$2:$H$675,Program_data!$F127,EIAwtransport!$I$2:$I$675,Program_data!O$2)</f>
        <v>0</v>
      </c>
      <c r="P127" s="5">
        <f>SUMIFS(EIAwtransport!$J$2:$J$675,EIAwtransport!$E$2:$E$675,Program_data!$E127,EIAwtransport!$H$2:$H$675,Program_data!$F127,EIAwtransport!$I$2:$I$675,Program_data!P$2)</f>
        <v>0</v>
      </c>
      <c r="Q127" s="5">
        <f>SUMIFS(EIAwtransport!$J$2:$J$675,EIAwtransport!$E$2:$E$675,Program_data!$E127,EIAwtransport!$H$2:$H$675,Program_data!$F127,EIAwtransport!$I$2:$I$675,Program_data!Q$2)</f>
        <v>0</v>
      </c>
      <c r="R127" s="8">
        <f>SUMIFS(EIAwtransport!$J$2:$J$675,EIAwtransport!$E$2:$E$675,Program_data!$E127,EIAwtransport!$I$2:$I$675,Program_data!R$2)</f>
        <v>1280322374</v>
      </c>
      <c r="S127" s="5">
        <f>SUMIFS(EIAwtransport!$J$2:$J$675,EIAwtransport!$E$2:$E$675,Program_data!$E127,EIAwtransport!$I$2:$I$675,Program_data!S$2)</f>
        <v>233428713</v>
      </c>
      <c r="T127" s="5">
        <f>SUMIFS(EIAwtransport!$J$2:$J$675,EIAwtransport!$E$2:$E$675,Program_data!$E127,EIAwtransport!$I$2:$I$675,Program_data!T$2)</f>
        <v>1305155</v>
      </c>
      <c r="U127" s="24">
        <f t="shared" si="53"/>
        <v>2.9981744362356997E-4</v>
      </c>
      <c r="V127" s="24">
        <f t="shared" si="31"/>
        <v>3.2588852567779348E-4</v>
      </c>
      <c r="W127" s="24">
        <f t="shared" si="54"/>
        <v>7.4133157341824286E-3</v>
      </c>
      <c r="X127" s="25">
        <f t="shared" si="55"/>
        <v>3.924802442840796E-3</v>
      </c>
      <c r="Y127" s="8">
        <f t="shared" si="34"/>
        <v>6.7712345938092788</v>
      </c>
      <c r="Z127" s="27">
        <f t="shared" si="35"/>
        <v>0.50728910268942207</v>
      </c>
      <c r="AA127" s="27"/>
      <c r="AB127" s="27"/>
      <c r="AC127" s="56">
        <f t="shared" si="50"/>
        <v>1.8192215265488858E-2</v>
      </c>
      <c r="AD127" s="20">
        <f t="shared" si="46"/>
        <v>12813435.9</v>
      </c>
      <c r="AE127" s="20">
        <f t="shared" si="37"/>
        <v>0</v>
      </c>
      <c r="AF127" s="20">
        <f t="shared" si="38"/>
        <v>1728435204.9000001</v>
      </c>
      <c r="AG127">
        <f t="shared" si="39"/>
        <v>76478797.180800006</v>
      </c>
      <c r="AH127">
        <f t="shared" si="40"/>
        <v>83129127.370434776</v>
      </c>
      <c r="AI127">
        <f t="shared" si="41"/>
        <v>24622060647.240002</v>
      </c>
    </row>
    <row r="128" spans="2:35" x14ac:dyDescent="0.25">
      <c r="B128" s="4">
        <v>2023</v>
      </c>
      <c r="C128" s="4" t="s">
        <v>199</v>
      </c>
      <c r="D128" s="4" t="s">
        <v>200</v>
      </c>
      <c r="E128" s="4" t="str">
        <f t="shared" si="51"/>
        <v>DTE-MI</v>
      </c>
      <c r="F128" s="4" t="s">
        <v>143</v>
      </c>
      <c r="G128" s="4">
        <v>1</v>
      </c>
      <c r="H128" s="4" t="s">
        <v>213</v>
      </c>
      <c r="I128" s="11"/>
      <c r="J128" s="4" t="s">
        <v>108</v>
      </c>
      <c r="K128" s="5">
        <v>369447.95999999996</v>
      </c>
      <c r="L128" s="5">
        <f t="shared" si="52"/>
        <v>401573.86956521735</v>
      </c>
      <c r="M128" s="8">
        <v>4715168</v>
      </c>
      <c r="N128" s="8"/>
      <c r="O128" s="8">
        <f>SUMIFS(EIAwtransport!$J$2:$J$675,EIAwtransport!$E$2:$E$675,Program_data!$E128,EIAwtransport!$H$2:$H$675,Program_data!$F128,EIAwtransport!$I$2:$I$675,Program_data!O$2)</f>
        <v>0</v>
      </c>
      <c r="P128" s="5">
        <f>SUMIFS(EIAwtransport!$J$2:$J$675,EIAwtransport!$E$2:$E$675,Program_data!$E128,EIAwtransport!$H$2:$H$675,Program_data!$F128,EIAwtransport!$I$2:$I$675,Program_data!P$2)</f>
        <v>0</v>
      </c>
      <c r="Q128" s="5">
        <f>SUMIFS(EIAwtransport!$J$2:$J$675,EIAwtransport!$E$2:$E$675,Program_data!$E128,EIAwtransport!$H$2:$H$675,Program_data!$F128,EIAwtransport!$I$2:$I$675,Program_data!Q$2)</f>
        <v>0</v>
      </c>
      <c r="R128" s="8">
        <f>SUMIFS(EIAwtransport!$J$2:$J$675,EIAwtransport!$E$2:$E$675,Program_data!$E128,EIAwtransport!$I$2:$I$675,Program_data!R$2)</f>
        <v>1280322374</v>
      </c>
      <c r="S128" s="5">
        <f>SUMIFS(EIAwtransport!$J$2:$J$675,EIAwtransport!$E$2:$E$675,Program_data!$E128,EIAwtransport!$I$2:$I$675,Program_data!S$2)</f>
        <v>233428713</v>
      </c>
      <c r="T128" s="5">
        <f>SUMIFS(EIAwtransport!$J$2:$J$675,EIAwtransport!$E$2:$E$675,Program_data!$E128,EIAwtransport!$I$2:$I$675,Program_data!T$2)</f>
        <v>1305155</v>
      </c>
      <c r="U128" s="24">
        <f t="shared" si="53"/>
        <v>1.5277040918269553E-4</v>
      </c>
      <c r="V128" s="24">
        <f t="shared" si="31"/>
        <v>1.6605479258988644E-4</v>
      </c>
      <c r="W128" s="24">
        <f t="shared" si="54"/>
        <v>3.6827974701940185E-3</v>
      </c>
      <c r="X128" s="25">
        <f t="shared" si="55"/>
        <v>1.9497689058159968E-3</v>
      </c>
      <c r="Y128" s="8">
        <f t="shared" si="34"/>
        <v>3.3638234936072369</v>
      </c>
      <c r="Z128" s="27">
        <f t="shared" si="35"/>
        <v>0.25201179755871211</v>
      </c>
      <c r="AA128" s="27"/>
      <c r="AB128" s="27"/>
      <c r="AC128" s="56">
        <f t="shared" si="50"/>
        <v>9.2697480722229893E-3</v>
      </c>
      <c r="AD128" s="20">
        <f t="shared" si="46"/>
        <v>6365476.8000000007</v>
      </c>
      <c r="AE128" s="20">
        <f t="shared" si="37"/>
        <v>0</v>
      </c>
      <c r="AF128" s="20">
        <f t="shared" si="38"/>
        <v>1728435204.9000001</v>
      </c>
      <c r="AG128">
        <f t="shared" si="39"/>
        <v>38969370.820799999</v>
      </c>
      <c r="AH128">
        <f t="shared" si="40"/>
        <v>42358011.761739127</v>
      </c>
      <c r="AI128">
        <f t="shared" si="41"/>
        <v>24622060647.240002</v>
      </c>
    </row>
    <row r="129" spans="2:35" x14ac:dyDescent="0.25">
      <c r="B129" s="4">
        <v>2023</v>
      </c>
      <c r="C129" s="4" t="s">
        <v>199</v>
      </c>
      <c r="D129" s="4" t="s">
        <v>200</v>
      </c>
      <c r="E129" s="4" t="str">
        <f t="shared" si="51"/>
        <v>DTE-MI</v>
      </c>
      <c r="F129" s="4" t="s">
        <v>143</v>
      </c>
      <c r="G129" s="4">
        <v>1</v>
      </c>
      <c r="H129" s="4" t="s">
        <v>204</v>
      </c>
      <c r="I129" s="11"/>
      <c r="J129" s="4" t="s">
        <v>108</v>
      </c>
      <c r="K129" s="5">
        <v>307225.8</v>
      </c>
      <c r="L129" s="5">
        <f t="shared" si="52"/>
        <v>333941.08695652173</v>
      </c>
      <c r="M129" s="8">
        <v>1185117</v>
      </c>
      <c r="N129" s="8"/>
      <c r="O129" s="8">
        <f>SUMIFS(EIAwtransport!$J$2:$J$675,EIAwtransport!$E$2:$E$675,Program_data!$E129,EIAwtransport!$H$2:$H$675,Program_data!$F129,EIAwtransport!$I$2:$I$675,Program_data!O$2)</f>
        <v>0</v>
      </c>
      <c r="P129" s="5">
        <f>SUMIFS(EIAwtransport!$J$2:$J$675,EIAwtransport!$E$2:$E$675,Program_data!$E129,EIAwtransport!$H$2:$H$675,Program_data!$F129,EIAwtransport!$I$2:$I$675,Program_data!P$2)</f>
        <v>0</v>
      </c>
      <c r="Q129" s="5">
        <f>SUMIFS(EIAwtransport!$J$2:$J$675,EIAwtransport!$E$2:$E$675,Program_data!$E129,EIAwtransport!$H$2:$H$675,Program_data!$F129,EIAwtransport!$I$2:$I$675,Program_data!Q$2)</f>
        <v>0</v>
      </c>
      <c r="R129" s="8">
        <f>SUMIFS(EIAwtransport!$J$2:$J$675,EIAwtransport!$E$2:$E$675,Program_data!$E129,EIAwtransport!$I$2:$I$675,Program_data!R$2)</f>
        <v>1280322374</v>
      </c>
      <c r="S129" s="5">
        <f>SUMIFS(EIAwtransport!$J$2:$J$675,EIAwtransport!$E$2:$E$675,Program_data!$E129,EIAwtransport!$I$2:$I$675,Program_data!S$2)</f>
        <v>233428713</v>
      </c>
      <c r="T129" s="5">
        <f>SUMIFS(EIAwtransport!$J$2:$J$675,EIAwtransport!$E$2:$E$675,Program_data!$E129,EIAwtransport!$I$2:$I$675,Program_data!T$2)</f>
        <v>1305155</v>
      </c>
      <c r="U129" s="24">
        <f t="shared" si="53"/>
        <v>1.2704092662328134E-4</v>
      </c>
      <c r="V129" s="24">
        <f t="shared" si="31"/>
        <v>1.3808796372095797E-4</v>
      </c>
      <c r="W129" s="24">
        <f t="shared" si="54"/>
        <v>9.2563952959553606E-4</v>
      </c>
      <c r="X129" s="25">
        <f t="shared" si="55"/>
        <v>4.9005767691711873E-4</v>
      </c>
      <c r="Y129" s="8">
        <f t="shared" si="34"/>
        <v>0.84546815877468784</v>
      </c>
      <c r="Z129" s="27">
        <f t="shared" si="35"/>
        <v>6.3341001951020243E-2</v>
      </c>
      <c r="AA129" s="27"/>
      <c r="AB129" s="27"/>
      <c r="AC129" s="56">
        <f t="shared" si="50"/>
        <v>7.7085437615819173E-3</v>
      </c>
      <c r="AD129" s="20">
        <f t="shared" si="46"/>
        <v>1599907.9500000002</v>
      </c>
      <c r="AE129" s="20">
        <f t="shared" si="37"/>
        <v>0</v>
      </c>
      <c r="AF129" s="20">
        <f t="shared" si="38"/>
        <v>1728435204.9000001</v>
      </c>
      <c r="AG129">
        <f t="shared" si="39"/>
        <v>32406177.384</v>
      </c>
      <c r="AH129">
        <f t="shared" si="40"/>
        <v>35224105.852173917</v>
      </c>
      <c r="AI129">
        <f t="shared" si="41"/>
        <v>24622060647.240002</v>
      </c>
    </row>
    <row r="130" spans="2:35" x14ac:dyDescent="0.25">
      <c r="B130" s="4">
        <v>2023</v>
      </c>
      <c r="C130" s="4" t="s">
        <v>199</v>
      </c>
      <c r="D130" s="4" t="s">
        <v>200</v>
      </c>
      <c r="E130" s="4" t="str">
        <f t="shared" si="51"/>
        <v>DTE-MI</v>
      </c>
      <c r="F130" s="4" t="s">
        <v>143</v>
      </c>
      <c r="G130" s="4">
        <v>1</v>
      </c>
      <c r="H130" s="4" t="s">
        <v>211</v>
      </c>
      <c r="I130" s="4" t="s">
        <v>167</v>
      </c>
      <c r="J130" s="4" t="s">
        <v>155</v>
      </c>
      <c r="K130" s="5"/>
      <c r="L130" s="5"/>
      <c r="M130" s="8">
        <v>102856</v>
      </c>
      <c r="N130" s="8"/>
      <c r="O130" s="8">
        <f>SUMIFS(EIAwtransport!$J$2:$J$675,EIAwtransport!$E$2:$E$675,Program_data!$E130,EIAwtransport!$H$2:$H$675,Program_data!$F130,EIAwtransport!$I$2:$I$675,Program_data!O$2)</f>
        <v>0</v>
      </c>
      <c r="P130" s="5">
        <f>SUMIFS(EIAwtransport!$J$2:$J$675,EIAwtransport!$E$2:$E$675,Program_data!$E130,EIAwtransport!$H$2:$H$675,Program_data!$F130,EIAwtransport!$I$2:$I$675,Program_data!P$2)</f>
        <v>0</v>
      </c>
      <c r="Q130" s="5">
        <f>SUMIFS(EIAwtransport!$J$2:$J$675,EIAwtransport!$E$2:$E$675,Program_data!$E130,EIAwtransport!$H$2:$H$675,Program_data!$F130,EIAwtransport!$I$2:$I$675,Program_data!Q$2)</f>
        <v>0</v>
      </c>
      <c r="R130" s="8">
        <f>SUMIFS(EIAwtransport!$J$2:$J$675,EIAwtransport!$E$2:$E$675,Program_data!$E130,EIAwtransport!$I$2:$I$675,Program_data!R$2)</f>
        <v>1280322374</v>
      </c>
      <c r="S130" s="5">
        <f>SUMIFS(EIAwtransport!$J$2:$J$675,EIAwtransport!$E$2:$E$675,Program_data!$E130,EIAwtransport!$I$2:$I$675,Program_data!S$2)</f>
        <v>233428713</v>
      </c>
      <c r="T130" s="5">
        <f>SUMIFS(EIAwtransport!$J$2:$J$675,EIAwtransport!$E$2:$E$675,Program_data!$E130,EIAwtransport!$I$2:$I$675,Program_data!T$2)</f>
        <v>1305155</v>
      </c>
      <c r="U130" s="24">
        <f t="shared" si="53"/>
        <v>0</v>
      </c>
      <c r="V130" s="24">
        <f t="shared" si="31"/>
        <v>0</v>
      </c>
      <c r="W130" s="24">
        <f t="shared" si="54"/>
        <v>8.033601699754409E-5</v>
      </c>
      <c r="X130" s="25">
        <f t="shared" si="55"/>
        <v>4.2531979894801236E-5</v>
      </c>
      <c r="Y130" s="8">
        <f t="shared" si="34"/>
        <v>7.3377964318231279E-2</v>
      </c>
      <c r="Z130" s="27">
        <f t="shared" si="35"/>
        <v>5.4973492884450546E-3</v>
      </c>
      <c r="AA130" s="27"/>
      <c r="AB130" s="27"/>
      <c r="AC130" s="56">
        <f t="shared" si="50"/>
        <v>0</v>
      </c>
      <c r="AD130" s="20">
        <f t="shared" si="46"/>
        <v>138855.6</v>
      </c>
      <c r="AE130" s="20">
        <f t="shared" si="37"/>
        <v>0</v>
      </c>
      <c r="AF130" s="20">
        <f t="shared" si="38"/>
        <v>1728435204.9000001</v>
      </c>
      <c r="AG130">
        <f t="shared" si="39"/>
        <v>0</v>
      </c>
      <c r="AH130">
        <f t="shared" si="40"/>
        <v>0</v>
      </c>
      <c r="AI130">
        <f t="shared" si="41"/>
        <v>24622060647.240002</v>
      </c>
    </row>
    <row r="131" spans="2:35" x14ac:dyDescent="0.25">
      <c r="B131" s="4">
        <v>2023</v>
      </c>
      <c r="C131" s="4" t="s">
        <v>199</v>
      </c>
      <c r="D131" s="4" t="s">
        <v>200</v>
      </c>
      <c r="E131" s="4" t="str">
        <f t="shared" si="51"/>
        <v>DTE-MI</v>
      </c>
      <c r="F131" s="4" t="s">
        <v>146</v>
      </c>
      <c r="G131" s="4"/>
      <c r="H131" s="4" t="s">
        <v>214</v>
      </c>
      <c r="I131" s="11"/>
      <c r="J131" s="4" t="s">
        <v>142</v>
      </c>
      <c r="K131" s="5">
        <v>5052437.3199999994</v>
      </c>
      <c r="L131" s="5">
        <f t="shared" ref="L131:L141" si="56">K131/0.92</f>
        <v>5491779.6956521729</v>
      </c>
      <c r="M131" s="8">
        <v>3366149</v>
      </c>
      <c r="N131" s="8"/>
      <c r="O131" s="8">
        <f>SUMIFS(EIAwtransport!$J$2:$J$675,EIAwtransport!$E$2:$E$675,Program_data!$E131,EIAwtransport!$H$2:$H$675,Program_data!$F131,EIAwtransport!$I$2:$I$675,Program_data!O$2)</f>
        <v>348353795</v>
      </c>
      <c r="P131" s="5">
        <f>SUMIFS(EIAwtransport!$J$2:$J$675,EIAwtransport!$E$2:$E$675,Program_data!$E131,EIAwtransport!$H$2:$H$675,Program_data!$F131,EIAwtransport!$I$2:$I$675,Program_data!P$2)</f>
        <v>124635991</v>
      </c>
      <c r="Q131" s="5">
        <f>SUMIFS(EIAwtransport!$J$2:$J$675,EIAwtransport!$E$2:$E$675,Program_data!$E131,EIAwtransport!$H$2:$H$675,Program_data!$F131,EIAwtransport!$I$2:$I$675,Program_data!Q$2)</f>
        <v>90386</v>
      </c>
      <c r="R131" s="8">
        <f>SUMIFS(EIAwtransport!$J$2:$J$675,EIAwtransport!$E$2:$E$675,Program_data!$E131,EIAwtransport!$I$2:$I$675,Program_data!R$2)</f>
        <v>1280322374</v>
      </c>
      <c r="S131" s="5">
        <f>SUMIFS(EIAwtransport!$J$2:$J$675,EIAwtransport!$E$2:$E$675,Program_data!$E131,EIAwtransport!$I$2:$I$675,Program_data!S$2)</f>
        <v>233428713</v>
      </c>
      <c r="T131" s="5">
        <f>SUMIFS(EIAwtransport!$J$2:$J$675,EIAwtransport!$E$2:$E$675,Program_data!$E131,EIAwtransport!$I$2:$I$675,Program_data!T$2)</f>
        <v>1305155</v>
      </c>
      <c r="U131" s="24">
        <f t="shared" si="53"/>
        <v>2.0892331270318059E-3</v>
      </c>
      <c r="V131" s="24">
        <f t="shared" si="31"/>
        <v>2.2709055728606584E-3</v>
      </c>
      <c r="W131" s="24">
        <f t="shared" si="54"/>
        <v>2.6291417445775261E-3</v>
      </c>
      <c r="X131" s="25">
        <f t="shared" si="55"/>
        <v>1.3919361203129162E-3</v>
      </c>
      <c r="Y131" s="8">
        <f t="shared" si="34"/>
        <v>0.36163582762957036</v>
      </c>
      <c r="Z131" s="27">
        <f t="shared" si="35"/>
        <v>0.17991071799360303</v>
      </c>
      <c r="AA131" s="27"/>
      <c r="AB131" s="27"/>
      <c r="AC131" s="56">
        <f t="shared" si="50"/>
        <v>0.1267697380358995</v>
      </c>
      <c r="AD131" s="20">
        <f t="shared" si="46"/>
        <v>4544301.1500000004</v>
      </c>
      <c r="AE131" s="20">
        <f t="shared" si="37"/>
        <v>0</v>
      </c>
      <c r="AF131" s="20">
        <f t="shared" si="38"/>
        <v>1728435204.9000001</v>
      </c>
      <c r="AG131">
        <f t="shared" si="39"/>
        <v>532931088.51359993</v>
      </c>
      <c r="AH131">
        <f t="shared" si="40"/>
        <v>579272922.29739118</v>
      </c>
      <c r="AI131">
        <f t="shared" si="41"/>
        <v>24622060647.240002</v>
      </c>
    </row>
    <row r="132" spans="2:35" x14ac:dyDescent="0.25">
      <c r="B132" s="4">
        <v>2023</v>
      </c>
      <c r="C132" s="4" t="s">
        <v>199</v>
      </c>
      <c r="D132" s="4" t="s">
        <v>200</v>
      </c>
      <c r="E132" s="4" t="str">
        <f t="shared" si="51"/>
        <v>DTE-MI</v>
      </c>
      <c r="F132" s="4" t="s">
        <v>146</v>
      </c>
      <c r="G132" s="4"/>
      <c r="H132" s="4" t="s">
        <v>215</v>
      </c>
      <c r="I132" s="11"/>
      <c r="J132" s="4" t="s">
        <v>142</v>
      </c>
      <c r="K132" s="5">
        <v>1900790.64</v>
      </c>
      <c r="L132" s="5">
        <f t="shared" si="56"/>
        <v>2066076.7826086956</v>
      </c>
      <c r="M132" s="8">
        <v>1129020</v>
      </c>
      <c r="N132" s="8"/>
      <c r="O132" s="8">
        <f>SUMIFS(EIAwtransport!$J$2:$J$675,EIAwtransport!$E$2:$E$675,Program_data!$E132,EIAwtransport!$H$2:$H$675,Program_data!$F132,EIAwtransport!$I$2:$I$675,Program_data!O$2)</f>
        <v>348353795</v>
      </c>
      <c r="P132" s="5">
        <f>SUMIFS(EIAwtransport!$J$2:$J$675,EIAwtransport!$E$2:$E$675,Program_data!$E132,EIAwtransport!$H$2:$H$675,Program_data!$F132,EIAwtransport!$I$2:$I$675,Program_data!P$2)</f>
        <v>124635991</v>
      </c>
      <c r="Q132" s="5">
        <f>SUMIFS(EIAwtransport!$J$2:$J$675,EIAwtransport!$E$2:$E$675,Program_data!$E132,EIAwtransport!$H$2:$H$675,Program_data!$F132,EIAwtransport!$I$2:$I$675,Program_data!Q$2)</f>
        <v>90386</v>
      </c>
      <c r="R132" s="8">
        <f>SUMIFS(EIAwtransport!$J$2:$J$675,EIAwtransport!$E$2:$E$675,Program_data!$E132,EIAwtransport!$I$2:$I$675,Program_data!R$2)</f>
        <v>1280322374</v>
      </c>
      <c r="S132" s="5">
        <f>SUMIFS(EIAwtransport!$J$2:$J$675,EIAwtransport!$E$2:$E$675,Program_data!$E132,EIAwtransport!$I$2:$I$675,Program_data!S$2)</f>
        <v>233428713</v>
      </c>
      <c r="T132" s="5">
        <f>SUMIFS(EIAwtransport!$J$2:$J$675,EIAwtransport!$E$2:$E$675,Program_data!$E132,EIAwtransport!$I$2:$I$675,Program_data!T$2)</f>
        <v>1305155</v>
      </c>
      <c r="U132" s="24">
        <f t="shared" si="53"/>
        <v>7.8599585133299352E-4</v>
      </c>
      <c r="V132" s="24">
        <f t="shared" ref="V132:V206" si="57">IFERROR(L132/10.36/S132,"")</f>
        <v>8.5434331666629727E-4</v>
      </c>
      <c r="W132" s="24">
        <f t="shared" si="54"/>
        <v>8.8182478329477357E-4</v>
      </c>
      <c r="X132" s="25">
        <f t="shared" si="55"/>
        <v>4.6686100899148806E-4</v>
      </c>
      <c r="Y132" s="8">
        <f t="shared" ref="Y132:Y195" si="58">IFERROR(M132/SUMIFS($K$3:$K$1492,$E$3:$E$1492,E132,$B$3:$B$1492,B132,$F$3:$F$1492,F132,$A$3:$A$1492,""),"")</f>
        <v>0.12129412040594088</v>
      </c>
      <c r="Z132" s="27">
        <f t="shared" ref="Z132:Z195" si="59">IFERROR(M132/SUMIFS($K$3:$K$1492,$E$3:$E$1492,E132,$B$3:$B$1492,B132,$A$3:$A$1492,""),"")</f>
        <v>6.0342783052425096E-2</v>
      </c>
      <c r="AA132" s="27"/>
      <c r="AB132" s="27"/>
      <c r="AC132" s="56">
        <f t="shared" ref="AC132:AC142" si="60">IFERROR(K132/SUMIFS($M$3:$M$1234,$E$3:$E$1234,E132,$B$3:$B$1234,B132),"")</f>
        <v>4.7692374240852493E-2</v>
      </c>
      <c r="AD132" s="20">
        <f t="shared" si="46"/>
        <v>1524177</v>
      </c>
      <c r="AE132" s="20">
        <f t="shared" ref="AE132:AE203" si="61">N132*1.35</f>
        <v>0</v>
      </c>
      <c r="AF132" s="20">
        <f t="shared" ref="AF132:AF203" si="62">R132*1.35</f>
        <v>1728435204.9000001</v>
      </c>
      <c r="AG132">
        <f t="shared" ref="AG132:AG203" si="63">K132*105.48</f>
        <v>200495396.70719999</v>
      </c>
      <c r="AH132">
        <f t="shared" ref="AH132:AH203" si="64">L132*105.48</f>
        <v>217929779.02956522</v>
      </c>
      <c r="AI132">
        <f t="shared" ref="AI132:AI203" si="65">S132*105.48</f>
        <v>24622060647.240002</v>
      </c>
    </row>
    <row r="133" spans="2:35" x14ac:dyDescent="0.25">
      <c r="B133" s="4">
        <v>2023</v>
      </c>
      <c r="C133" s="4" t="s">
        <v>199</v>
      </c>
      <c r="D133" s="4" t="s">
        <v>200</v>
      </c>
      <c r="E133" s="4" t="str">
        <f t="shared" si="51"/>
        <v>DTE-MI</v>
      </c>
      <c r="F133" s="4" t="s">
        <v>146</v>
      </c>
      <c r="G133" s="4"/>
      <c r="H133" s="4" t="s">
        <v>71</v>
      </c>
      <c r="I133" s="11"/>
      <c r="J133" s="4" t="s">
        <v>71</v>
      </c>
      <c r="K133" s="5">
        <v>104221.59999999999</v>
      </c>
      <c r="L133" s="5">
        <f t="shared" si="56"/>
        <v>113284.34782608695</v>
      </c>
      <c r="M133" s="8">
        <v>222919</v>
      </c>
      <c r="N133" s="8"/>
      <c r="O133" s="8">
        <f>SUMIFS(EIAwtransport!$J$2:$J$675,EIAwtransport!$E$2:$E$675,Program_data!$E133,EIAwtransport!$H$2:$H$675,Program_data!$F133,EIAwtransport!$I$2:$I$675,Program_data!O$2)</f>
        <v>348353795</v>
      </c>
      <c r="P133" s="5">
        <f>SUMIFS(EIAwtransport!$J$2:$J$675,EIAwtransport!$E$2:$E$675,Program_data!$E133,EIAwtransport!$H$2:$H$675,Program_data!$F133,EIAwtransport!$I$2:$I$675,Program_data!P$2)</f>
        <v>124635991</v>
      </c>
      <c r="Q133" s="5">
        <f>SUMIFS(EIAwtransport!$J$2:$J$675,EIAwtransport!$E$2:$E$675,Program_data!$E133,EIAwtransport!$H$2:$H$675,Program_data!$F133,EIAwtransport!$I$2:$I$675,Program_data!Q$2)</f>
        <v>90386</v>
      </c>
      <c r="R133" s="8">
        <f>SUMIFS(EIAwtransport!$J$2:$J$675,EIAwtransport!$E$2:$E$675,Program_data!$E133,EIAwtransport!$I$2:$I$675,Program_data!R$2)</f>
        <v>1280322374</v>
      </c>
      <c r="S133" s="5">
        <f>SUMIFS(EIAwtransport!$J$2:$J$675,EIAwtransport!$E$2:$E$675,Program_data!$E133,EIAwtransport!$I$2:$I$675,Program_data!S$2)</f>
        <v>233428713</v>
      </c>
      <c r="T133" s="5">
        <f>SUMIFS(EIAwtransport!$J$2:$J$675,EIAwtransport!$E$2:$E$675,Program_data!$E133,EIAwtransport!$I$2:$I$675,Program_data!T$2)</f>
        <v>1305155</v>
      </c>
      <c r="U133" s="24">
        <f t="shared" si="53"/>
        <v>4.3096669088862259E-5</v>
      </c>
      <c r="V133" s="24">
        <f t="shared" si="57"/>
        <v>4.684420553137202E-5</v>
      </c>
      <c r="W133" s="24">
        <f t="shared" si="54"/>
        <v>1.7411161792287792E-4</v>
      </c>
      <c r="X133" s="25">
        <f t="shared" si="55"/>
        <v>9.2179225579151414E-5</v>
      </c>
      <c r="Y133" s="8">
        <f t="shared" si="58"/>
        <v>2.394887958297633E-2</v>
      </c>
      <c r="Z133" s="27">
        <f t="shared" si="59"/>
        <v>1.1914361884876752E-2</v>
      </c>
      <c r="AA133" s="27"/>
      <c r="AB133" s="27"/>
      <c r="AC133" s="56">
        <f t="shared" si="60"/>
        <v>2.6150042232849125E-3</v>
      </c>
      <c r="AD133" s="20">
        <f t="shared" si="46"/>
        <v>300940.65000000002</v>
      </c>
      <c r="AE133" s="20">
        <f t="shared" si="61"/>
        <v>0</v>
      </c>
      <c r="AF133" s="20">
        <f t="shared" si="62"/>
        <v>1728435204.9000001</v>
      </c>
      <c r="AG133">
        <f t="shared" si="63"/>
        <v>10993294.367999999</v>
      </c>
      <c r="AH133">
        <f t="shared" si="64"/>
        <v>11949233.008695651</v>
      </c>
      <c r="AI133">
        <f t="shared" si="65"/>
        <v>24622060647.240002</v>
      </c>
    </row>
    <row r="134" spans="2:35" x14ac:dyDescent="0.25">
      <c r="B134" s="4">
        <v>2023</v>
      </c>
      <c r="C134" s="4" t="s">
        <v>199</v>
      </c>
      <c r="D134" s="4" t="s">
        <v>200</v>
      </c>
      <c r="E134" s="4" t="str">
        <f t="shared" si="51"/>
        <v>DTE-MI</v>
      </c>
      <c r="F134" s="4" t="s">
        <v>146</v>
      </c>
      <c r="G134" s="4"/>
      <c r="H134" s="4" t="s">
        <v>68</v>
      </c>
      <c r="I134" s="11"/>
      <c r="J134" s="4" t="s">
        <v>68</v>
      </c>
      <c r="K134" s="5">
        <v>570690.96</v>
      </c>
      <c r="L134" s="5">
        <f t="shared" si="56"/>
        <v>620316.26086956519</v>
      </c>
      <c r="M134" s="8">
        <v>619798</v>
      </c>
      <c r="N134" s="8"/>
      <c r="O134" s="8">
        <f>SUMIFS(EIAwtransport!$J$2:$J$675,EIAwtransport!$E$2:$E$675,Program_data!$E134,EIAwtransport!$H$2:$H$675,Program_data!$F134,EIAwtransport!$I$2:$I$675,Program_data!O$2)</f>
        <v>348353795</v>
      </c>
      <c r="P134" s="5">
        <f>SUMIFS(EIAwtransport!$J$2:$J$675,EIAwtransport!$E$2:$E$675,Program_data!$E134,EIAwtransport!$H$2:$H$675,Program_data!$F134,EIAwtransport!$I$2:$I$675,Program_data!P$2)</f>
        <v>124635991</v>
      </c>
      <c r="Q134" s="5">
        <f>SUMIFS(EIAwtransport!$J$2:$J$675,EIAwtransport!$E$2:$E$675,Program_data!$E134,EIAwtransport!$H$2:$H$675,Program_data!$F134,EIAwtransport!$I$2:$I$675,Program_data!Q$2)</f>
        <v>90386</v>
      </c>
      <c r="R134" s="8">
        <f>SUMIFS(EIAwtransport!$J$2:$J$675,EIAwtransport!$E$2:$E$675,Program_data!$E134,EIAwtransport!$I$2:$I$675,Program_data!R$2)</f>
        <v>1280322374</v>
      </c>
      <c r="S134" s="5">
        <f>SUMIFS(EIAwtransport!$J$2:$J$675,EIAwtransport!$E$2:$E$675,Program_data!$E134,EIAwtransport!$I$2:$I$675,Program_data!S$2)</f>
        <v>233428713</v>
      </c>
      <c r="T134" s="5">
        <f>SUMIFS(EIAwtransport!$J$2:$J$675,EIAwtransport!$E$2:$E$675,Program_data!$E134,EIAwtransport!$I$2:$I$675,Program_data!T$2)</f>
        <v>1305155</v>
      </c>
      <c r="U134" s="24">
        <f t="shared" si="53"/>
        <v>2.3598639298499666E-4</v>
      </c>
      <c r="V134" s="24">
        <f t="shared" si="57"/>
        <v>2.5650694889673548E-4</v>
      </c>
      <c r="W134" s="24">
        <f t="shared" si="54"/>
        <v>4.8409526583810211E-4</v>
      </c>
      <c r="X134" s="25">
        <f t="shared" si="55"/>
        <v>2.5629264286806816E-4</v>
      </c>
      <c r="Y134" s="8">
        <f t="shared" si="58"/>
        <v>6.6586821526068055E-2</v>
      </c>
      <c r="Z134" s="27">
        <f t="shared" si="59"/>
        <v>3.3126371765183051E-2</v>
      </c>
      <c r="AA134" s="27"/>
      <c r="AB134" s="27"/>
      <c r="AC134" s="56">
        <f t="shared" si="60"/>
        <v>1.4319097678317365E-2</v>
      </c>
      <c r="AD134" s="20">
        <f t="shared" si="46"/>
        <v>836727.3</v>
      </c>
      <c r="AE134" s="20">
        <f t="shared" si="61"/>
        <v>0</v>
      </c>
      <c r="AF134" s="20">
        <f t="shared" si="62"/>
        <v>1728435204.9000001</v>
      </c>
      <c r="AG134">
        <f t="shared" si="63"/>
        <v>60196482.4608</v>
      </c>
      <c r="AH134">
        <f t="shared" si="64"/>
        <v>65430959.196521737</v>
      </c>
      <c r="AI134">
        <f t="shared" si="65"/>
        <v>24622060647.240002</v>
      </c>
    </row>
    <row r="135" spans="2:35" x14ac:dyDescent="0.25">
      <c r="B135" s="4">
        <v>2023</v>
      </c>
      <c r="C135" s="4" t="s">
        <v>199</v>
      </c>
      <c r="D135" s="4" t="s">
        <v>200</v>
      </c>
      <c r="E135" s="4" t="str">
        <f t="shared" si="51"/>
        <v>DTE-MI</v>
      </c>
      <c r="F135" s="4" t="s">
        <v>146</v>
      </c>
      <c r="G135" s="4"/>
      <c r="H135" s="4" t="s">
        <v>216</v>
      </c>
      <c r="I135" s="11"/>
      <c r="J135" s="4" t="s">
        <v>142</v>
      </c>
      <c r="K135" s="5">
        <v>304832.63999999996</v>
      </c>
      <c r="L135" s="5">
        <f t="shared" si="56"/>
        <v>331339.82608695648</v>
      </c>
      <c r="M135" s="8">
        <v>1072973</v>
      </c>
      <c r="N135" s="8"/>
      <c r="O135" s="8">
        <f>SUMIFS(EIAwtransport!$J$2:$J$675,EIAwtransport!$E$2:$E$675,Program_data!$E135,EIAwtransport!$H$2:$H$675,Program_data!$F135,EIAwtransport!$I$2:$I$675,Program_data!O$2)</f>
        <v>348353795</v>
      </c>
      <c r="P135" s="5">
        <f>SUMIFS(EIAwtransport!$J$2:$J$675,EIAwtransport!$E$2:$E$675,Program_data!$E135,EIAwtransport!$H$2:$H$675,Program_data!$F135,EIAwtransport!$I$2:$I$675,Program_data!P$2)</f>
        <v>124635991</v>
      </c>
      <c r="Q135" s="5">
        <f>SUMIFS(EIAwtransport!$J$2:$J$675,EIAwtransport!$E$2:$E$675,Program_data!$E135,EIAwtransport!$H$2:$H$675,Program_data!$F135,EIAwtransport!$I$2:$I$675,Program_data!Q$2)</f>
        <v>90386</v>
      </c>
      <c r="R135" s="8">
        <f>SUMIFS(EIAwtransport!$J$2:$J$675,EIAwtransport!$E$2:$E$675,Program_data!$E135,EIAwtransport!$I$2:$I$675,Program_data!R$2)</f>
        <v>1280322374</v>
      </c>
      <c r="S135" s="5">
        <f>SUMIFS(EIAwtransport!$J$2:$J$675,EIAwtransport!$E$2:$E$675,Program_data!$E135,EIAwtransport!$I$2:$I$675,Program_data!S$2)</f>
        <v>233428713</v>
      </c>
      <c r="T135" s="5">
        <f>SUMIFS(EIAwtransport!$J$2:$J$675,EIAwtransport!$E$2:$E$675,Program_data!$E135,EIAwtransport!$I$2:$I$675,Program_data!T$2)</f>
        <v>1305155</v>
      </c>
      <c r="U135" s="24">
        <f t="shared" si="53"/>
        <v>1.2605133114022694E-4</v>
      </c>
      <c r="V135" s="24">
        <f t="shared" si="57"/>
        <v>1.3701231645676842E-4</v>
      </c>
      <c r="W135" s="24">
        <f t="shared" si="54"/>
        <v>8.3804908965841437E-4</v>
      </c>
      <c r="X135" s="25">
        <f t="shared" si="55"/>
        <v>4.4368501656358962E-4</v>
      </c>
      <c r="Y135" s="8">
        <f t="shared" si="58"/>
        <v>0.11527281735870366</v>
      </c>
      <c r="Z135" s="27">
        <f t="shared" si="59"/>
        <v>5.7347236506093524E-2</v>
      </c>
      <c r="AA135" s="27"/>
      <c r="AB135" s="27"/>
      <c r="AC135" s="56">
        <f t="shared" si="60"/>
        <v>7.6484974419418752E-3</v>
      </c>
      <c r="AD135" s="20">
        <f t="shared" si="46"/>
        <v>1448513.55</v>
      </c>
      <c r="AE135" s="20">
        <f t="shared" si="61"/>
        <v>0</v>
      </c>
      <c r="AF135" s="20">
        <f t="shared" si="62"/>
        <v>1728435204.9000001</v>
      </c>
      <c r="AG135">
        <f t="shared" si="63"/>
        <v>32153746.867199998</v>
      </c>
      <c r="AH135">
        <f t="shared" si="64"/>
        <v>34949724.855652168</v>
      </c>
      <c r="AI135">
        <f t="shared" si="65"/>
        <v>24622060647.240002</v>
      </c>
    </row>
    <row r="136" spans="2:35" x14ac:dyDescent="0.25">
      <c r="B136" s="4">
        <v>2023</v>
      </c>
      <c r="C136" s="4" t="s">
        <v>199</v>
      </c>
      <c r="D136" s="4" t="s">
        <v>200</v>
      </c>
      <c r="E136" s="4" t="str">
        <f t="shared" si="51"/>
        <v>DTE-MI</v>
      </c>
      <c r="F136" s="4" t="s">
        <v>146</v>
      </c>
      <c r="G136" s="4"/>
      <c r="H136" s="4" t="s">
        <v>217</v>
      </c>
      <c r="I136" s="11"/>
      <c r="J136" s="4" t="s">
        <v>142</v>
      </c>
      <c r="K136" s="5">
        <v>33214.159999999996</v>
      </c>
      <c r="L136" s="5">
        <f t="shared" si="56"/>
        <v>36102.347826086952</v>
      </c>
      <c r="M136" s="8">
        <v>168485</v>
      </c>
      <c r="N136" s="8"/>
      <c r="O136" s="8">
        <f>SUMIFS(EIAwtransport!$J$2:$J$675,EIAwtransport!$E$2:$E$675,Program_data!$E136,EIAwtransport!$H$2:$H$675,Program_data!$F136,EIAwtransport!$I$2:$I$675,Program_data!O$2)</f>
        <v>348353795</v>
      </c>
      <c r="P136" s="5">
        <f>SUMIFS(EIAwtransport!$J$2:$J$675,EIAwtransport!$E$2:$E$675,Program_data!$E136,EIAwtransport!$H$2:$H$675,Program_data!$F136,EIAwtransport!$I$2:$I$675,Program_data!P$2)</f>
        <v>124635991</v>
      </c>
      <c r="Q136" s="5">
        <f>SUMIFS(EIAwtransport!$J$2:$J$675,EIAwtransport!$E$2:$E$675,Program_data!$E136,EIAwtransport!$H$2:$H$675,Program_data!$F136,EIAwtransport!$I$2:$I$675,Program_data!Q$2)</f>
        <v>90386</v>
      </c>
      <c r="R136" s="8">
        <f>SUMIFS(EIAwtransport!$J$2:$J$675,EIAwtransport!$E$2:$E$675,Program_data!$E136,EIAwtransport!$I$2:$I$675,Program_data!R$2)</f>
        <v>1280322374</v>
      </c>
      <c r="S136" s="5">
        <f>SUMIFS(EIAwtransport!$J$2:$J$675,EIAwtransport!$E$2:$E$675,Program_data!$E136,EIAwtransport!$I$2:$I$675,Program_data!S$2)</f>
        <v>233428713</v>
      </c>
      <c r="T136" s="5">
        <f>SUMIFS(EIAwtransport!$J$2:$J$675,EIAwtransport!$E$2:$E$675,Program_data!$E136,EIAwtransport!$I$2:$I$675,Program_data!T$2)</f>
        <v>1305155</v>
      </c>
      <c r="U136" s="24">
        <f t="shared" si="53"/>
        <v>1.3734385795118529E-5</v>
      </c>
      <c r="V136" s="24">
        <f t="shared" si="57"/>
        <v>1.4928680212085358E-5</v>
      </c>
      <c r="W136" s="24">
        <f t="shared" si="54"/>
        <v>1.3159576324017283E-4</v>
      </c>
      <c r="X136" s="25">
        <f t="shared" si="55"/>
        <v>6.9670224708092739E-5</v>
      </c>
      <c r="Y136" s="8">
        <f t="shared" si="58"/>
        <v>1.8100866128673496E-2</v>
      </c>
      <c r="Z136" s="27">
        <f t="shared" si="59"/>
        <v>9.0050254225681053E-3</v>
      </c>
      <c r="AA136" s="27"/>
      <c r="AB136" s="27"/>
      <c r="AC136" s="56">
        <f t="shared" si="60"/>
        <v>8.3337013318602682E-4</v>
      </c>
      <c r="AD136" s="20">
        <f t="shared" si="46"/>
        <v>227454.75000000003</v>
      </c>
      <c r="AE136" s="20">
        <f t="shared" si="61"/>
        <v>0</v>
      </c>
      <c r="AF136" s="20">
        <f t="shared" si="62"/>
        <v>1728435204.9000001</v>
      </c>
      <c r="AG136">
        <f t="shared" si="63"/>
        <v>3503429.5967999999</v>
      </c>
      <c r="AH136">
        <f t="shared" si="64"/>
        <v>3808075.6486956519</v>
      </c>
      <c r="AI136">
        <f t="shared" si="65"/>
        <v>24622060647.240002</v>
      </c>
    </row>
    <row r="137" spans="2:35" x14ac:dyDescent="0.25">
      <c r="B137" s="4">
        <v>2023</v>
      </c>
      <c r="C137" s="4" t="s">
        <v>199</v>
      </c>
      <c r="D137" s="4" t="s">
        <v>200</v>
      </c>
      <c r="E137" s="4" t="str">
        <f t="shared" si="51"/>
        <v>DTE-MI</v>
      </c>
      <c r="F137" s="4" t="s">
        <v>146</v>
      </c>
      <c r="G137" s="4"/>
      <c r="H137" s="4" t="s">
        <v>218</v>
      </c>
      <c r="I137" s="11"/>
      <c r="J137" s="4" t="s">
        <v>142</v>
      </c>
      <c r="K137" s="5">
        <v>820936.76</v>
      </c>
      <c r="L137" s="5">
        <f t="shared" si="56"/>
        <v>892322.56521739124</v>
      </c>
      <c r="M137" s="8">
        <v>1554468</v>
      </c>
      <c r="N137" s="8"/>
      <c r="O137" s="8">
        <f>SUMIFS(EIAwtransport!$J$2:$J$675,EIAwtransport!$E$2:$E$675,Program_data!$E137,EIAwtransport!$H$2:$H$675,Program_data!$F137,EIAwtransport!$I$2:$I$675,Program_data!O$2)</f>
        <v>348353795</v>
      </c>
      <c r="P137" s="5">
        <f>SUMIFS(EIAwtransport!$J$2:$J$675,EIAwtransport!$E$2:$E$675,Program_data!$E137,EIAwtransport!$H$2:$H$675,Program_data!$F137,EIAwtransport!$I$2:$I$675,Program_data!P$2)</f>
        <v>124635991</v>
      </c>
      <c r="Q137" s="5">
        <f>SUMIFS(EIAwtransport!$J$2:$J$675,EIAwtransport!$E$2:$E$675,Program_data!$E137,EIAwtransport!$H$2:$H$675,Program_data!$F137,EIAwtransport!$I$2:$I$675,Program_data!Q$2)</f>
        <v>90386</v>
      </c>
      <c r="R137" s="8">
        <f>SUMIFS(EIAwtransport!$J$2:$J$675,EIAwtransport!$E$2:$E$675,Program_data!$E137,EIAwtransport!$I$2:$I$675,Program_data!R$2)</f>
        <v>1280322374</v>
      </c>
      <c r="S137" s="5">
        <f>SUMIFS(EIAwtransport!$J$2:$J$675,EIAwtransport!$E$2:$E$675,Program_data!$E137,EIAwtransport!$I$2:$I$675,Program_data!S$2)</f>
        <v>233428713</v>
      </c>
      <c r="T137" s="5">
        <f>SUMIFS(EIAwtransport!$J$2:$J$675,EIAwtransport!$E$2:$E$675,Program_data!$E137,EIAwtransport!$I$2:$I$675,Program_data!T$2)</f>
        <v>1305155</v>
      </c>
      <c r="U137" s="24">
        <f t="shared" si="53"/>
        <v>3.3946552239269725E-4</v>
      </c>
      <c r="V137" s="24">
        <f t="shared" si="57"/>
        <v>3.6898426347032308E-4</v>
      </c>
      <c r="W137" s="24">
        <f t="shared" si="54"/>
        <v>1.2141223425968185E-3</v>
      </c>
      <c r="X137" s="25">
        <f t="shared" si="55"/>
        <v>6.4278799217461202E-4</v>
      </c>
      <c r="Y137" s="8">
        <f t="shared" si="58"/>
        <v>0.16700131862959214</v>
      </c>
      <c r="Z137" s="27">
        <f t="shared" si="59"/>
        <v>8.3081721569092784E-2</v>
      </c>
      <c r="AA137" s="27"/>
      <c r="AB137" s="27"/>
      <c r="AC137" s="56">
        <f t="shared" si="60"/>
        <v>2.0597967162755446E-2</v>
      </c>
      <c r="AD137" s="20">
        <f t="shared" si="46"/>
        <v>2098531.8000000003</v>
      </c>
      <c r="AE137" s="20">
        <f t="shared" si="61"/>
        <v>0</v>
      </c>
      <c r="AF137" s="20">
        <f t="shared" si="62"/>
        <v>1728435204.9000001</v>
      </c>
      <c r="AG137">
        <f t="shared" si="63"/>
        <v>86592409.444800004</v>
      </c>
      <c r="AH137">
        <f t="shared" si="64"/>
        <v>94122184.179130435</v>
      </c>
      <c r="AI137">
        <f t="shared" si="65"/>
        <v>24622060647.240002</v>
      </c>
    </row>
    <row r="138" spans="2:35" x14ac:dyDescent="0.25">
      <c r="B138" s="4">
        <v>2023</v>
      </c>
      <c r="C138" s="4" t="s">
        <v>199</v>
      </c>
      <c r="D138" s="4" t="s">
        <v>200</v>
      </c>
      <c r="E138" s="4" t="str">
        <f t="shared" si="51"/>
        <v>DTE-MI</v>
      </c>
      <c r="F138" s="4" t="s">
        <v>146</v>
      </c>
      <c r="G138" s="4"/>
      <c r="H138" s="4" t="s">
        <v>219</v>
      </c>
      <c r="I138" s="11"/>
      <c r="J138" s="4" t="s">
        <v>142</v>
      </c>
      <c r="K138" s="5">
        <v>76405</v>
      </c>
      <c r="L138" s="5">
        <f t="shared" si="56"/>
        <v>83048.913043478256</v>
      </c>
      <c r="M138" s="8">
        <v>157182</v>
      </c>
      <c r="N138" s="8"/>
      <c r="O138" s="8">
        <f>SUMIFS(EIAwtransport!$J$2:$J$675,EIAwtransport!$E$2:$E$675,Program_data!$E138,EIAwtransport!$H$2:$H$675,Program_data!$F138,EIAwtransport!$I$2:$I$675,Program_data!O$2)</f>
        <v>348353795</v>
      </c>
      <c r="P138" s="5">
        <f>SUMIFS(EIAwtransport!$J$2:$J$675,EIAwtransport!$E$2:$E$675,Program_data!$E138,EIAwtransport!$H$2:$H$675,Program_data!$F138,EIAwtransport!$I$2:$I$675,Program_data!P$2)</f>
        <v>124635991</v>
      </c>
      <c r="Q138" s="5">
        <f>SUMIFS(EIAwtransport!$J$2:$J$675,EIAwtransport!$E$2:$E$675,Program_data!$E138,EIAwtransport!$H$2:$H$675,Program_data!$F138,EIAwtransport!$I$2:$I$675,Program_data!Q$2)</f>
        <v>90386</v>
      </c>
      <c r="R138" s="8">
        <f>SUMIFS(EIAwtransport!$J$2:$J$675,EIAwtransport!$E$2:$E$675,Program_data!$E138,EIAwtransport!$I$2:$I$675,Program_data!R$2)</f>
        <v>1280322374</v>
      </c>
      <c r="S138" s="5">
        <f>SUMIFS(EIAwtransport!$J$2:$J$675,EIAwtransport!$E$2:$E$675,Program_data!$E138,EIAwtransport!$I$2:$I$675,Program_data!S$2)</f>
        <v>233428713</v>
      </c>
      <c r="T138" s="5">
        <f>SUMIFS(EIAwtransport!$J$2:$J$675,EIAwtransport!$E$2:$E$675,Program_data!$E138,EIAwtransport!$I$2:$I$675,Program_data!T$2)</f>
        <v>1305155</v>
      </c>
      <c r="U138" s="24">
        <f t="shared" si="53"/>
        <v>3.1594228084528745E-5</v>
      </c>
      <c r="V138" s="24">
        <f t="shared" si="57"/>
        <v>3.4341552265792114E-5</v>
      </c>
      <c r="W138" s="24">
        <f t="shared" si="54"/>
        <v>1.2276751792513781E-4</v>
      </c>
      <c r="X138" s="25">
        <f t="shared" si="55"/>
        <v>6.4996321690758422E-5</v>
      </c>
      <c r="Y138" s="8">
        <f t="shared" si="58"/>
        <v>1.6886549780913182E-2</v>
      </c>
      <c r="Z138" s="27">
        <f t="shared" si="59"/>
        <v>8.4009134698643795E-3</v>
      </c>
      <c r="AA138" s="27"/>
      <c r="AB138" s="27"/>
      <c r="AC138" s="56">
        <f t="shared" si="60"/>
        <v>1.9170632352610568E-3</v>
      </c>
      <c r="AD138" s="20">
        <f t="shared" si="46"/>
        <v>212195.7</v>
      </c>
      <c r="AE138" s="20">
        <f t="shared" si="61"/>
        <v>0</v>
      </c>
      <c r="AF138" s="20">
        <f t="shared" si="62"/>
        <v>1728435204.9000001</v>
      </c>
      <c r="AG138">
        <f t="shared" si="63"/>
        <v>8059199.4000000004</v>
      </c>
      <c r="AH138">
        <f t="shared" si="64"/>
        <v>8759999.347826086</v>
      </c>
      <c r="AI138">
        <f t="shared" si="65"/>
        <v>24622060647.240002</v>
      </c>
    </row>
    <row r="139" spans="2:35" x14ac:dyDescent="0.25">
      <c r="B139" s="4">
        <v>2023</v>
      </c>
      <c r="C139" s="4" t="s">
        <v>199</v>
      </c>
      <c r="D139" s="4" t="s">
        <v>200</v>
      </c>
      <c r="E139" s="4" t="str">
        <f t="shared" si="51"/>
        <v>DTE-MI</v>
      </c>
      <c r="F139" s="4" t="s">
        <v>146</v>
      </c>
      <c r="G139" s="4"/>
      <c r="H139" s="4" t="s">
        <v>220</v>
      </c>
      <c r="I139" s="11"/>
      <c r="J139" s="4" t="s">
        <v>142</v>
      </c>
      <c r="K139" s="5">
        <v>85780.799999999988</v>
      </c>
      <c r="L139" s="5">
        <f t="shared" si="56"/>
        <v>93239.999999999985</v>
      </c>
      <c r="M139" s="8">
        <v>310934</v>
      </c>
      <c r="N139" s="8"/>
      <c r="O139" s="8">
        <f>SUMIFS(EIAwtransport!$J$2:$J$675,EIAwtransport!$E$2:$E$675,Program_data!$E139,EIAwtransport!$H$2:$H$675,Program_data!$F139,EIAwtransport!$I$2:$I$675,Program_data!O$2)</f>
        <v>348353795</v>
      </c>
      <c r="P139" s="5">
        <f>SUMIFS(EIAwtransport!$J$2:$J$675,EIAwtransport!$E$2:$E$675,Program_data!$E139,EIAwtransport!$H$2:$H$675,Program_data!$F139,EIAwtransport!$I$2:$I$675,Program_data!P$2)</f>
        <v>124635991</v>
      </c>
      <c r="Q139" s="5">
        <f>SUMIFS(EIAwtransport!$J$2:$J$675,EIAwtransport!$E$2:$E$675,Program_data!$E139,EIAwtransport!$H$2:$H$675,Program_data!$F139,EIAwtransport!$I$2:$I$675,Program_data!Q$2)</f>
        <v>90386</v>
      </c>
      <c r="R139" s="8">
        <f>SUMIFS(EIAwtransport!$J$2:$J$675,EIAwtransport!$E$2:$E$675,Program_data!$E139,EIAwtransport!$I$2:$I$675,Program_data!R$2)</f>
        <v>1280322374</v>
      </c>
      <c r="S139" s="5">
        <f>SUMIFS(EIAwtransport!$J$2:$J$675,EIAwtransport!$E$2:$E$675,Program_data!$E139,EIAwtransport!$I$2:$I$675,Program_data!S$2)</f>
        <v>233428713</v>
      </c>
      <c r="T139" s="5">
        <f>SUMIFS(EIAwtransport!$J$2:$J$675,EIAwtransport!$E$2:$E$675,Program_data!$E139,EIAwtransport!$I$2:$I$675,Program_data!T$2)</f>
        <v>1305155</v>
      </c>
      <c r="U139" s="24">
        <f t="shared" si="53"/>
        <v>3.5471214717274308E-5</v>
      </c>
      <c r="V139" s="24">
        <f t="shared" si="57"/>
        <v>3.8555668170950324E-5</v>
      </c>
      <c r="W139" s="24">
        <f t="shared" si="54"/>
        <v>2.4285602307220165E-4</v>
      </c>
      <c r="X139" s="25">
        <f t="shared" si="55"/>
        <v>1.2857430423709001E-4</v>
      </c>
      <c r="Y139" s="8">
        <f t="shared" si="58"/>
        <v>3.3404604023224413E-2</v>
      </c>
      <c r="Z139" s="27">
        <f t="shared" si="59"/>
        <v>1.6618503574447524E-2</v>
      </c>
      <c r="AA139" s="27"/>
      <c r="AB139" s="27"/>
      <c r="AC139" s="56">
        <f t="shared" si="60"/>
        <v>2.1523096390456335E-3</v>
      </c>
      <c r="AD139" s="20">
        <f t="shared" si="46"/>
        <v>419760.9</v>
      </c>
      <c r="AE139" s="20">
        <f t="shared" si="61"/>
        <v>0</v>
      </c>
      <c r="AF139" s="20">
        <f t="shared" si="62"/>
        <v>1728435204.9000001</v>
      </c>
      <c r="AG139">
        <f t="shared" si="63"/>
        <v>9048158.784</v>
      </c>
      <c r="AH139">
        <f t="shared" si="64"/>
        <v>9834955.1999999993</v>
      </c>
      <c r="AI139">
        <f t="shared" si="65"/>
        <v>24622060647.240002</v>
      </c>
    </row>
    <row r="140" spans="2:35" x14ac:dyDescent="0.25">
      <c r="B140" s="4">
        <v>2023</v>
      </c>
      <c r="C140" s="4" t="s">
        <v>199</v>
      </c>
      <c r="D140" s="4" t="s">
        <v>200</v>
      </c>
      <c r="E140" s="4" t="str">
        <f t="shared" si="51"/>
        <v>DTE-MI</v>
      </c>
      <c r="F140" s="4" t="s">
        <v>146</v>
      </c>
      <c r="G140" s="4"/>
      <c r="H140" s="4" t="s">
        <v>221</v>
      </c>
      <c r="I140" s="11"/>
      <c r="J140" s="4" t="s">
        <v>75</v>
      </c>
      <c r="K140" s="5">
        <v>245822.07999999999</v>
      </c>
      <c r="L140" s="5">
        <f t="shared" si="56"/>
        <v>267197.91304347821</v>
      </c>
      <c r="M140" s="8">
        <v>1140116</v>
      </c>
      <c r="N140" s="8"/>
      <c r="O140" s="8">
        <f>SUMIFS(EIAwtransport!$J$2:$J$675,EIAwtransport!$E$2:$E$675,Program_data!$E140,EIAwtransport!$H$2:$H$675,Program_data!$F140,EIAwtransport!$I$2:$I$675,Program_data!O$2)</f>
        <v>348353795</v>
      </c>
      <c r="P140" s="5">
        <f>SUMIFS(EIAwtransport!$J$2:$J$675,EIAwtransport!$E$2:$E$675,Program_data!$E140,EIAwtransport!$H$2:$H$675,Program_data!$F140,EIAwtransport!$I$2:$I$675,Program_data!P$2)</f>
        <v>124635991</v>
      </c>
      <c r="Q140" s="5">
        <f>SUMIFS(EIAwtransport!$J$2:$J$675,EIAwtransport!$E$2:$E$675,Program_data!$E140,EIAwtransport!$H$2:$H$675,Program_data!$F140,EIAwtransport!$I$2:$I$675,Program_data!Q$2)</f>
        <v>90386</v>
      </c>
      <c r="R140" s="8">
        <f>SUMIFS(EIAwtransport!$J$2:$J$675,EIAwtransport!$E$2:$E$675,Program_data!$E140,EIAwtransport!$I$2:$I$675,Program_data!R$2)</f>
        <v>1280322374</v>
      </c>
      <c r="S140" s="5">
        <f>SUMIFS(EIAwtransport!$J$2:$J$675,EIAwtransport!$E$2:$E$675,Program_data!$E140,EIAwtransport!$I$2:$I$675,Program_data!S$2)</f>
        <v>233428713</v>
      </c>
      <c r="T140" s="5">
        <f>SUMIFS(EIAwtransport!$J$2:$J$675,EIAwtransport!$E$2:$E$675,Program_data!$E140,EIAwtransport!$I$2:$I$675,Program_data!T$2)</f>
        <v>1305155</v>
      </c>
      <c r="U140" s="24">
        <f t="shared" si="53"/>
        <v>1.016498771511455E-4</v>
      </c>
      <c r="V140" s="24">
        <f t="shared" si="57"/>
        <v>1.10488996903419E-4</v>
      </c>
      <c r="W140" s="24">
        <f t="shared" si="54"/>
        <v>8.9049135057917841E-4</v>
      </c>
      <c r="X140" s="25">
        <f t="shared" si="55"/>
        <v>4.7144931544821115E-4</v>
      </c>
      <c r="Y140" s="8">
        <f t="shared" si="58"/>
        <v>0.12248619810166313</v>
      </c>
      <c r="Z140" s="27">
        <f t="shared" si="59"/>
        <v>6.0935831466757621E-2</v>
      </c>
      <c r="AA140" s="27"/>
      <c r="AB140" s="27"/>
      <c r="AC140" s="56">
        <f t="shared" si="60"/>
        <v>6.1678747723761832E-3</v>
      </c>
      <c r="AD140" s="20">
        <f t="shared" si="46"/>
        <v>1539156.6</v>
      </c>
      <c r="AE140" s="20">
        <f t="shared" si="61"/>
        <v>0</v>
      </c>
      <c r="AF140" s="20">
        <f t="shared" si="62"/>
        <v>1728435204.9000001</v>
      </c>
      <c r="AG140">
        <f t="shared" si="63"/>
        <v>25929312.998399999</v>
      </c>
      <c r="AH140">
        <f t="shared" si="64"/>
        <v>28184035.867826082</v>
      </c>
      <c r="AI140">
        <f t="shared" si="65"/>
        <v>24622060647.240002</v>
      </c>
    </row>
    <row r="141" spans="2:35" x14ac:dyDescent="0.25">
      <c r="B141" s="4">
        <v>2023</v>
      </c>
      <c r="C141" s="4" t="s">
        <v>199</v>
      </c>
      <c r="D141" s="4" t="s">
        <v>200</v>
      </c>
      <c r="E141" s="4" t="str">
        <f t="shared" si="51"/>
        <v>DTE-MI</v>
      </c>
      <c r="F141" s="4" t="s">
        <v>146</v>
      </c>
      <c r="G141" s="4"/>
      <c r="H141" s="4" t="s">
        <v>210</v>
      </c>
      <c r="I141" s="11"/>
      <c r="J141" s="4" t="s">
        <v>142</v>
      </c>
      <c r="K141" s="5">
        <v>112986.15999999999</v>
      </c>
      <c r="L141" s="5">
        <f t="shared" si="56"/>
        <v>122811.04347826085</v>
      </c>
      <c r="M141" s="8">
        <v>438383</v>
      </c>
      <c r="N141" s="8"/>
      <c r="O141" s="8">
        <f>SUMIFS(EIAwtransport!$J$2:$J$675,EIAwtransport!$E$2:$E$675,Program_data!$E141,EIAwtransport!$H$2:$H$675,Program_data!$F141,EIAwtransport!$I$2:$I$675,Program_data!O$2)</f>
        <v>348353795</v>
      </c>
      <c r="P141" s="5">
        <f>SUMIFS(EIAwtransport!$J$2:$J$675,EIAwtransport!$E$2:$E$675,Program_data!$E141,EIAwtransport!$H$2:$H$675,Program_data!$F141,EIAwtransport!$I$2:$I$675,Program_data!P$2)</f>
        <v>124635991</v>
      </c>
      <c r="Q141" s="5">
        <f>SUMIFS(EIAwtransport!$J$2:$J$675,EIAwtransport!$E$2:$E$675,Program_data!$E141,EIAwtransport!$H$2:$H$675,Program_data!$F141,EIAwtransport!$I$2:$I$675,Program_data!Q$2)</f>
        <v>90386</v>
      </c>
      <c r="R141" s="8">
        <f>SUMIFS(EIAwtransport!$J$2:$J$675,EIAwtransport!$E$2:$E$675,Program_data!$E141,EIAwtransport!$I$2:$I$675,Program_data!R$2)</f>
        <v>1280322374</v>
      </c>
      <c r="S141" s="5">
        <f>SUMIFS(EIAwtransport!$J$2:$J$675,EIAwtransport!$E$2:$E$675,Program_data!$E141,EIAwtransport!$I$2:$I$675,Program_data!S$2)</f>
        <v>233428713</v>
      </c>
      <c r="T141" s="5">
        <f>SUMIFS(EIAwtransport!$J$2:$J$675,EIAwtransport!$E$2:$E$675,Program_data!$E141,EIAwtransport!$I$2:$I$675,Program_data!T$2)</f>
        <v>1305155</v>
      </c>
      <c r="U141" s="24">
        <f t="shared" si="53"/>
        <v>4.6720901896931588E-5</v>
      </c>
      <c r="V141" s="24">
        <f t="shared" si="57"/>
        <v>5.0783589018403901E-5</v>
      </c>
      <c r="W141" s="24">
        <f t="shared" si="54"/>
        <v>3.4240048358320731E-4</v>
      </c>
      <c r="X141" s="25">
        <f t="shared" si="55"/>
        <v>1.8127573444643631E-4</v>
      </c>
      <c r="Y141" s="8">
        <f t="shared" si="58"/>
        <v>4.7096845393276986E-2</v>
      </c>
      <c r="Z141" s="27">
        <f t="shared" si="59"/>
        <v>2.3430276047254495E-2</v>
      </c>
      <c r="AA141" s="27"/>
      <c r="AB141" s="27"/>
      <c r="AC141" s="56">
        <f t="shared" si="60"/>
        <v>2.8349141211874013E-3</v>
      </c>
      <c r="AD141" s="20">
        <f t="shared" si="46"/>
        <v>591817.05000000005</v>
      </c>
      <c r="AE141" s="20">
        <f t="shared" si="61"/>
        <v>0</v>
      </c>
      <c r="AF141" s="20">
        <f t="shared" si="62"/>
        <v>1728435204.9000001</v>
      </c>
      <c r="AG141">
        <f t="shared" si="63"/>
        <v>11917780.1568</v>
      </c>
      <c r="AH141">
        <f t="shared" si="64"/>
        <v>12954108.866086954</v>
      </c>
      <c r="AI141">
        <f t="shared" si="65"/>
        <v>24622060647.240002</v>
      </c>
    </row>
    <row r="142" spans="2:35" x14ac:dyDescent="0.25">
      <c r="B142" s="4">
        <v>2023</v>
      </c>
      <c r="C142" s="4" t="s">
        <v>199</v>
      </c>
      <c r="D142" s="4" t="s">
        <v>200</v>
      </c>
      <c r="E142" s="4" t="str">
        <f>D142&amp;"-"&amp;C142</f>
        <v>DTE-MI</v>
      </c>
      <c r="F142" s="4" t="s">
        <v>146</v>
      </c>
      <c r="G142" s="4"/>
      <c r="H142" s="4" t="s">
        <v>222</v>
      </c>
      <c r="I142" s="4" t="s">
        <v>167</v>
      </c>
      <c r="J142" s="4" t="s">
        <v>155</v>
      </c>
      <c r="K142" s="5">
        <v>0</v>
      </c>
      <c r="L142" s="5">
        <v>0</v>
      </c>
      <c r="M142" s="8">
        <v>863973</v>
      </c>
      <c r="N142" s="8"/>
      <c r="O142" s="8">
        <f>SUMIFS(EIAwtransport!$J$2:$J$675,EIAwtransport!$E$2:$E$675,Program_data!$E142,EIAwtransport!$H$2:$H$675,Program_data!$F142,EIAwtransport!$I$2:$I$675,Program_data!O$2)</f>
        <v>348353795</v>
      </c>
      <c r="P142" s="5">
        <f>SUMIFS(EIAwtransport!$J$2:$J$675,EIAwtransport!$E$2:$E$675,Program_data!$E142,EIAwtransport!$H$2:$H$675,Program_data!$F142,EIAwtransport!$I$2:$I$675,Program_data!P$2)</f>
        <v>124635991</v>
      </c>
      <c r="Q142" s="5">
        <f>SUMIFS(EIAwtransport!$J$2:$J$675,EIAwtransport!$E$2:$E$675,Program_data!$E142,EIAwtransport!$H$2:$H$675,Program_data!$F142,EIAwtransport!$I$2:$I$675,Program_data!Q$2)</f>
        <v>90386</v>
      </c>
      <c r="R142" s="8">
        <f>SUMIFS(EIAwtransport!$J$2:$J$675,EIAwtransport!$E$2:$E$675,Program_data!$E142,EIAwtransport!$I$2:$I$675,Program_data!R$2)</f>
        <v>1280322374</v>
      </c>
      <c r="S142" s="5">
        <f>SUMIFS(EIAwtransport!$J$2:$J$675,EIAwtransport!$E$2:$E$675,Program_data!$E142,EIAwtransport!$I$2:$I$675,Program_data!S$2)</f>
        <v>233428713</v>
      </c>
      <c r="T142" s="5">
        <f>SUMIFS(EIAwtransport!$J$2:$J$675,EIAwtransport!$E$2:$E$675,Program_data!$E142,EIAwtransport!$I$2:$I$675,Program_data!T$2)</f>
        <v>1305155</v>
      </c>
      <c r="U142" s="24">
        <f t="shared" si="53"/>
        <v>0</v>
      </c>
      <c r="V142" s="24">
        <f t="shared" si="57"/>
        <v>0</v>
      </c>
      <c r="W142" s="24">
        <f t="shared" si="54"/>
        <v>6.7480895245215799E-4</v>
      </c>
      <c r="X142" s="25">
        <f t="shared" si="55"/>
        <v>3.5726143604311963E-4</v>
      </c>
      <c r="Y142" s="8">
        <f t="shared" si="58"/>
        <v>9.2819299117360157E-2</v>
      </c>
      <c r="Z142" s="27">
        <f t="shared" si="59"/>
        <v>4.6176804044350733E-2</v>
      </c>
      <c r="AA142" s="27"/>
      <c r="AB142" s="27"/>
      <c r="AC142" s="56">
        <f t="shared" si="60"/>
        <v>0</v>
      </c>
      <c r="AD142" s="20">
        <f t="shared" si="46"/>
        <v>1166363.55</v>
      </c>
      <c r="AE142" s="20">
        <f t="shared" si="61"/>
        <v>0</v>
      </c>
      <c r="AF142" s="20">
        <f t="shared" si="62"/>
        <v>1728435204.9000001</v>
      </c>
      <c r="AG142">
        <f t="shared" si="63"/>
        <v>0</v>
      </c>
      <c r="AH142">
        <f t="shared" si="64"/>
        <v>0</v>
      </c>
      <c r="AI142">
        <f t="shared" si="65"/>
        <v>24622060647.240002</v>
      </c>
    </row>
    <row r="143" spans="2:35" x14ac:dyDescent="0.25">
      <c r="B143" s="4">
        <v>2024</v>
      </c>
      <c r="C143" s="4" t="s">
        <v>199</v>
      </c>
      <c r="D143" s="4" t="s">
        <v>200</v>
      </c>
      <c r="E143" s="4" t="str">
        <f t="shared" ref="E143" si="66">D143&amp;"-"&amp;C143</f>
        <v>DTE-MI</v>
      </c>
      <c r="F143" s="4" t="s">
        <v>135</v>
      </c>
      <c r="G143" s="4"/>
      <c r="H143" s="4" t="s">
        <v>223</v>
      </c>
      <c r="I143" s="4"/>
      <c r="J143" s="4" t="s">
        <v>48</v>
      </c>
      <c r="K143" s="5">
        <v>506470.79999999993</v>
      </c>
      <c r="L143" s="5">
        <v>557906</v>
      </c>
      <c r="M143" s="8">
        <v>843677.25875239575</v>
      </c>
      <c r="N143" s="8"/>
      <c r="O143" s="8">
        <f>SUMIFS(EIAwtransport!$J$2:$J$675,EIAwtransport!$E$2:$E$675,Program_data!$E143,EIAwtransport!$H$2:$H$675,Program_data!$F143,EIAwtransport!$I$2:$I$675,Program_data!O$2)</f>
        <v>931968579</v>
      </c>
      <c r="P143" s="5">
        <f>SUMIFS(EIAwtransport!$J$2:$J$675,EIAwtransport!$E$2:$E$675,Program_data!$E143,EIAwtransport!$H$2:$H$675,Program_data!$F143,EIAwtransport!$I$2:$I$675,Program_data!P$2)</f>
        <v>108792722</v>
      </c>
      <c r="Q143" s="5">
        <f>SUMIFS(EIAwtransport!$J$2:$J$675,EIAwtransport!$E$2:$E$675,Program_data!$E143,EIAwtransport!$H$2:$H$675,Program_data!$F143,EIAwtransport!$I$2:$I$675,Program_data!Q$2)</f>
        <v>1214769</v>
      </c>
      <c r="R143" s="8">
        <f>SUMIFS(EIAwtransport!$J$2:$J$675,EIAwtransport!$E$2:$E$675,Program_data!$E143,EIAwtransport!$I$2:$I$675,Program_data!R$2)</f>
        <v>1280322374</v>
      </c>
      <c r="S143" s="5">
        <f>SUMIFS(EIAwtransport!$J$2:$J$675,EIAwtransport!$E$2:$E$675,Program_data!$E143,EIAwtransport!$I$2:$I$675,Program_data!S$2)</f>
        <v>233428713</v>
      </c>
      <c r="T143" s="5">
        <f>SUMIFS(EIAwtransport!$J$2:$J$675,EIAwtransport!$E$2:$E$675,Program_data!$E143,EIAwtransport!$I$2:$I$675,Program_data!T$2)</f>
        <v>1305155</v>
      </c>
      <c r="U143" s="24">
        <f t="shared" si="53"/>
        <v>2.0943071753620496E-4</v>
      </c>
      <c r="V143" s="24">
        <f t="shared" si="57"/>
        <v>2.3069968475527902E-4</v>
      </c>
      <c r="W143" s="24">
        <f t="shared" si="54"/>
        <v>6.5895689701693505E-4</v>
      </c>
      <c r="X143" s="25">
        <f t="shared" si="55"/>
        <v>3.4886894500036866E-4</v>
      </c>
      <c r="Y143" s="8">
        <f t="shared" si="58"/>
        <v>0.11145192763086571</v>
      </c>
      <c r="Z143" s="27">
        <f t="shared" si="59"/>
        <v>4.4465184020005245E-2</v>
      </c>
      <c r="AA143" s="27"/>
      <c r="AB143" s="27"/>
      <c r="AC143" s="56"/>
      <c r="AD143" s="20"/>
      <c r="AE143" s="20"/>
      <c r="AF143" s="20"/>
    </row>
    <row r="144" spans="2:35" x14ac:dyDescent="0.25">
      <c r="B144" s="4">
        <v>2024</v>
      </c>
      <c r="C144" s="4" t="s">
        <v>199</v>
      </c>
      <c r="D144" s="4" t="s">
        <v>200</v>
      </c>
      <c r="E144" s="4" t="str">
        <f t="shared" ref="E144:E181" si="67">D144&amp;"-"&amp;C144</f>
        <v>DTE-MI</v>
      </c>
      <c r="F144" s="4" t="s">
        <v>135</v>
      </c>
      <c r="G144" s="4"/>
      <c r="H144" s="4" t="s">
        <v>224</v>
      </c>
      <c r="I144" s="4"/>
      <c r="J144" s="4" t="s">
        <v>27</v>
      </c>
      <c r="K144" s="5">
        <v>2730676.96</v>
      </c>
      <c r="L144" s="5">
        <v>2960733</v>
      </c>
      <c r="M144" s="8">
        <v>8034283.7412476046</v>
      </c>
      <c r="N144" s="39"/>
      <c r="O144" s="8">
        <f>SUMIFS(EIAwtransport!$J$2:$J$675,EIAwtransport!$E$2:$E$675,Program_data!$E144,EIAwtransport!$H$2:$H$675,Program_data!$F144,EIAwtransport!$I$2:$I$675,Program_data!O$2)</f>
        <v>931968579</v>
      </c>
      <c r="P144" s="5">
        <f>SUMIFS(EIAwtransport!$J$2:$J$675,EIAwtransport!$E$2:$E$675,Program_data!$E144,EIAwtransport!$H$2:$H$675,Program_data!$F144,EIAwtransport!$I$2:$I$675,Program_data!P$2)</f>
        <v>108792722</v>
      </c>
      <c r="Q144" s="5">
        <f>SUMIFS(EIAwtransport!$J$2:$J$675,EIAwtransport!$E$2:$E$675,Program_data!$E144,EIAwtransport!$H$2:$H$675,Program_data!$F144,EIAwtransport!$I$2:$I$675,Program_data!Q$2)</f>
        <v>1214769</v>
      </c>
      <c r="R144" s="8">
        <f>SUMIFS(EIAwtransport!$J$2:$J$675,EIAwtransport!$E$2:$E$675,Program_data!$E144,EIAwtransport!$I$2:$I$675,Program_data!R$2)</f>
        <v>1280322374</v>
      </c>
      <c r="S144" s="5">
        <f>SUMIFS(EIAwtransport!$J$2:$J$675,EIAwtransport!$E$2:$E$675,Program_data!$E144,EIAwtransport!$I$2:$I$675,Program_data!S$2)</f>
        <v>233428713</v>
      </c>
      <c r="T144" s="5">
        <f>SUMIFS(EIAwtransport!$J$2:$J$675,EIAwtransport!$E$2:$E$675,Program_data!$E144,EIAwtransport!$I$2:$I$675,Program_data!T$2)</f>
        <v>1305155</v>
      </c>
      <c r="U144" s="24">
        <f t="shared" si="53"/>
        <v>1.1291621058753692E-3</v>
      </c>
      <c r="V144" s="24">
        <f t="shared" si="57"/>
        <v>1.2242925685412088E-3</v>
      </c>
      <c r="W144" s="24">
        <f t="shared" si="54"/>
        <v>6.2752037333744229E-3</v>
      </c>
      <c r="X144" s="25">
        <f t="shared" si="55"/>
        <v>3.3222563054354786E-3</v>
      </c>
      <c r="Y144" s="8">
        <f t="shared" si="58"/>
        <v>1.0613494684205582</v>
      </c>
      <c r="Z144" s="27">
        <f t="shared" si="59"/>
        <v>0.4234390595662082</v>
      </c>
      <c r="AA144" s="27"/>
      <c r="AB144" s="27"/>
      <c r="AC144" s="56">
        <f>IFERROR(K144/SUMIFS($M$3:$M$1234,$E$3:$E$1234,E144,$B$3:$B$1234,B144),"")</f>
        <v>5.4787712076075447E-2</v>
      </c>
      <c r="AD144" s="20">
        <f t="shared" si="46"/>
        <v>10846283.050684268</v>
      </c>
      <c r="AE144" s="20">
        <f t="shared" si="61"/>
        <v>0</v>
      </c>
      <c r="AF144" s="20">
        <f t="shared" si="62"/>
        <v>1728435204.9000001</v>
      </c>
      <c r="AG144">
        <f t="shared" si="63"/>
        <v>288031805.74080002</v>
      </c>
      <c r="AH144">
        <f t="shared" si="64"/>
        <v>312298116.84000003</v>
      </c>
      <c r="AI144">
        <f t="shared" si="65"/>
        <v>24622060647.240002</v>
      </c>
    </row>
    <row r="145" spans="2:35" x14ac:dyDescent="0.25">
      <c r="B145" s="4">
        <v>2024</v>
      </c>
      <c r="C145" s="4" t="s">
        <v>199</v>
      </c>
      <c r="D145" s="4" t="s">
        <v>200</v>
      </c>
      <c r="E145" s="4" t="str">
        <f t="shared" ref="E145" si="68">D145&amp;"-"&amp;C145</f>
        <v>DTE-MI</v>
      </c>
      <c r="F145" s="4" t="s">
        <v>135</v>
      </c>
      <c r="G145" s="4"/>
      <c r="H145" s="4" t="s">
        <v>225</v>
      </c>
      <c r="I145" s="4"/>
      <c r="J145" s="4" t="s">
        <v>48</v>
      </c>
      <c r="K145" s="5">
        <v>9955.1999999999989</v>
      </c>
      <c r="L145" s="5">
        <v>10888.5</v>
      </c>
      <c r="M145" s="8">
        <v>17621.25</v>
      </c>
      <c r="N145" s="39"/>
      <c r="O145" s="8">
        <f>SUMIFS(EIAwtransport!$J$2:$J$675,EIAwtransport!$E$2:$E$675,Program_data!$E145,EIAwtransport!$H$2:$H$675,Program_data!$F145,EIAwtransport!$I$2:$I$675,Program_data!O$2)</f>
        <v>931968579</v>
      </c>
      <c r="P145" s="5">
        <f>SUMIFS(EIAwtransport!$J$2:$J$675,EIAwtransport!$E$2:$E$675,Program_data!$E145,EIAwtransport!$H$2:$H$675,Program_data!$F145,EIAwtransport!$I$2:$I$675,Program_data!P$2)</f>
        <v>108792722</v>
      </c>
      <c r="Q145" s="5">
        <f>SUMIFS(EIAwtransport!$J$2:$J$675,EIAwtransport!$E$2:$E$675,Program_data!$E145,EIAwtransport!$H$2:$H$675,Program_data!$F145,EIAwtransport!$I$2:$I$675,Program_data!Q$2)</f>
        <v>1214769</v>
      </c>
      <c r="R145" s="8">
        <f>SUMIFS(EIAwtransport!$J$2:$J$675,EIAwtransport!$E$2:$E$675,Program_data!$E145,EIAwtransport!$I$2:$I$675,Program_data!R$2)</f>
        <v>1280322374</v>
      </c>
      <c r="S145" s="5">
        <f>SUMIFS(EIAwtransport!$J$2:$J$675,EIAwtransport!$E$2:$E$675,Program_data!$E145,EIAwtransport!$I$2:$I$675,Program_data!S$2)</f>
        <v>233428713</v>
      </c>
      <c r="T145" s="5">
        <f>SUMIFS(EIAwtransport!$J$2:$J$675,EIAwtransport!$E$2:$E$675,Program_data!$E145,EIAwtransport!$I$2:$I$675,Program_data!T$2)</f>
        <v>1305155</v>
      </c>
      <c r="U145" s="24">
        <f t="shared" si="53"/>
        <v>4.1165743004659453E-6</v>
      </c>
      <c r="V145" s="24">
        <f t="shared" si="57"/>
        <v>4.5025031411346282E-6</v>
      </c>
      <c r="W145" s="24">
        <f t="shared" si="54"/>
        <v>1.3763135252371994E-5</v>
      </c>
      <c r="X145" s="25">
        <f t="shared" si="55"/>
        <v>7.2865622882599589E-6</v>
      </c>
      <c r="Y145" s="8">
        <f t="shared" si="58"/>
        <v>2.3278122758335113E-3</v>
      </c>
      <c r="Z145" s="27">
        <f t="shared" si="59"/>
        <v>9.2871073124713697E-4</v>
      </c>
      <c r="AA145" s="27"/>
      <c r="AB145" s="27"/>
      <c r="AC145" s="56"/>
      <c r="AD145" s="20"/>
      <c r="AE145" s="20"/>
      <c r="AF145" s="20"/>
    </row>
    <row r="146" spans="2:35" x14ac:dyDescent="0.25">
      <c r="B146" s="4">
        <v>2024</v>
      </c>
      <c r="C146" s="4" t="s">
        <v>199</v>
      </c>
      <c r="D146" s="4" t="s">
        <v>200</v>
      </c>
      <c r="E146" s="4" t="str">
        <f t="shared" si="67"/>
        <v>DTE-MI</v>
      </c>
      <c r="F146" s="4" t="s">
        <v>135</v>
      </c>
      <c r="G146" s="4"/>
      <c r="H146" s="4" t="s">
        <v>226</v>
      </c>
      <c r="I146" s="4"/>
      <c r="J146" s="4" t="s">
        <v>21</v>
      </c>
      <c r="K146" s="5">
        <v>8299.1200000000008</v>
      </c>
      <c r="L146" s="5">
        <v>8952.8043478260879</v>
      </c>
      <c r="M146" s="8">
        <v>34479.75</v>
      </c>
      <c r="N146" s="39"/>
      <c r="O146" s="8">
        <f>SUMIFS(EIAwtransport!$J$2:$J$675,EIAwtransport!$E$2:$E$675,Program_data!$E146,EIAwtransport!$H$2:$H$675,Program_data!$F146,EIAwtransport!$I$2:$I$675,Program_data!O$2)</f>
        <v>931968579</v>
      </c>
      <c r="P146" s="5">
        <f>SUMIFS(EIAwtransport!$J$2:$J$675,EIAwtransport!$E$2:$E$675,Program_data!$E146,EIAwtransport!$H$2:$H$675,Program_data!$F146,EIAwtransport!$I$2:$I$675,Program_data!P$2)</f>
        <v>108792722</v>
      </c>
      <c r="Q146" s="5">
        <f>SUMIFS(EIAwtransport!$J$2:$J$675,EIAwtransport!$E$2:$E$675,Program_data!$E146,EIAwtransport!$H$2:$H$675,Program_data!$F146,EIAwtransport!$I$2:$I$675,Program_data!Q$2)</f>
        <v>1214769</v>
      </c>
      <c r="R146" s="8">
        <f>SUMIFS(EIAwtransport!$J$2:$J$675,EIAwtransport!$E$2:$E$675,Program_data!$E146,EIAwtransport!$I$2:$I$675,Program_data!R$2)</f>
        <v>1280322374</v>
      </c>
      <c r="S146" s="5">
        <f>SUMIFS(EIAwtransport!$J$2:$J$675,EIAwtransport!$E$2:$E$675,Program_data!$E146,EIAwtransport!$I$2:$I$675,Program_data!S$2)</f>
        <v>233428713</v>
      </c>
      <c r="T146" s="5">
        <f>SUMIFS(EIAwtransport!$J$2:$J$675,EIAwtransport!$E$2:$E$675,Program_data!$E146,EIAwtransport!$I$2:$I$675,Program_data!T$2)</f>
        <v>1305155</v>
      </c>
      <c r="U146" s="24">
        <f t="shared" si="53"/>
        <v>3.4317687347801087E-6</v>
      </c>
      <c r="V146" s="24">
        <f t="shared" si="57"/>
        <v>3.7020737198007732E-6</v>
      </c>
      <c r="W146" s="24">
        <f t="shared" si="54"/>
        <v>2.6930522109269957E-5</v>
      </c>
      <c r="X146" s="25">
        <f t="shared" si="55"/>
        <v>1.4257719858615668E-5</v>
      </c>
      <c r="Y146" s="8">
        <f t="shared" si="58"/>
        <v>4.5548633222768252E-3</v>
      </c>
      <c r="Z146" s="27">
        <f t="shared" si="59"/>
        <v>1.8172214704245426E-3</v>
      </c>
      <c r="AA146" s="27"/>
      <c r="AB146" s="27"/>
      <c r="AC146" s="56">
        <f t="shared" ref="AC146:AC153" si="69">IFERROR(K146/SUMIFS($M$3:$M$1234,$E$3:$E$1234,E146,$B$3:$B$1234,B146),"")</f>
        <v>1.6651174917621867E-4</v>
      </c>
      <c r="AD146" s="20">
        <f t="shared" si="46"/>
        <v>46547.662500000006</v>
      </c>
      <c r="AE146" s="20">
        <f t="shared" si="61"/>
        <v>0</v>
      </c>
      <c r="AF146" s="20">
        <f t="shared" si="62"/>
        <v>1728435204.9000001</v>
      </c>
      <c r="AG146">
        <f t="shared" si="63"/>
        <v>875391.17760000017</v>
      </c>
      <c r="AH146">
        <f t="shared" si="64"/>
        <v>944341.80260869581</v>
      </c>
      <c r="AI146">
        <f t="shared" si="65"/>
        <v>24622060647.240002</v>
      </c>
    </row>
    <row r="147" spans="2:35" x14ac:dyDescent="0.25">
      <c r="B147" s="4">
        <v>2024</v>
      </c>
      <c r="C147" s="4" t="s">
        <v>199</v>
      </c>
      <c r="D147" s="4" t="s">
        <v>200</v>
      </c>
      <c r="E147" s="4" t="str">
        <f t="shared" si="67"/>
        <v>DTE-MI</v>
      </c>
      <c r="F147" s="4" t="s">
        <v>135</v>
      </c>
      <c r="G147" s="4"/>
      <c r="H147" s="4" t="s">
        <v>227</v>
      </c>
      <c r="I147" s="4"/>
      <c r="J147" s="4" t="s">
        <v>42</v>
      </c>
      <c r="K147" s="5">
        <f>152071*10.36</f>
        <v>1575455.5599999998</v>
      </c>
      <c r="L147" s="5">
        <f>(K147/92)*100</f>
        <v>1712451.6956521736</v>
      </c>
      <c r="M147" s="8">
        <v>1090952</v>
      </c>
      <c r="N147" s="39"/>
      <c r="O147" s="8">
        <f>SUMIFS(EIAwtransport!$J$2:$J$675,EIAwtransport!$E$2:$E$675,Program_data!$E147,EIAwtransport!$H$2:$H$675,Program_data!$F147,EIAwtransport!$I$2:$I$675,Program_data!O$2)</f>
        <v>931968579</v>
      </c>
      <c r="P147" s="5">
        <f>SUMIFS(EIAwtransport!$J$2:$J$675,EIAwtransport!$E$2:$E$675,Program_data!$E147,EIAwtransport!$H$2:$H$675,Program_data!$F147,EIAwtransport!$I$2:$I$675,Program_data!P$2)</f>
        <v>108792722</v>
      </c>
      <c r="Q147" s="5">
        <f>SUMIFS(EIAwtransport!$J$2:$J$675,EIAwtransport!$E$2:$E$675,Program_data!$E147,EIAwtransport!$H$2:$H$675,Program_data!$F147,EIAwtransport!$I$2:$I$675,Program_data!Q$2)</f>
        <v>1214769</v>
      </c>
      <c r="R147" s="8">
        <f>SUMIFS(EIAwtransport!$J$2:$J$675,EIAwtransport!$E$2:$E$675,Program_data!$E147,EIAwtransport!$I$2:$I$675,Program_data!R$2)</f>
        <v>1280322374</v>
      </c>
      <c r="S147" s="5">
        <f>SUMIFS(EIAwtransport!$J$2:$J$675,EIAwtransport!$E$2:$E$675,Program_data!$E147,EIAwtransport!$I$2:$I$675,Program_data!S$2)</f>
        <v>233428713</v>
      </c>
      <c r="T147" s="5">
        <f>SUMIFS(EIAwtransport!$J$2:$J$675,EIAwtransport!$E$2:$E$675,Program_data!$E147,EIAwtransport!$I$2:$I$675,Program_data!T$2)</f>
        <v>1305155</v>
      </c>
      <c r="U147" s="24">
        <f t="shared" si="53"/>
        <v>6.5146655715828756E-4</v>
      </c>
      <c r="V147" s="24">
        <f t="shared" si="57"/>
        <v>7.0811582299813865E-4</v>
      </c>
      <c r="W147" s="24">
        <f t="shared" si="54"/>
        <v>8.5209164672459285E-4</v>
      </c>
      <c r="X147" s="25">
        <f t="shared" si="55"/>
        <v>4.5111951203812321E-4</v>
      </c>
      <c r="Y147" s="8">
        <f t="shared" si="58"/>
        <v>0.14411755454040551</v>
      </c>
      <c r="Z147" s="27">
        <f t="shared" si="59"/>
        <v>5.7497557192340301E-2</v>
      </c>
      <c r="AA147" s="27"/>
      <c r="AB147" s="27"/>
      <c r="AC147" s="56">
        <f t="shared" si="69"/>
        <v>3.1609599697919669E-2</v>
      </c>
      <c r="AD147" s="20">
        <f t="shared" si="46"/>
        <v>1472785.2000000002</v>
      </c>
      <c r="AE147" s="20">
        <f t="shared" si="61"/>
        <v>0</v>
      </c>
      <c r="AF147" s="20">
        <f t="shared" si="62"/>
        <v>1728435204.9000001</v>
      </c>
      <c r="AG147">
        <f t="shared" si="63"/>
        <v>166179052.46879998</v>
      </c>
      <c r="AH147">
        <f t="shared" si="64"/>
        <v>180629404.85739127</v>
      </c>
      <c r="AI147">
        <f t="shared" si="65"/>
        <v>24622060647.240002</v>
      </c>
    </row>
    <row r="148" spans="2:35" x14ac:dyDescent="0.25">
      <c r="B148" s="4">
        <v>2024</v>
      </c>
      <c r="C148" s="4" t="s">
        <v>199</v>
      </c>
      <c r="D148" s="4" t="s">
        <v>200</v>
      </c>
      <c r="E148" s="4" t="str">
        <f t="shared" si="67"/>
        <v>DTE-MI</v>
      </c>
      <c r="F148" s="4" t="s">
        <v>135</v>
      </c>
      <c r="G148" s="4"/>
      <c r="H148" s="4" t="s">
        <v>228</v>
      </c>
      <c r="I148" s="4"/>
      <c r="J148" s="4" t="s">
        <v>157</v>
      </c>
      <c r="K148" s="5">
        <f>203199*10.36</f>
        <v>2105141.6399999997</v>
      </c>
      <c r="L148" s="5">
        <f>(K148/92)*100</f>
        <v>2288197.4347826084</v>
      </c>
      <c r="M148" s="8">
        <v>800320</v>
      </c>
      <c r="N148" s="39"/>
      <c r="O148" s="8">
        <f>SUMIFS(EIAwtransport!$J$2:$J$675,EIAwtransport!$E$2:$E$675,Program_data!$E148,EIAwtransport!$H$2:$H$675,Program_data!$F148,EIAwtransport!$I$2:$I$675,Program_data!O$2)</f>
        <v>931968579</v>
      </c>
      <c r="P148" s="5">
        <f>SUMIFS(EIAwtransport!$J$2:$J$675,EIAwtransport!$E$2:$E$675,Program_data!$E148,EIAwtransport!$H$2:$H$675,Program_data!$F148,EIAwtransport!$I$2:$I$675,Program_data!P$2)</f>
        <v>108792722</v>
      </c>
      <c r="Q148" s="5">
        <f>SUMIFS(EIAwtransport!$J$2:$J$675,EIAwtransport!$E$2:$E$675,Program_data!$E148,EIAwtransport!$H$2:$H$675,Program_data!$F148,EIAwtransport!$I$2:$I$675,Program_data!Q$2)</f>
        <v>1214769</v>
      </c>
      <c r="R148" s="8">
        <f>SUMIFS(EIAwtransport!$J$2:$J$675,EIAwtransport!$E$2:$E$675,Program_data!$E148,EIAwtransport!$I$2:$I$675,Program_data!R$2)</f>
        <v>1280322374</v>
      </c>
      <c r="S148" s="5">
        <f>SUMIFS(EIAwtransport!$J$2:$J$675,EIAwtransport!$E$2:$E$675,Program_data!$E148,EIAwtransport!$I$2:$I$675,Program_data!S$2)</f>
        <v>233428713</v>
      </c>
      <c r="T148" s="5">
        <f>SUMIFS(EIAwtransport!$J$2:$J$675,EIAwtransport!$E$2:$E$675,Program_data!$E148,EIAwtransport!$I$2:$I$675,Program_data!T$2)</f>
        <v>1305155</v>
      </c>
      <c r="U148" s="24">
        <f t="shared" si="53"/>
        <v>8.7049702407432611E-4</v>
      </c>
      <c r="V148" s="24">
        <f t="shared" si="57"/>
        <v>9.4619241747209367E-4</v>
      </c>
      <c r="W148" s="24">
        <f t="shared" si="54"/>
        <v>6.2509256750675204E-4</v>
      </c>
      <c r="X148" s="25">
        <f t="shared" si="55"/>
        <v>3.3094028690020346E-4</v>
      </c>
      <c r="Y148" s="8">
        <f t="shared" si="58"/>
        <v>0.10572432265560477</v>
      </c>
      <c r="Z148" s="27">
        <f t="shared" si="59"/>
        <v>4.2180082141261753E-2</v>
      </c>
      <c r="AA148" s="27"/>
      <c r="AB148" s="27"/>
      <c r="AC148" s="56">
        <f t="shared" si="69"/>
        <v>4.2237106673971882E-2</v>
      </c>
      <c r="AD148" s="20">
        <f t="shared" ref="AD148:AD217" si="70">M148*1.35</f>
        <v>1080432</v>
      </c>
      <c r="AE148" s="20">
        <f t="shared" si="61"/>
        <v>0</v>
      </c>
      <c r="AF148" s="20">
        <f t="shared" si="62"/>
        <v>1728435204.9000001</v>
      </c>
      <c r="AG148">
        <f t="shared" si="63"/>
        <v>222050340.18719998</v>
      </c>
      <c r="AH148">
        <f t="shared" si="64"/>
        <v>241359065.42086956</v>
      </c>
      <c r="AI148">
        <f t="shared" si="65"/>
        <v>24622060647.240002</v>
      </c>
    </row>
    <row r="149" spans="2:35" x14ac:dyDescent="0.25">
      <c r="B149" s="4">
        <v>2024</v>
      </c>
      <c r="C149" s="4" t="s">
        <v>199</v>
      </c>
      <c r="D149" s="4" t="s">
        <v>200</v>
      </c>
      <c r="E149" s="4" t="str">
        <f t="shared" si="67"/>
        <v>DTE-MI</v>
      </c>
      <c r="F149" s="4" t="s">
        <v>135</v>
      </c>
      <c r="G149" s="4"/>
      <c r="H149" s="4" t="s">
        <v>229</v>
      </c>
      <c r="I149" s="4"/>
      <c r="J149" s="4" t="s">
        <v>21</v>
      </c>
      <c r="K149" s="5">
        <f>8874*10.36</f>
        <v>91934.64</v>
      </c>
      <c r="L149" s="5">
        <f>(K149/92)*100</f>
        <v>99928.956521739135</v>
      </c>
      <c r="M149" s="8">
        <v>152557</v>
      </c>
      <c r="N149" s="39"/>
      <c r="O149" s="8">
        <f>SUMIFS(EIAwtransport!$J$2:$J$675,EIAwtransport!$E$2:$E$675,Program_data!$E149,EIAwtransport!$H$2:$H$675,Program_data!$F149,EIAwtransport!$I$2:$I$675,Program_data!O$2)</f>
        <v>931968579</v>
      </c>
      <c r="P149" s="5">
        <f>SUMIFS(EIAwtransport!$J$2:$J$675,EIAwtransport!$E$2:$E$675,Program_data!$E149,EIAwtransport!$H$2:$H$675,Program_data!$F149,EIAwtransport!$I$2:$I$675,Program_data!P$2)</f>
        <v>108792722</v>
      </c>
      <c r="Q149" s="5">
        <f>SUMIFS(EIAwtransport!$J$2:$J$675,EIAwtransport!$E$2:$E$675,Program_data!$E149,EIAwtransport!$H$2:$H$675,Program_data!$F149,EIAwtransport!$I$2:$I$675,Program_data!Q$2)</f>
        <v>1214769</v>
      </c>
      <c r="R149" s="8">
        <f>SUMIFS(EIAwtransport!$J$2:$J$675,EIAwtransport!$E$2:$E$675,Program_data!$E149,EIAwtransport!$I$2:$I$675,Program_data!R$2)</f>
        <v>1280322374</v>
      </c>
      <c r="S149" s="5">
        <f>SUMIFS(EIAwtransport!$J$2:$J$675,EIAwtransport!$E$2:$E$675,Program_data!$E149,EIAwtransport!$I$2:$I$675,Program_data!S$2)</f>
        <v>233428713</v>
      </c>
      <c r="T149" s="5">
        <f>SUMIFS(EIAwtransport!$J$2:$J$675,EIAwtransport!$E$2:$E$675,Program_data!$E149,EIAwtransport!$I$2:$I$675,Program_data!T$2)</f>
        <v>1305155</v>
      </c>
      <c r="U149" s="24">
        <f t="shared" si="53"/>
        <v>3.8015888816557031E-5</v>
      </c>
      <c r="V149" s="24">
        <f t="shared" si="57"/>
        <v>4.1321618278866336E-5</v>
      </c>
      <c r="W149" s="24">
        <f t="shared" si="54"/>
        <v>1.1915514646782233E-4</v>
      </c>
      <c r="X149" s="25">
        <f t="shared" si="55"/>
        <v>6.3083838150532708E-5</v>
      </c>
      <c r="Y149" s="8">
        <f t="shared" si="58"/>
        <v>2.0153170595975482E-2</v>
      </c>
      <c r="Z149" s="27">
        <f t="shared" si="59"/>
        <v>8.0403673420937488E-3</v>
      </c>
      <c r="AA149" s="27"/>
      <c r="AB149" s="27"/>
      <c r="AC149" s="56">
        <f t="shared" si="69"/>
        <v>1.8445567380982512E-3</v>
      </c>
      <c r="AD149" s="20">
        <f t="shared" si="70"/>
        <v>205951.95</v>
      </c>
      <c r="AE149" s="20">
        <f t="shared" si="61"/>
        <v>0</v>
      </c>
      <c r="AF149" s="20">
        <f t="shared" si="62"/>
        <v>1728435204.9000001</v>
      </c>
      <c r="AG149">
        <f t="shared" si="63"/>
        <v>9697265.8272000011</v>
      </c>
      <c r="AH149">
        <f t="shared" si="64"/>
        <v>10540506.333913045</v>
      </c>
      <c r="AI149">
        <f t="shared" si="65"/>
        <v>24622060647.240002</v>
      </c>
    </row>
    <row r="150" spans="2:35" x14ac:dyDescent="0.25">
      <c r="B150" s="4">
        <v>2024</v>
      </c>
      <c r="C150" s="4" t="s">
        <v>199</v>
      </c>
      <c r="D150" s="4" t="s">
        <v>200</v>
      </c>
      <c r="E150" s="4" t="str">
        <f t="shared" si="67"/>
        <v>DTE-MI</v>
      </c>
      <c r="F150" s="4" t="s">
        <v>135</v>
      </c>
      <c r="G150" s="4"/>
      <c r="H150" s="4" t="s">
        <v>230</v>
      </c>
      <c r="I150" s="4"/>
      <c r="J150" s="4" t="s">
        <v>21</v>
      </c>
      <c r="K150" s="5">
        <f>12037*10.36</f>
        <v>124703.31999999999</v>
      </c>
      <c r="L150" s="5">
        <f>(K150/92)*100</f>
        <v>135547.08695652173</v>
      </c>
      <c r="M150" s="8">
        <v>250000</v>
      </c>
      <c r="N150" s="39"/>
      <c r="O150" s="8">
        <f>SUMIFS(EIAwtransport!$J$2:$J$675,EIAwtransport!$E$2:$E$675,Program_data!$E150,EIAwtransport!$H$2:$H$675,Program_data!$F150,EIAwtransport!$I$2:$I$675,Program_data!O$2)</f>
        <v>931968579</v>
      </c>
      <c r="P150" s="5">
        <f>SUMIFS(EIAwtransport!$J$2:$J$675,EIAwtransport!$E$2:$E$675,Program_data!$E150,EIAwtransport!$H$2:$H$675,Program_data!$F150,EIAwtransport!$I$2:$I$675,Program_data!P$2)</f>
        <v>108792722</v>
      </c>
      <c r="Q150" s="5">
        <f>SUMIFS(EIAwtransport!$J$2:$J$675,EIAwtransport!$E$2:$E$675,Program_data!$E150,EIAwtransport!$H$2:$H$675,Program_data!$F150,EIAwtransport!$I$2:$I$675,Program_data!Q$2)</f>
        <v>1214769</v>
      </c>
      <c r="R150" s="8">
        <f>SUMIFS(EIAwtransport!$J$2:$J$675,EIAwtransport!$E$2:$E$675,Program_data!$E150,EIAwtransport!$I$2:$I$675,Program_data!R$2)</f>
        <v>1280322374</v>
      </c>
      <c r="S150" s="5">
        <f>SUMIFS(EIAwtransport!$J$2:$J$675,EIAwtransport!$E$2:$E$675,Program_data!$E150,EIAwtransport!$I$2:$I$675,Program_data!S$2)</f>
        <v>233428713</v>
      </c>
      <c r="T150" s="5">
        <f>SUMIFS(EIAwtransport!$J$2:$J$675,EIAwtransport!$E$2:$E$675,Program_data!$E150,EIAwtransport!$I$2:$I$675,Program_data!T$2)</f>
        <v>1305155</v>
      </c>
      <c r="U150" s="24">
        <f t="shared" si="53"/>
        <v>5.1566064197081015E-5</v>
      </c>
      <c r="V150" s="24">
        <f t="shared" si="57"/>
        <v>5.6050069779435885E-5</v>
      </c>
      <c r="W150" s="24">
        <f t="shared" si="54"/>
        <v>1.9526332201705318E-4</v>
      </c>
      <c r="X150" s="25">
        <f t="shared" si="55"/>
        <v>1.0337748866084924E-4</v>
      </c>
      <c r="Y150" s="8">
        <f t="shared" si="58"/>
        <v>3.3025640573647035E-2</v>
      </c>
      <c r="Z150" s="27">
        <f t="shared" si="59"/>
        <v>1.3176005267037482E-2</v>
      </c>
      <c r="AA150" s="27"/>
      <c r="AB150" s="27"/>
      <c r="AC150" s="56">
        <f t="shared" si="69"/>
        <v>2.5020204481055498E-3</v>
      </c>
      <c r="AD150" s="20">
        <f t="shared" si="70"/>
        <v>337500</v>
      </c>
      <c r="AE150" s="20">
        <f t="shared" si="61"/>
        <v>0</v>
      </c>
      <c r="AF150" s="20">
        <f t="shared" si="62"/>
        <v>1728435204.9000001</v>
      </c>
      <c r="AG150">
        <f t="shared" si="63"/>
        <v>13153706.193599999</v>
      </c>
      <c r="AH150">
        <f t="shared" si="64"/>
        <v>14297506.732173912</v>
      </c>
      <c r="AI150">
        <f t="shared" si="65"/>
        <v>24622060647.240002</v>
      </c>
    </row>
    <row r="151" spans="2:35" x14ac:dyDescent="0.25">
      <c r="B151" s="4">
        <v>2024</v>
      </c>
      <c r="C151" s="4" t="s">
        <v>199</v>
      </c>
      <c r="D151" s="4" t="s">
        <v>200</v>
      </c>
      <c r="E151" s="4" t="str">
        <f t="shared" si="67"/>
        <v>DTE-MI</v>
      </c>
      <c r="F151" s="4" t="s">
        <v>135</v>
      </c>
      <c r="G151" s="4"/>
      <c r="H151" s="4" t="s">
        <v>231</v>
      </c>
      <c r="I151" s="4"/>
      <c r="J151" s="4" t="s">
        <v>21</v>
      </c>
      <c r="K151" s="5">
        <f>40274*10.36</f>
        <v>417238.63999999996</v>
      </c>
      <c r="L151" s="5">
        <f>(K151/92)*100</f>
        <v>453520.26086956519</v>
      </c>
      <c r="M151" s="8">
        <v>7928</v>
      </c>
      <c r="N151" s="39"/>
      <c r="O151" s="8">
        <f>SUMIFS(EIAwtransport!$J$2:$J$675,EIAwtransport!$E$2:$E$675,Program_data!$E151,EIAwtransport!$H$2:$H$675,Program_data!$F151,EIAwtransport!$I$2:$I$675,Program_data!O$2)</f>
        <v>931968579</v>
      </c>
      <c r="P151" s="5">
        <f>SUMIFS(EIAwtransport!$J$2:$J$675,EIAwtransport!$E$2:$E$675,Program_data!$E151,EIAwtransport!$H$2:$H$675,Program_data!$F151,EIAwtransport!$I$2:$I$675,Program_data!P$2)</f>
        <v>108792722</v>
      </c>
      <c r="Q151" s="5">
        <f>SUMIFS(EIAwtransport!$J$2:$J$675,EIAwtransport!$E$2:$E$675,Program_data!$E151,EIAwtransport!$H$2:$H$675,Program_data!$F151,EIAwtransport!$I$2:$I$675,Program_data!Q$2)</f>
        <v>1214769</v>
      </c>
      <c r="R151" s="8">
        <f>SUMIFS(EIAwtransport!$J$2:$J$675,EIAwtransport!$E$2:$E$675,Program_data!$E151,EIAwtransport!$I$2:$I$675,Program_data!R$2)</f>
        <v>1280322374</v>
      </c>
      <c r="S151" s="5">
        <f>SUMIFS(EIAwtransport!$J$2:$J$675,EIAwtransport!$E$2:$E$675,Program_data!$E151,EIAwtransport!$I$2:$I$675,Program_data!S$2)</f>
        <v>233428713</v>
      </c>
      <c r="T151" s="5">
        <f>SUMIFS(EIAwtransport!$J$2:$J$675,EIAwtransport!$E$2:$E$675,Program_data!$E151,EIAwtransport!$I$2:$I$675,Program_data!T$2)</f>
        <v>1305155</v>
      </c>
      <c r="U151" s="24">
        <f t="shared" si="53"/>
        <v>1.7253233110187263E-4</v>
      </c>
      <c r="V151" s="24">
        <f t="shared" si="57"/>
        <v>1.8753514250203547E-4</v>
      </c>
      <c r="W151" s="24">
        <f t="shared" si="54"/>
        <v>6.1921904678047906E-6</v>
      </c>
      <c r="X151" s="25">
        <f t="shared" si="55"/>
        <v>3.2783069204128512E-6</v>
      </c>
      <c r="Y151" s="8">
        <f t="shared" si="58"/>
        <v>1.0473091138714947E-3</v>
      </c>
      <c r="Z151" s="27">
        <f t="shared" si="59"/>
        <v>4.1783747902829262E-4</v>
      </c>
      <c r="AA151" s="27"/>
      <c r="AB151" s="27"/>
      <c r="AC151" s="56">
        <f t="shared" si="69"/>
        <v>8.3713858541997928E-3</v>
      </c>
      <c r="AD151" s="20">
        <f t="shared" si="70"/>
        <v>10702.800000000001</v>
      </c>
      <c r="AE151" s="20">
        <f t="shared" si="61"/>
        <v>0</v>
      </c>
      <c r="AF151" s="20">
        <f t="shared" si="62"/>
        <v>1728435204.9000001</v>
      </c>
      <c r="AG151">
        <f t="shared" si="63"/>
        <v>44010331.747199997</v>
      </c>
      <c r="AH151">
        <f t="shared" si="64"/>
        <v>47837317.116521738</v>
      </c>
      <c r="AI151">
        <f t="shared" si="65"/>
        <v>24622060647.240002</v>
      </c>
    </row>
    <row r="152" spans="2:35" x14ac:dyDescent="0.25">
      <c r="B152" s="4">
        <v>2024</v>
      </c>
      <c r="C152" s="4" t="s">
        <v>199</v>
      </c>
      <c r="D152" s="4" t="s">
        <v>200</v>
      </c>
      <c r="E152" s="4" t="str">
        <f t="shared" ref="E152" si="71">D152&amp;"-"&amp;C152</f>
        <v>DTE-MI</v>
      </c>
      <c r="F152" s="4" t="s">
        <v>135</v>
      </c>
      <c r="G152" s="4"/>
      <c r="H152" s="4" t="s">
        <v>232</v>
      </c>
      <c r="I152" s="4" t="s">
        <v>167</v>
      </c>
      <c r="J152" s="4" t="s">
        <v>155</v>
      </c>
      <c r="K152" s="5">
        <v>0</v>
      </c>
      <c r="L152" s="5">
        <v>0</v>
      </c>
      <c r="M152" s="8">
        <v>1676479</v>
      </c>
      <c r="N152" s="39"/>
      <c r="O152" s="8">
        <f>SUMIFS(EIAwtransport!$J$2:$J$675,EIAwtransport!$E$2:$E$675,Program_data!$E152,EIAwtransport!$H$2:$H$675,Program_data!$F152,EIAwtransport!$I$2:$I$675,Program_data!O$2)</f>
        <v>931968579</v>
      </c>
      <c r="P152" s="5">
        <f>SUMIFS(EIAwtransport!$J$2:$J$675,EIAwtransport!$E$2:$E$675,Program_data!$E152,EIAwtransport!$H$2:$H$675,Program_data!$F152,EIAwtransport!$I$2:$I$675,Program_data!P$2)</f>
        <v>108792722</v>
      </c>
      <c r="Q152" s="5">
        <f>SUMIFS(EIAwtransport!$J$2:$J$675,EIAwtransport!$E$2:$E$675,Program_data!$E152,EIAwtransport!$H$2:$H$675,Program_data!$F152,EIAwtransport!$I$2:$I$675,Program_data!Q$2)</f>
        <v>1214769</v>
      </c>
      <c r="R152" s="8">
        <f>SUMIFS(EIAwtransport!$J$2:$J$675,EIAwtransport!$E$2:$E$675,Program_data!$E152,EIAwtransport!$I$2:$I$675,Program_data!R$2)</f>
        <v>1280322374</v>
      </c>
      <c r="S152" s="5">
        <f>SUMIFS(EIAwtransport!$J$2:$J$675,EIAwtransport!$E$2:$E$675,Program_data!$E152,EIAwtransport!$I$2:$I$675,Program_data!S$2)</f>
        <v>233428713</v>
      </c>
      <c r="T152" s="5">
        <f>SUMIFS(EIAwtransport!$J$2:$J$675,EIAwtransport!$E$2:$E$675,Program_data!$E152,EIAwtransport!$I$2:$I$675,Program_data!T$2)</f>
        <v>1305155</v>
      </c>
      <c r="U152" s="24">
        <f t="shared" si="53"/>
        <v>0</v>
      </c>
      <c r="V152" s="24">
        <f t="shared" si="57"/>
        <v>0</v>
      </c>
      <c r="W152" s="24">
        <f t="shared" si="54"/>
        <v>1.3094194353273092E-3</v>
      </c>
      <c r="X152" s="25">
        <f t="shared" si="55"/>
        <v>6.9324075525060752E-4</v>
      </c>
      <c r="Y152" s="8">
        <f t="shared" si="58"/>
        <v>0.2214671715330688</v>
      </c>
      <c r="Z152" s="27">
        <f t="shared" si="59"/>
        <v>8.8357184536310931E-2</v>
      </c>
      <c r="AA152" s="27"/>
      <c r="AB152" s="27"/>
      <c r="AC152" s="56">
        <f t="shared" si="69"/>
        <v>0</v>
      </c>
      <c r="AD152" s="20">
        <f t="shared" si="70"/>
        <v>2263246.6500000004</v>
      </c>
      <c r="AE152" s="20">
        <f t="shared" si="61"/>
        <v>0</v>
      </c>
      <c r="AF152" s="20">
        <f t="shared" si="62"/>
        <v>1728435204.9000001</v>
      </c>
      <c r="AG152">
        <f t="shared" si="63"/>
        <v>0</v>
      </c>
      <c r="AH152">
        <f t="shared" si="64"/>
        <v>0</v>
      </c>
      <c r="AI152">
        <f t="shared" si="65"/>
        <v>24622060647.240002</v>
      </c>
    </row>
    <row r="153" spans="2:35" x14ac:dyDescent="0.25">
      <c r="B153" s="4">
        <v>2024</v>
      </c>
      <c r="C153" s="4" t="s">
        <v>199</v>
      </c>
      <c r="D153" s="4" t="s">
        <v>200</v>
      </c>
      <c r="E153" s="4" t="str">
        <f t="shared" ref="E153:E155" si="72">D153&amp;"-"&amp;C153</f>
        <v>DTE-MI</v>
      </c>
      <c r="F153" s="4" t="s">
        <v>135</v>
      </c>
      <c r="G153" s="4"/>
      <c r="H153" s="4" t="s">
        <v>233</v>
      </c>
      <c r="I153" s="4" t="s">
        <v>167</v>
      </c>
      <c r="J153" s="4" t="s">
        <v>155</v>
      </c>
      <c r="K153" s="5">
        <v>0</v>
      </c>
      <c r="L153" s="5">
        <v>0</v>
      </c>
      <c r="M153" s="8">
        <v>5047544</v>
      </c>
      <c r="N153" s="39"/>
      <c r="O153" s="8">
        <f>SUMIFS(EIAwtransport!$J$2:$J$675,EIAwtransport!$E$2:$E$675,Program_data!$E153,EIAwtransport!$H$2:$H$675,Program_data!$F153,EIAwtransport!$I$2:$I$675,Program_data!O$2)</f>
        <v>931968579</v>
      </c>
      <c r="P153" s="5">
        <f>SUMIFS(EIAwtransport!$J$2:$J$675,EIAwtransport!$E$2:$E$675,Program_data!$E153,EIAwtransport!$H$2:$H$675,Program_data!$F153,EIAwtransport!$I$2:$I$675,Program_data!P$2)</f>
        <v>108792722</v>
      </c>
      <c r="Q153" s="5">
        <f>SUMIFS(EIAwtransport!$J$2:$J$675,EIAwtransport!$E$2:$E$675,Program_data!$E153,EIAwtransport!$H$2:$H$675,Program_data!$F153,EIAwtransport!$I$2:$I$675,Program_data!Q$2)</f>
        <v>1214769</v>
      </c>
      <c r="R153" s="8">
        <f>SUMIFS(EIAwtransport!$J$2:$J$675,EIAwtransport!$E$2:$E$675,Program_data!$E153,EIAwtransport!$I$2:$I$675,Program_data!R$2)</f>
        <v>1280322374</v>
      </c>
      <c r="S153" s="5">
        <f>SUMIFS(EIAwtransport!$J$2:$J$675,EIAwtransport!$E$2:$E$675,Program_data!$E153,EIAwtransport!$I$2:$I$675,Program_data!S$2)</f>
        <v>233428713</v>
      </c>
      <c r="T153" s="5">
        <f>SUMIFS(EIAwtransport!$J$2:$J$675,EIAwtransport!$E$2:$E$675,Program_data!$E153,EIAwtransport!$I$2:$I$675,Program_data!T$2)</f>
        <v>1305155</v>
      </c>
      <c r="U153" s="24">
        <f t="shared" si="53"/>
        <v>0</v>
      </c>
      <c r="V153" s="24">
        <f t="shared" si="57"/>
        <v>0</v>
      </c>
      <c r="W153" s="24">
        <f t="shared" si="54"/>
        <v>3.9424008378689786E-3</v>
      </c>
      <c r="X153" s="25">
        <f t="shared" si="55"/>
        <v>2.0872096905005504E-3</v>
      </c>
      <c r="Y153" s="8">
        <f t="shared" si="58"/>
        <v>0.6667934956946745</v>
      </c>
      <c r="Z153" s="27">
        <f t="shared" si="59"/>
        <v>0.26602586531841377</v>
      </c>
      <c r="AA153" s="27"/>
      <c r="AB153" s="27"/>
      <c r="AC153" s="56">
        <f t="shared" si="69"/>
        <v>0</v>
      </c>
      <c r="AD153" s="20">
        <f t="shared" si="70"/>
        <v>6814184.4000000004</v>
      </c>
      <c r="AE153" s="20">
        <f t="shared" si="61"/>
        <v>0</v>
      </c>
      <c r="AF153" s="20">
        <f t="shared" si="62"/>
        <v>1728435204.9000001</v>
      </c>
      <c r="AG153">
        <f t="shared" si="63"/>
        <v>0</v>
      </c>
      <c r="AH153">
        <f t="shared" si="64"/>
        <v>0</v>
      </c>
      <c r="AI153">
        <f t="shared" si="65"/>
        <v>24622060647.240002</v>
      </c>
    </row>
    <row r="154" spans="2:35" x14ac:dyDescent="0.25">
      <c r="B154" s="4">
        <v>2024</v>
      </c>
      <c r="C154" s="4" t="s">
        <v>199</v>
      </c>
      <c r="D154" s="4" t="s">
        <v>200</v>
      </c>
      <c r="E154" s="4" t="str">
        <f t="shared" ref="E154" si="73">D154&amp;"-"&amp;C154</f>
        <v>DTE-MI</v>
      </c>
      <c r="F154" s="4" t="s">
        <v>143</v>
      </c>
      <c r="G154" s="4">
        <v>1</v>
      </c>
      <c r="H154" s="4" t="s">
        <v>234</v>
      </c>
      <c r="I154" s="4"/>
      <c r="J154" s="4" t="s">
        <v>48</v>
      </c>
      <c r="K154" s="5">
        <v>14677.698</v>
      </c>
      <c r="L154" s="5">
        <v>14677.697999999997</v>
      </c>
      <c r="M154" s="8">
        <v>633835.46416938107</v>
      </c>
      <c r="N154" s="39"/>
      <c r="O154" s="8">
        <f>SUMIFS(EIAwtransport!$J$2:$J$675,EIAwtransport!$E$2:$E$675,Program_data!$E154,EIAwtransport!$H$2:$H$675,Program_data!$F154,EIAwtransport!$I$2:$I$675,Program_data!O$2)</f>
        <v>0</v>
      </c>
      <c r="P154" s="5">
        <f>SUMIFS(EIAwtransport!$J$2:$J$675,EIAwtransport!$E$2:$E$675,Program_data!$E154,EIAwtransport!$H$2:$H$675,Program_data!$F154,EIAwtransport!$I$2:$I$675,Program_data!P$2)</f>
        <v>0</v>
      </c>
      <c r="Q154" s="5">
        <f>SUMIFS(EIAwtransport!$J$2:$J$675,EIAwtransport!$E$2:$E$675,Program_data!$E154,EIAwtransport!$H$2:$H$675,Program_data!$F154,EIAwtransport!$I$2:$I$675,Program_data!Q$2)</f>
        <v>0</v>
      </c>
      <c r="R154" s="8">
        <f>SUMIFS(EIAwtransport!$J$2:$J$675,EIAwtransport!$E$2:$E$675,Program_data!$E154,EIAwtransport!$I$2:$I$675,Program_data!R$2)</f>
        <v>1280322374</v>
      </c>
      <c r="S154" s="5">
        <f>SUMIFS(EIAwtransport!$J$2:$J$675,EIAwtransport!$E$2:$E$675,Program_data!$E154,EIAwtransport!$I$2:$I$675,Program_data!S$2)</f>
        <v>233428713</v>
      </c>
      <c r="T154" s="5">
        <f>SUMIFS(EIAwtransport!$J$2:$J$675,EIAwtransport!$E$2:$E$675,Program_data!$E154,EIAwtransport!$I$2:$I$675,Program_data!T$2)</f>
        <v>1305155</v>
      </c>
      <c r="U154" s="24">
        <f t="shared" si="53"/>
        <v>6.0693742342494794E-6</v>
      </c>
      <c r="V154" s="24">
        <f t="shared" si="57"/>
        <v>6.0693742342494768E-6</v>
      </c>
      <c r="W154" s="24">
        <f t="shared" si="54"/>
        <v>4.9505927338373693E-4</v>
      </c>
      <c r="X154" s="25">
        <f t="shared" si="55"/>
        <v>2.6209727404005723E-4</v>
      </c>
      <c r="Y154" s="8">
        <f t="shared" si="58"/>
        <v>0.53154673640294414</v>
      </c>
      <c r="Z154" s="27">
        <f t="shared" si="59"/>
        <v>3.3405677657323649E-2</v>
      </c>
      <c r="AA154" s="27"/>
      <c r="AB154" s="27"/>
      <c r="AC154" s="56"/>
      <c r="AD154" s="20"/>
      <c r="AE154" s="20"/>
      <c r="AF154" s="20"/>
    </row>
    <row r="155" spans="2:35" x14ac:dyDescent="0.25">
      <c r="B155" s="4">
        <v>2024</v>
      </c>
      <c r="C155" s="4" t="s">
        <v>199</v>
      </c>
      <c r="D155" s="4" t="s">
        <v>200</v>
      </c>
      <c r="E155" s="4" t="str">
        <f t="shared" si="72"/>
        <v>DTE-MI</v>
      </c>
      <c r="F155" s="4" t="s">
        <v>143</v>
      </c>
      <c r="G155" s="4">
        <v>1</v>
      </c>
      <c r="H155" s="4" t="s">
        <v>234</v>
      </c>
      <c r="I155" s="4"/>
      <c r="J155" s="4" t="s">
        <v>27</v>
      </c>
      <c r="K155" s="5">
        <f>407977/2</f>
        <v>203988.5</v>
      </c>
      <c r="L155" s="5">
        <f>443453/2</f>
        <v>221726.5</v>
      </c>
      <c r="M155" s="8">
        <f>12426551/2</f>
        <v>6213275.5</v>
      </c>
      <c r="N155" s="39"/>
      <c r="O155" s="8">
        <f>SUMIFS(EIAwtransport!$J$2:$J$675,EIAwtransport!$E$2:$E$675,Program_data!$E155,EIAwtransport!$H$2:$H$675,Program_data!$F155,EIAwtransport!$I$2:$I$675,Program_data!O$2)</f>
        <v>0</v>
      </c>
      <c r="P155" s="5">
        <f>SUMIFS(EIAwtransport!$J$2:$J$675,EIAwtransport!$E$2:$E$675,Program_data!$E155,EIAwtransport!$H$2:$H$675,Program_data!$F155,EIAwtransport!$I$2:$I$675,Program_data!P$2)</f>
        <v>0</v>
      </c>
      <c r="Q155" s="5">
        <f>SUMIFS(EIAwtransport!$J$2:$J$675,EIAwtransport!$E$2:$E$675,Program_data!$E155,EIAwtransport!$H$2:$H$675,Program_data!$F155,EIAwtransport!$I$2:$I$675,Program_data!Q$2)</f>
        <v>0</v>
      </c>
      <c r="R155" s="8">
        <f>SUMIFS(EIAwtransport!$J$2:$J$675,EIAwtransport!$E$2:$E$675,Program_data!$E155,EIAwtransport!$I$2:$I$675,Program_data!R$2)</f>
        <v>1280322374</v>
      </c>
      <c r="S155" s="5">
        <f>SUMIFS(EIAwtransport!$J$2:$J$675,EIAwtransport!$E$2:$E$675,Program_data!$E155,EIAwtransport!$I$2:$I$675,Program_data!S$2)</f>
        <v>233428713</v>
      </c>
      <c r="T155" s="5">
        <f>SUMIFS(EIAwtransport!$J$2:$J$675,EIAwtransport!$E$2:$E$675,Program_data!$E155,EIAwtransport!$I$2:$I$675,Program_data!T$2)</f>
        <v>1305155</v>
      </c>
      <c r="U155" s="24">
        <f t="shared" si="53"/>
        <v>8.4351275382774573E-5</v>
      </c>
      <c r="V155" s="24">
        <f t="shared" si="57"/>
        <v>9.1686114958239166E-5</v>
      </c>
      <c r="W155" s="24">
        <f t="shared" si="54"/>
        <v>4.8528992589486689E-3</v>
      </c>
      <c r="X155" s="25">
        <f t="shared" si="55"/>
        <v>2.5692512701919294E-3</v>
      </c>
      <c r="Y155" s="8">
        <f t="shared" si="58"/>
        <v>5.2105735653737391</v>
      </c>
      <c r="Z155" s="27">
        <f t="shared" si="59"/>
        <v>0.3274646028542198</v>
      </c>
      <c r="AA155" s="27"/>
      <c r="AB155" s="27"/>
      <c r="AC155" s="56"/>
      <c r="AD155" s="20">
        <f t="shared" si="70"/>
        <v>8387921.9250000007</v>
      </c>
      <c r="AE155" s="20">
        <f t="shared" si="61"/>
        <v>0</v>
      </c>
      <c r="AF155" s="20">
        <f t="shared" si="62"/>
        <v>1728435204.9000001</v>
      </c>
      <c r="AG155">
        <f t="shared" si="63"/>
        <v>21516706.98</v>
      </c>
      <c r="AH155">
        <f t="shared" si="64"/>
        <v>23387711.220000003</v>
      </c>
      <c r="AI155">
        <f t="shared" si="65"/>
        <v>24622060647.240002</v>
      </c>
    </row>
    <row r="156" spans="2:35" x14ac:dyDescent="0.25">
      <c r="B156" s="4">
        <v>2024</v>
      </c>
      <c r="C156" s="4" t="s">
        <v>199</v>
      </c>
      <c r="D156" s="4" t="s">
        <v>200</v>
      </c>
      <c r="E156" s="4" t="str">
        <f t="shared" si="67"/>
        <v>DTE-MI</v>
      </c>
      <c r="F156" s="4" t="s">
        <v>143</v>
      </c>
      <c r="G156" s="4">
        <v>1</v>
      </c>
      <c r="H156" s="4" t="s">
        <v>234</v>
      </c>
      <c r="I156" s="4"/>
      <c r="J156" s="4" t="s">
        <v>21</v>
      </c>
      <c r="K156" s="5">
        <v>189310.802</v>
      </c>
      <c r="L156" s="5">
        <v>207048.802</v>
      </c>
      <c r="M156" s="8">
        <v>5579440.0358306188</v>
      </c>
      <c r="N156" s="39"/>
      <c r="O156" s="8">
        <f>SUMIFS(EIAwtransport!$J$2:$J$675,EIAwtransport!$E$2:$E$675,Program_data!$E156,EIAwtransport!$H$2:$H$675,Program_data!$F156,EIAwtransport!$I$2:$I$675,Program_data!O$2)</f>
        <v>0</v>
      </c>
      <c r="P156" s="5">
        <f>SUMIFS(EIAwtransport!$J$2:$J$675,EIAwtransport!$E$2:$E$675,Program_data!$E156,EIAwtransport!$H$2:$H$675,Program_data!$F156,EIAwtransport!$I$2:$I$675,Program_data!P$2)</f>
        <v>0</v>
      </c>
      <c r="Q156" s="5">
        <f>SUMIFS(EIAwtransport!$J$2:$J$675,EIAwtransport!$E$2:$E$675,Program_data!$E156,EIAwtransport!$H$2:$H$675,Program_data!$F156,EIAwtransport!$I$2:$I$675,Program_data!Q$2)</f>
        <v>0</v>
      </c>
      <c r="R156" s="8">
        <f>SUMIFS(EIAwtransport!$J$2:$J$675,EIAwtransport!$E$2:$E$675,Program_data!$E156,EIAwtransport!$I$2:$I$675,Program_data!R$2)</f>
        <v>1280322374</v>
      </c>
      <c r="S156" s="5">
        <f>SUMIFS(EIAwtransport!$J$2:$J$675,EIAwtransport!$E$2:$E$675,Program_data!$E156,EIAwtransport!$I$2:$I$675,Program_data!S$2)</f>
        <v>233428713</v>
      </c>
      <c r="T156" s="5">
        <f>SUMIFS(EIAwtransport!$J$2:$J$675,EIAwtransport!$E$2:$E$675,Program_data!$E156,EIAwtransport!$I$2:$I$675,Program_data!T$2)</f>
        <v>1305155</v>
      </c>
      <c r="U156" s="24">
        <f t="shared" si="53"/>
        <v>7.8281901148525096E-5</v>
      </c>
      <c r="V156" s="24">
        <f t="shared" si="57"/>
        <v>8.5616740723989688E-5</v>
      </c>
      <c r="W156" s="24">
        <f t="shared" si="54"/>
        <v>4.3578399855649314E-3</v>
      </c>
      <c r="X156" s="25">
        <f t="shared" si="55"/>
        <v>2.3071539961518725E-3</v>
      </c>
      <c r="Y156" s="8">
        <f t="shared" si="58"/>
        <v>4.6790268289707946</v>
      </c>
      <c r="Z156" s="27">
        <f t="shared" si="59"/>
        <v>0.29405892519689614</v>
      </c>
      <c r="AA156" s="27"/>
      <c r="AB156" s="27"/>
      <c r="AC156" s="56">
        <f>IFERROR(K156/SUMIFS($M$3:$M$1234,$E$3:$E$1234,E156,$B$3:$B$1234,B156),"")</f>
        <v>3.7982909969939936E-3</v>
      </c>
      <c r="AD156" s="20">
        <f t="shared" si="70"/>
        <v>7532244.0483713355</v>
      </c>
      <c r="AE156" s="20">
        <f t="shared" si="61"/>
        <v>0</v>
      </c>
      <c r="AF156" s="20">
        <f t="shared" si="62"/>
        <v>1728435204.9000001</v>
      </c>
      <c r="AG156">
        <f t="shared" si="63"/>
        <v>19968503.394960001</v>
      </c>
      <c r="AH156">
        <f t="shared" si="64"/>
        <v>21839507.634959999</v>
      </c>
      <c r="AI156">
        <f t="shared" si="65"/>
        <v>24622060647.240002</v>
      </c>
    </row>
    <row r="157" spans="2:35" x14ac:dyDescent="0.25">
      <c r="B157" s="4">
        <v>2024</v>
      </c>
      <c r="C157" s="4" t="s">
        <v>199</v>
      </c>
      <c r="D157" s="4" t="s">
        <v>200</v>
      </c>
      <c r="E157" s="4" t="str">
        <f t="shared" si="67"/>
        <v>DTE-MI</v>
      </c>
      <c r="F157" s="4" t="s">
        <v>143</v>
      </c>
      <c r="G157" s="4">
        <v>1</v>
      </c>
      <c r="H157" s="4" t="s">
        <v>190</v>
      </c>
      <c r="I157" s="4"/>
      <c r="J157" s="4" t="s">
        <v>48</v>
      </c>
      <c r="K157" s="5">
        <v>42390.485999999997</v>
      </c>
      <c r="L157" s="5">
        <v>42390.485999999997</v>
      </c>
      <c r="M157" s="8">
        <v>505502.9296875</v>
      </c>
      <c r="N157" s="39"/>
      <c r="O157" s="8">
        <f>SUMIFS(EIAwtransport!$J$2:$J$675,EIAwtransport!$E$2:$E$675,Program_data!$E157,EIAwtransport!$H$2:$H$675,Program_data!$F157,EIAwtransport!$I$2:$I$675,Program_data!O$2)</f>
        <v>0</v>
      </c>
      <c r="P157" s="5">
        <f>SUMIFS(EIAwtransport!$J$2:$J$675,EIAwtransport!$E$2:$E$675,Program_data!$E157,EIAwtransport!$H$2:$H$675,Program_data!$F157,EIAwtransport!$I$2:$I$675,Program_data!P$2)</f>
        <v>0</v>
      </c>
      <c r="Q157" s="5">
        <f>SUMIFS(EIAwtransport!$J$2:$J$675,EIAwtransport!$E$2:$E$675,Program_data!$E157,EIAwtransport!$H$2:$H$675,Program_data!$F157,EIAwtransport!$I$2:$I$675,Program_data!Q$2)</f>
        <v>0</v>
      </c>
      <c r="R157" s="8">
        <f>SUMIFS(EIAwtransport!$J$2:$J$675,EIAwtransport!$E$2:$E$675,Program_data!$E157,EIAwtransport!$I$2:$I$675,Program_data!R$2)</f>
        <v>1280322374</v>
      </c>
      <c r="S157" s="5">
        <f>SUMIFS(EIAwtransport!$J$2:$J$675,EIAwtransport!$E$2:$E$675,Program_data!$E157,EIAwtransport!$I$2:$I$675,Program_data!S$2)</f>
        <v>233428713</v>
      </c>
      <c r="T157" s="5">
        <f>SUMIFS(EIAwtransport!$J$2:$J$675,EIAwtransport!$E$2:$E$675,Program_data!$E157,EIAwtransport!$I$2:$I$675,Program_data!T$2)</f>
        <v>1305155</v>
      </c>
      <c r="U157" s="24">
        <f t="shared" si="53"/>
        <v>1.7528887943171555E-5</v>
      </c>
      <c r="V157" s="24">
        <f t="shared" si="57"/>
        <v>1.7528887943171555E-5</v>
      </c>
      <c r="W157" s="24">
        <f t="shared" si="54"/>
        <v>3.9482472536053645E-4</v>
      </c>
      <c r="X157" s="25">
        <f t="shared" si="55"/>
        <v>2.0903049352718244E-4</v>
      </c>
      <c r="Y157" s="8">
        <f t="shared" si="58"/>
        <v>0.42392457933801059</v>
      </c>
      <c r="Z157" s="27">
        <f t="shared" si="59"/>
        <v>2.6642037056261513E-2</v>
      </c>
      <c r="AA157" s="27"/>
      <c r="AB157" s="27"/>
      <c r="AC157" s="56"/>
      <c r="AD157" s="20"/>
      <c r="AE157" s="20"/>
      <c r="AF157" s="20"/>
    </row>
    <row r="158" spans="2:35" x14ac:dyDescent="0.25">
      <c r="B158" s="4">
        <v>2024</v>
      </c>
      <c r="C158" s="4" t="s">
        <v>199</v>
      </c>
      <c r="D158" s="4" t="s">
        <v>200</v>
      </c>
      <c r="E158" s="4" t="str">
        <f t="shared" ref="E158" si="74">D158&amp;"-"&amp;C158</f>
        <v>DTE-MI</v>
      </c>
      <c r="F158" s="4" t="s">
        <v>143</v>
      </c>
      <c r="G158" s="4">
        <v>1</v>
      </c>
      <c r="H158" s="4" t="s">
        <v>190</v>
      </c>
      <c r="I158" s="4"/>
      <c r="J158" s="4" t="s">
        <v>27</v>
      </c>
      <c r="K158" s="5">
        <f>784459/2</f>
        <v>392229.5</v>
      </c>
      <c r="L158" s="5">
        <f>852673/2</f>
        <v>426336.5</v>
      </c>
      <c r="M158" s="8">
        <f>6715168/2</f>
        <v>3357584</v>
      </c>
      <c r="N158" s="39"/>
      <c r="O158" s="8">
        <f>SUMIFS(EIAwtransport!$J$2:$J$675,EIAwtransport!$E$2:$E$675,Program_data!$E158,EIAwtransport!$H$2:$H$675,Program_data!$F158,EIAwtransport!$I$2:$I$675,Program_data!O$2)</f>
        <v>0</v>
      </c>
      <c r="P158" s="5">
        <f>SUMIFS(EIAwtransport!$J$2:$J$675,EIAwtransport!$E$2:$E$675,Program_data!$E158,EIAwtransport!$H$2:$H$675,Program_data!$F158,EIAwtransport!$I$2:$I$675,Program_data!P$2)</f>
        <v>0</v>
      </c>
      <c r="Q158" s="5">
        <f>SUMIFS(EIAwtransport!$J$2:$J$675,EIAwtransport!$E$2:$E$675,Program_data!$E158,EIAwtransport!$H$2:$H$675,Program_data!$F158,EIAwtransport!$I$2:$I$675,Program_data!Q$2)</f>
        <v>0</v>
      </c>
      <c r="R158" s="8">
        <f>SUMIFS(EIAwtransport!$J$2:$J$675,EIAwtransport!$E$2:$E$675,Program_data!$E158,EIAwtransport!$I$2:$I$675,Program_data!R$2)</f>
        <v>1280322374</v>
      </c>
      <c r="S158" s="5">
        <f>SUMIFS(EIAwtransport!$J$2:$J$675,EIAwtransport!$E$2:$E$675,Program_data!$E158,EIAwtransport!$I$2:$I$675,Program_data!S$2)</f>
        <v>233428713</v>
      </c>
      <c r="T158" s="5">
        <f>SUMIFS(EIAwtransport!$J$2:$J$675,EIAwtransport!$E$2:$E$675,Program_data!$E158,EIAwtransport!$I$2:$I$675,Program_data!T$2)</f>
        <v>1305155</v>
      </c>
      <c r="U158" s="24">
        <f t="shared" si="53"/>
        <v>1.6219080275480226E-4</v>
      </c>
      <c r="V158" s="24">
        <f t="shared" si="57"/>
        <v>1.7629438677782463E-4</v>
      </c>
      <c r="W158" s="24">
        <f t="shared" si="54"/>
        <v>2.6224520231652219E-3</v>
      </c>
      <c r="X158" s="25">
        <f t="shared" si="55"/>
        <v>1.3883944075513955E-3</v>
      </c>
      <c r="Y158" s="8">
        <f t="shared" si="58"/>
        <v>2.81573518411051</v>
      </c>
      <c r="Z158" s="27">
        <f t="shared" si="59"/>
        <v>0.17695817787408311</v>
      </c>
      <c r="AA158" s="27"/>
      <c r="AB158" s="27"/>
      <c r="AC158" s="56">
        <f t="shared" ref="AC158:AC174" si="75">IFERROR(K158/SUMIFS($M$3:$M$1234,$E$3:$E$1234,E158,$B$3:$B$1234,B158),"")</f>
        <v>7.8696078769211267E-3</v>
      </c>
      <c r="AD158" s="20">
        <f t="shared" si="70"/>
        <v>4532738.4000000004</v>
      </c>
      <c r="AE158" s="20">
        <f t="shared" si="61"/>
        <v>0</v>
      </c>
      <c r="AF158" s="20">
        <f t="shared" si="62"/>
        <v>1728435204.9000001</v>
      </c>
      <c r="AG158">
        <f t="shared" si="63"/>
        <v>41372367.660000004</v>
      </c>
      <c r="AH158">
        <f t="shared" si="64"/>
        <v>44969974.020000003</v>
      </c>
      <c r="AI158">
        <f t="shared" si="65"/>
        <v>24622060647.240002</v>
      </c>
    </row>
    <row r="159" spans="2:35" x14ac:dyDescent="0.25">
      <c r="B159" s="4">
        <v>2024</v>
      </c>
      <c r="C159" s="4" t="s">
        <v>199</v>
      </c>
      <c r="D159" s="4" t="s">
        <v>200</v>
      </c>
      <c r="E159" s="4" t="str">
        <f t="shared" si="67"/>
        <v>DTE-MI</v>
      </c>
      <c r="F159" s="4" t="s">
        <v>143</v>
      </c>
      <c r="G159" s="4">
        <v>1</v>
      </c>
      <c r="H159" s="4" t="s">
        <v>190</v>
      </c>
      <c r="I159" s="4"/>
      <c r="J159" s="4" t="s">
        <v>21</v>
      </c>
      <c r="K159" s="5">
        <v>349839.01400000002</v>
      </c>
      <c r="L159" s="5">
        <v>383946.01400000002</v>
      </c>
      <c r="M159" s="8">
        <v>2852081.0703125</v>
      </c>
      <c r="N159" s="39"/>
      <c r="O159" s="8">
        <f>SUMIFS(EIAwtransport!$J$2:$J$675,EIAwtransport!$E$2:$E$675,Program_data!$E159,EIAwtransport!$H$2:$H$675,Program_data!$F159,EIAwtransport!$I$2:$I$675,Program_data!O$2)</f>
        <v>0</v>
      </c>
      <c r="P159" s="5">
        <f>SUMIFS(EIAwtransport!$J$2:$J$675,EIAwtransport!$E$2:$E$675,Program_data!$E159,EIAwtransport!$H$2:$H$675,Program_data!$F159,EIAwtransport!$I$2:$I$675,Program_data!P$2)</f>
        <v>0</v>
      </c>
      <c r="Q159" s="5">
        <f>SUMIFS(EIAwtransport!$J$2:$J$675,EIAwtransport!$E$2:$E$675,Program_data!$E159,EIAwtransport!$H$2:$H$675,Program_data!$F159,EIAwtransport!$I$2:$I$675,Program_data!Q$2)</f>
        <v>0</v>
      </c>
      <c r="R159" s="8">
        <f>SUMIFS(EIAwtransport!$J$2:$J$675,EIAwtransport!$E$2:$E$675,Program_data!$E159,EIAwtransport!$I$2:$I$675,Program_data!R$2)</f>
        <v>1280322374</v>
      </c>
      <c r="S159" s="5">
        <f>SUMIFS(EIAwtransport!$J$2:$J$675,EIAwtransport!$E$2:$E$675,Program_data!$E159,EIAwtransport!$I$2:$I$675,Program_data!S$2)</f>
        <v>233428713</v>
      </c>
      <c r="T159" s="5">
        <f>SUMIFS(EIAwtransport!$J$2:$J$675,EIAwtransport!$E$2:$E$675,Program_data!$E159,EIAwtransport!$I$2:$I$675,Program_data!T$2)</f>
        <v>1305155</v>
      </c>
      <c r="U159" s="24">
        <f t="shared" si="53"/>
        <v>1.4466191481163075E-4</v>
      </c>
      <c r="V159" s="24">
        <f t="shared" si="57"/>
        <v>1.5876549883465308E-4</v>
      </c>
      <c r="W159" s="24">
        <f t="shared" si="54"/>
        <v>2.2276272978046857E-3</v>
      </c>
      <c r="X159" s="25">
        <f t="shared" si="55"/>
        <v>1.179363914024213E-3</v>
      </c>
      <c r="Y159" s="8">
        <f t="shared" si="58"/>
        <v>2.3918106047724992</v>
      </c>
      <c r="Z159" s="27">
        <f t="shared" si="59"/>
        <v>0.1503161408178216</v>
      </c>
      <c r="AA159" s="27"/>
      <c r="AB159" s="27"/>
      <c r="AC159" s="56">
        <f t="shared" si="75"/>
        <v>7.0190943318356224E-3</v>
      </c>
      <c r="AD159" s="20">
        <f t="shared" si="70"/>
        <v>3850309.4449218754</v>
      </c>
      <c r="AE159" s="20">
        <f t="shared" si="61"/>
        <v>0</v>
      </c>
      <c r="AF159" s="20">
        <f t="shared" si="62"/>
        <v>1728435204.9000001</v>
      </c>
      <c r="AG159">
        <f t="shared" si="63"/>
        <v>36901019.196720004</v>
      </c>
      <c r="AH159">
        <f t="shared" si="64"/>
        <v>40498625.556720003</v>
      </c>
      <c r="AI159">
        <f t="shared" si="65"/>
        <v>24622060647.240002</v>
      </c>
    </row>
    <row r="160" spans="2:35" x14ac:dyDescent="0.25">
      <c r="B160" s="4">
        <v>2024</v>
      </c>
      <c r="C160" s="4" t="s">
        <v>199</v>
      </c>
      <c r="D160" s="4" t="s">
        <v>200</v>
      </c>
      <c r="E160" s="4" t="str">
        <f t="shared" si="67"/>
        <v>DTE-MI</v>
      </c>
      <c r="F160" s="4" t="s">
        <v>143</v>
      </c>
      <c r="G160" s="4">
        <v>1</v>
      </c>
      <c r="H160" s="4" t="s">
        <v>235</v>
      </c>
      <c r="I160" s="4" t="s">
        <v>167</v>
      </c>
      <c r="J160" s="4" t="s">
        <v>155</v>
      </c>
      <c r="K160" s="5">
        <v>0</v>
      </c>
      <c r="L160" s="5">
        <v>0</v>
      </c>
      <c r="M160" s="8">
        <v>168026</v>
      </c>
      <c r="N160" s="39"/>
      <c r="O160" s="8">
        <f>SUMIFS(EIAwtransport!$J$2:$J$675,EIAwtransport!$E$2:$E$675,Program_data!$E160,EIAwtransport!$H$2:$H$675,Program_data!$F160,EIAwtransport!$I$2:$I$675,Program_data!O$2)</f>
        <v>0</v>
      </c>
      <c r="P160" s="5">
        <f>SUMIFS(EIAwtransport!$J$2:$J$675,EIAwtransport!$E$2:$E$675,Program_data!$E160,EIAwtransport!$H$2:$H$675,Program_data!$F160,EIAwtransport!$I$2:$I$675,Program_data!P$2)</f>
        <v>0</v>
      </c>
      <c r="Q160" s="5">
        <f>SUMIFS(EIAwtransport!$J$2:$J$675,EIAwtransport!$E$2:$E$675,Program_data!$E160,EIAwtransport!$H$2:$H$675,Program_data!$F160,EIAwtransport!$I$2:$I$675,Program_data!Q$2)</f>
        <v>0</v>
      </c>
      <c r="R160" s="8">
        <f>SUMIFS(EIAwtransport!$J$2:$J$675,EIAwtransport!$E$2:$E$675,Program_data!$E160,EIAwtransport!$I$2:$I$675,Program_data!R$2)</f>
        <v>1280322374</v>
      </c>
      <c r="S160" s="5">
        <f>SUMIFS(EIAwtransport!$J$2:$J$675,EIAwtransport!$E$2:$E$675,Program_data!$E160,EIAwtransport!$I$2:$I$675,Program_data!S$2)</f>
        <v>233428713</v>
      </c>
      <c r="T160" s="5">
        <f>SUMIFS(EIAwtransport!$J$2:$J$675,EIAwtransport!$E$2:$E$675,Program_data!$E160,EIAwtransport!$I$2:$I$675,Program_data!T$2)</f>
        <v>1305155</v>
      </c>
      <c r="U160" s="24">
        <f t="shared" si="53"/>
        <v>0</v>
      </c>
      <c r="V160" s="24">
        <f t="shared" si="57"/>
        <v>0</v>
      </c>
      <c r="W160" s="24">
        <f t="shared" si="54"/>
        <v>1.3123725978094952E-4</v>
      </c>
      <c r="X160" s="25">
        <f t="shared" si="55"/>
        <v>6.9480423638911419E-5</v>
      </c>
      <c r="Y160" s="8">
        <f t="shared" si="58"/>
        <v>0.14090986853801798</v>
      </c>
      <c r="Z160" s="27">
        <f t="shared" si="59"/>
        <v>8.8556458439969597E-3</v>
      </c>
      <c r="AA160" s="27"/>
      <c r="AB160" s="27"/>
      <c r="AC160" s="56">
        <f t="shared" si="75"/>
        <v>0</v>
      </c>
      <c r="AD160" s="20">
        <f t="shared" si="70"/>
        <v>226835.1</v>
      </c>
      <c r="AE160" s="20">
        <f t="shared" si="61"/>
        <v>0</v>
      </c>
      <c r="AF160" s="20">
        <f t="shared" si="62"/>
        <v>1728435204.9000001</v>
      </c>
      <c r="AG160">
        <f t="shared" si="63"/>
        <v>0</v>
      </c>
      <c r="AH160">
        <f t="shared" si="64"/>
        <v>0</v>
      </c>
      <c r="AI160">
        <f t="shared" si="65"/>
        <v>24622060647.240002</v>
      </c>
    </row>
    <row r="161" spans="2:35" x14ac:dyDescent="0.25">
      <c r="B161" s="4">
        <v>2024</v>
      </c>
      <c r="C161" s="4" t="s">
        <v>199</v>
      </c>
      <c r="D161" s="4" t="s">
        <v>200</v>
      </c>
      <c r="E161" s="4" t="str">
        <f t="shared" si="67"/>
        <v>DTE-MI</v>
      </c>
      <c r="F161" s="4" t="s">
        <v>146</v>
      </c>
      <c r="G161" s="4"/>
      <c r="H161" s="4" t="s">
        <v>236</v>
      </c>
      <c r="I161" s="4"/>
      <c r="J161" s="4" t="s">
        <v>21</v>
      </c>
      <c r="K161" s="5">
        <f>462709*10.36</f>
        <v>4793665.2399999993</v>
      </c>
      <c r="L161" s="5">
        <f t="shared" ref="L161:L172" si="76">(K161/92)*100</f>
        <v>5210505.6956521729</v>
      </c>
      <c r="M161" s="8">
        <v>4087295</v>
      </c>
      <c r="N161" s="39"/>
      <c r="O161" s="8">
        <f>SUMIFS(EIAwtransport!$J$2:$J$675,EIAwtransport!$E$2:$E$675,Program_data!$E161,EIAwtransport!$H$2:$H$675,Program_data!$F161,EIAwtransport!$I$2:$I$675,Program_data!O$2)</f>
        <v>348353795</v>
      </c>
      <c r="P161" s="5">
        <f>SUMIFS(EIAwtransport!$J$2:$J$675,EIAwtransport!$E$2:$E$675,Program_data!$E161,EIAwtransport!$H$2:$H$675,Program_data!$F161,EIAwtransport!$I$2:$I$675,Program_data!P$2)</f>
        <v>124635991</v>
      </c>
      <c r="Q161" s="5">
        <f>SUMIFS(EIAwtransport!$J$2:$J$675,EIAwtransport!$E$2:$E$675,Program_data!$E161,EIAwtransport!$H$2:$H$675,Program_data!$F161,EIAwtransport!$I$2:$I$675,Program_data!Q$2)</f>
        <v>90386</v>
      </c>
      <c r="R161" s="8">
        <f>SUMIFS(EIAwtransport!$J$2:$J$675,EIAwtransport!$E$2:$E$675,Program_data!$E161,EIAwtransport!$I$2:$I$675,Program_data!R$2)</f>
        <v>1280322374</v>
      </c>
      <c r="S161" s="5">
        <f>SUMIFS(EIAwtransport!$J$2:$J$675,EIAwtransport!$E$2:$E$675,Program_data!$E161,EIAwtransport!$I$2:$I$675,Program_data!S$2)</f>
        <v>233428713</v>
      </c>
      <c r="T161" s="5">
        <f>SUMIFS(EIAwtransport!$J$2:$J$675,EIAwtransport!$E$2:$E$675,Program_data!$E161,EIAwtransport!$I$2:$I$675,Program_data!T$2)</f>
        <v>1305155</v>
      </c>
      <c r="U161" s="24">
        <f t="shared" si="53"/>
        <v>1.9822282959680282E-3</v>
      </c>
      <c r="V161" s="24">
        <f t="shared" si="57"/>
        <v>2.1545959738782918E-3</v>
      </c>
      <c r="W161" s="24">
        <f t="shared" si="54"/>
        <v>3.1923951990547655E-3</v>
      </c>
      <c r="X161" s="25">
        <f t="shared" si="55"/>
        <v>1.6901371700641832E-3</v>
      </c>
      <c r="Y161" s="8">
        <f t="shared" si="58"/>
        <v>0.40026107791042398</v>
      </c>
      <c r="Z161" s="27">
        <f t="shared" si="59"/>
        <v>0.21541688179174387</v>
      </c>
      <c r="AA161" s="27"/>
      <c r="AB161" s="27"/>
      <c r="AC161" s="56">
        <f t="shared" si="75"/>
        <v>9.6179062849752486E-2</v>
      </c>
      <c r="AD161" s="20">
        <f t="shared" si="70"/>
        <v>5517848.25</v>
      </c>
      <c r="AE161" s="20">
        <f t="shared" si="61"/>
        <v>0</v>
      </c>
      <c r="AF161" s="20">
        <f t="shared" si="62"/>
        <v>1728435204.9000001</v>
      </c>
      <c r="AG161">
        <f t="shared" si="63"/>
        <v>505635809.51519996</v>
      </c>
      <c r="AH161">
        <f t="shared" si="64"/>
        <v>549604140.7773912</v>
      </c>
      <c r="AI161">
        <f t="shared" si="65"/>
        <v>24622060647.240002</v>
      </c>
    </row>
    <row r="162" spans="2:35" x14ac:dyDescent="0.25">
      <c r="B162" s="4">
        <v>2024</v>
      </c>
      <c r="C162" s="4" t="s">
        <v>199</v>
      </c>
      <c r="D162" s="4" t="s">
        <v>200</v>
      </c>
      <c r="E162" s="4" t="str">
        <f t="shared" si="67"/>
        <v>DTE-MI</v>
      </c>
      <c r="F162" s="4" t="s">
        <v>146</v>
      </c>
      <c r="G162" s="4"/>
      <c r="H162" s="4" t="s">
        <v>237</v>
      </c>
      <c r="I162" s="4"/>
      <c r="J162" s="4" t="s">
        <v>21</v>
      </c>
      <c r="K162" s="5">
        <f>221935*10.36</f>
        <v>2299246.6</v>
      </c>
      <c r="L162" s="5">
        <f t="shared" si="76"/>
        <v>2499181.086956522</v>
      </c>
      <c r="M162" s="8">
        <v>2007038</v>
      </c>
      <c r="N162" s="39"/>
      <c r="O162" s="8">
        <f>SUMIFS(EIAwtransport!$J$2:$J$675,EIAwtransport!$E$2:$E$675,Program_data!$E162,EIAwtransport!$H$2:$H$675,Program_data!$F162,EIAwtransport!$I$2:$I$675,Program_data!O$2)</f>
        <v>348353795</v>
      </c>
      <c r="P162" s="5">
        <f>SUMIFS(EIAwtransport!$J$2:$J$675,EIAwtransport!$E$2:$E$675,Program_data!$E162,EIAwtransport!$H$2:$H$675,Program_data!$F162,EIAwtransport!$I$2:$I$675,Program_data!P$2)</f>
        <v>124635991</v>
      </c>
      <c r="Q162" s="5">
        <f>SUMIFS(EIAwtransport!$J$2:$J$675,EIAwtransport!$E$2:$E$675,Program_data!$E162,EIAwtransport!$H$2:$H$675,Program_data!$F162,EIAwtransport!$I$2:$I$675,Program_data!Q$2)</f>
        <v>90386</v>
      </c>
      <c r="R162" s="8">
        <f>SUMIFS(EIAwtransport!$J$2:$J$675,EIAwtransport!$E$2:$E$675,Program_data!$E162,EIAwtransport!$I$2:$I$675,Program_data!R$2)</f>
        <v>1280322374</v>
      </c>
      <c r="S162" s="5">
        <f>SUMIFS(EIAwtransport!$J$2:$J$675,EIAwtransport!$E$2:$E$675,Program_data!$E162,EIAwtransport!$I$2:$I$675,Program_data!S$2)</f>
        <v>233428713</v>
      </c>
      <c r="T162" s="5">
        <f>SUMIFS(EIAwtransport!$J$2:$J$675,EIAwtransport!$E$2:$E$675,Program_data!$E162,EIAwtransport!$I$2:$I$675,Program_data!T$2)</f>
        <v>1305155</v>
      </c>
      <c r="U162" s="24">
        <f t="shared" si="53"/>
        <v>9.5076135727998473E-4</v>
      </c>
      <c r="V162" s="24">
        <f t="shared" si="57"/>
        <v>1.0334362579130269E-3</v>
      </c>
      <c r="W162" s="24">
        <f t="shared" si="54"/>
        <v>1.5676036291778495E-3</v>
      </c>
      <c r="X162" s="25">
        <f t="shared" si="55"/>
        <v>8.2993019234757417E-4</v>
      </c>
      <c r="Y162" s="8">
        <f t="shared" si="58"/>
        <v>0.19654543978038813</v>
      </c>
      <c r="Z162" s="27">
        <f t="shared" si="59"/>
        <v>0.1057789730365775</v>
      </c>
      <c r="AA162" s="27"/>
      <c r="AB162" s="27"/>
      <c r="AC162" s="56">
        <f t="shared" si="75"/>
        <v>4.6131586620445732E-2</v>
      </c>
      <c r="AD162" s="20">
        <f t="shared" si="70"/>
        <v>2709501.3000000003</v>
      </c>
      <c r="AE162" s="20">
        <f t="shared" si="61"/>
        <v>0</v>
      </c>
      <c r="AF162" s="20">
        <f t="shared" si="62"/>
        <v>1728435204.9000001</v>
      </c>
      <c r="AG162">
        <f t="shared" si="63"/>
        <v>242524531.36800003</v>
      </c>
      <c r="AH162">
        <f t="shared" si="64"/>
        <v>263613621.05217394</v>
      </c>
      <c r="AI162">
        <f t="shared" si="65"/>
        <v>24622060647.240002</v>
      </c>
    </row>
    <row r="163" spans="2:35" x14ac:dyDescent="0.25">
      <c r="B163" s="4">
        <v>2024</v>
      </c>
      <c r="C163" s="4" t="s">
        <v>199</v>
      </c>
      <c r="D163" s="4" t="s">
        <v>200</v>
      </c>
      <c r="E163" s="4" t="str">
        <f t="shared" si="67"/>
        <v>DTE-MI</v>
      </c>
      <c r="F163" s="4" t="s">
        <v>146</v>
      </c>
      <c r="G163" s="4"/>
      <c r="H163" s="4" t="s">
        <v>177</v>
      </c>
      <c r="I163" s="4"/>
      <c r="J163" s="4" t="s">
        <v>71</v>
      </c>
      <c r="K163" s="5">
        <f>16892*10.36</f>
        <v>175001.12</v>
      </c>
      <c r="L163" s="5">
        <f t="shared" si="76"/>
        <v>190218.60869565216</v>
      </c>
      <c r="M163" s="8">
        <v>331427</v>
      </c>
      <c r="N163" s="39"/>
      <c r="O163" s="8">
        <f>SUMIFS(EIAwtransport!$J$2:$J$675,EIAwtransport!$E$2:$E$675,Program_data!$E163,EIAwtransport!$H$2:$H$675,Program_data!$F163,EIAwtransport!$I$2:$I$675,Program_data!O$2)</f>
        <v>348353795</v>
      </c>
      <c r="P163" s="5">
        <f>SUMIFS(EIAwtransport!$J$2:$J$675,EIAwtransport!$E$2:$E$675,Program_data!$E163,EIAwtransport!$H$2:$H$675,Program_data!$F163,EIAwtransport!$I$2:$I$675,Program_data!P$2)</f>
        <v>124635991</v>
      </c>
      <c r="Q163" s="5">
        <f>SUMIFS(EIAwtransport!$J$2:$J$675,EIAwtransport!$E$2:$E$675,Program_data!$E163,EIAwtransport!$H$2:$H$675,Program_data!$F163,EIAwtransport!$I$2:$I$675,Program_data!Q$2)</f>
        <v>90386</v>
      </c>
      <c r="R163" s="8">
        <f>SUMIFS(EIAwtransport!$J$2:$J$675,EIAwtransport!$E$2:$E$675,Program_data!$E163,EIAwtransport!$I$2:$I$675,Program_data!R$2)</f>
        <v>1280322374</v>
      </c>
      <c r="S163" s="5">
        <f>SUMIFS(EIAwtransport!$J$2:$J$675,EIAwtransport!$E$2:$E$675,Program_data!$E163,EIAwtransport!$I$2:$I$675,Program_data!S$2)</f>
        <v>233428713</v>
      </c>
      <c r="T163" s="5">
        <f>SUMIFS(EIAwtransport!$J$2:$J$675,EIAwtransport!$E$2:$E$675,Program_data!$E163,EIAwtransport!$I$2:$I$675,Program_data!T$2)</f>
        <v>1305155</v>
      </c>
      <c r="U163" s="24">
        <f t="shared" si="53"/>
        <v>7.2364705193743664E-5</v>
      </c>
      <c r="V163" s="24">
        <f t="shared" si="57"/>
        <v>7.8657288254069203E-5</v>
      </c>
      <c r="W163" s="24">
        <f t="shared" si="54"/>
        <v>2.5886214810458356E-4</v>
      </c>
      <c r="X163" s="25">
        <f t="shared" si="55"/>
        <v>1.3704836373759714E-4</v>
      </c>
      <c r="Y163" s="8">
        <f t="shared" si="58"/>
        <v>3.2456020000665005E-2</v>
      </c>
      <c r="Z163" s="27">
        <f t="shared" si="59"/>
        <v>1.7467535590553727E-2</v>
      </c>
      <c r="AA163" s="27"/>
      <c r="AB163" s="27"/>
      <c r="AC163" s="56">
        <f t="shared" si="75"/>
        <v>3.511184631502779E-3</v>
      </c>
      <c r="AD163" s="20">
        <f t="shared" si="70"/>
        <v>447426.45</v>
      </c>
      <c r="AE163" s="20">
        <f t="shared" si="61"/>
        <v>0</v>
      </c>
      <c r="AF163" s="20">
        <f t="shared" si="62"/>
        <v>1728435204.9000001</v>
      </c>
      <c r="AG163">
        <f t="shared" si="63"/>
        <v>18459118.137600001</v>
      </c>
      <c r="AH163">
        <f t="shared" si="64"/>
        <v>20064258.845217392</v>
      </c>
      <c r="AI163">
        <f t="shared" si="65"/>
        <v>24622060647.240002</v>
      </c>
    </row>
    <row r="164" spans="2:35" x14ac:dyDescent="0.25">
      <c r="B164" s="4">
        <v>2024</v>
      </c>
      <c r="C164" s="4" t="s">
        <v>199</v>
      </c>
      <c r="D164" s="4" t="s">
        <v>200</v>
      </c>
      <c r="E164" s="4" t="str">
        <f t="shared" si="67"/>
        <v>DTE-MI</v>
      </c>
      <c r="F164" s="4" t="s">
        <v>146</v>
      </c>
      <c r="G164" s="4"/>
      <c r="H164" s="4" t="s">
        <v>68</v>
      </c>
      <c r="I164" s="4"/>
      <c r="J164" s="4" t="s">
        <v>68</v>
      </c>
      <c r="K164" s="5">
        <f>75954*10.36</f>
        <v>786883.44</v>
      </c>
      <c r="L164" s="5">
        <f t="shared" si="76"/>
        <v>855308.08695652173</v>
      </c>
      <c r="M164" s="8">
        <v>538338</v>
      </c>
      <c r="N164" s="39"/>
      <c r="O164" s="8">
        <f>SUMIFS(EIAwtransport!$J$2:$J$675,EIAwtransport!$E$2:$E$675,Program_data!$E164,EIAwtransport!$H$2:$H$675,Program_data!$F164,EIAwtransport!$I$2:$I$675,Program_data!O$2)</f>
        <v>348353795</v>
      </c>
      <c r="P164" s="5">
        <f>SUMIFS(EIAwtransport!$J$2:$J$675,EIAwtransport!$E$2:$E$675,Program_data!$E164,EIAwtransport!$H$2:$H$675,Program_data!$F164,EIAwtransport!$I$2:$I$675,Program_data!P$2)</f>
        <v>124635991</v>
      </c>
      <c r="Q164" s="5">
        <f>SUMIFS(EIAwtransport!$J$2:$J$675,EIAwtransport!$E$2:$E$675,Program_data!$E164,EIAwtransport!$H$2:$H$675,Program_data!$F164,EIAwtransport!$I$2:$I$675,Program_data!Q$2)</f>
        <v>90386</v>
      </c>
      <c r="R164" s="8">
        <f>SUMIFS(EIAwtransport!$J$2:$J$675,EIAwtransport!$E$2:$E$675,Program_data!$E164,EIAwtransport!$I$2:$I$675,Program_data!R$2)</f>
        <v>1280322374</v>
      </c>
      <c r="S164" s="5">
        <f>SUMIFS(EIAwtransport!$J$2:$J$675,EIAwtransport!$E$2:$E$675,Program_data!$E164,EIAwtransport!$I$2:$I$675,Program_data!S$2)</f>
        <v>233428713</v>
      </c>
      <c r="T164" s="5">
        <f>SUMIFS(EIAwtransport!$J$2:$J$675,EIAwtransport!$E$2:$E$675,Program_data!$E164,EIAwtransport!$I$2:$I$675,Program_data!T$2)</f>
        <v>1305155</v>
      </c>
      <c r="U164" s="24">
        <f t="shared" si="53"/>
        <v>3.2538413558404016E-4</v>
      </c>
      <c r="V164" s="24">
        <f t="shared" si="57"/>
        <v>3.5367840824352195E-4</v>
      </c>
      <c r="W164" s="24">
        <f t="shared" si="54"/>
        <v>4.2047066499206553E-4</v>
      </c>
      <c r="X164" s="25">
        <f t="shared" si="55"/>
        <v>2.2260812196281705E-4</v>
      </c>
      <c r="Y164" s="8">
        <f t="shared" si="58"/>
        <v>5.2718423348483978E-2</v>
      </c>
      <c r="Z164" s="27">
        <f t="shared" si="59"/>
        <v>2.8372577293785697E-2</v>
      </c>
      <c r="AA164" s="27"/>
      <c r="AB164" s="27"/>
      <c r="AC164" s="56">
        <f t="shared" si="75"/>
        <v>1.5787859193769953E-2</v>
      </c>
      <c r="AD164" s="20">
        <f t="shared" si="70"/>
        <v>726756.3</v>
      </c>
      <c r="AE164" s="20">
        <f t="shared" si="61"/>
        <v>0</v>
      </c>
      <c r="AF164" s="20">
        <f t="shared" si="62"/>
        <v>1728435204.9000001</v>
      </c>
      <c r="AG164">
        <f t="shared" si="63"/>
        <v>83000465.251199991</v>
      </c>
      <c r="AH164">
        <f t="shared" si="64"/>
        <v>90217897.012173921</v>
      </c>
      <c r="AI164">
        <f t="shared" si="65"/>
        <v>24622060647.240002</v>
      </c>
    </row>
    <row r="165" spans="2:35" x14ac:dyDescent="0.25">
      <c r="B165" s="4">
        <v>2024</v>
      </c>
      <c r="C165" s="4" t="s">
        <v>199</v>
      </c>
      <c r="D165" s="4" t="s">
        <v>200</v>
      </c>
      <c r="E165" s="4" t="str">
        <f t="shared" si="67"/>
        <v>DTE-MI</v>
      </c>
      <c r="F165" s="4" t="s">
        <v>146</v>
      </c>
      <c r="G165" s="4"/>
      <c r="H165" s="4" t="s">
        <v>238</v>
      </c>
      <c r="I165" s="4"/>
      <c r="J165" s="4" t="s">
        <v>75</v>
      </c>
      <c r="K165" s="5">
        <f>37592*10.36</f>
        <v>389453.12</v>
      </c>
      <c r="L165" s="5">
        <f t="shared" si="76"/>
        <v>423318.60869565216</v>
      </c>
      <c r="M165" s="8">
        <v>910560</v>
      </c>
      <c r="N165" s="39"/>
      <c r="O165" s="8">
        <f>SUMIFS(EIAwtransport!$J$2:$J$675,EIAwtransport!$E$2:$E$675,Program_data!$E165,EIAwtransport!$H$2:$H$675,Program_data!$F165,EIAwtransport!$I$2:$I$675,Program_data!O$2)</f>
        <v>348353795</v>
      </c>
      <c r="P165" s="5">
        <f>SUMIFS(EIAwtransport!$J$2:$J$675,EIAwtransport!$E$2:$E$675,Program_data!$E165,EIAwtransport!$H$2:$H$675,Program_data!$F165,EIAwtransport!$I$2:$I$675,Program_data!P$2)</f>
        <v>124635991</v>
      </c>
      <c r="Q165" s="5">
        <f>SUMIFS(EIAwtransport!$J$2:$J$675,EIAwtransport!$E$2:$E$675,Program_data!$E165,EIAwtransport!$H$2:$H$675,Program_data!$F165,EIAwtransport!$I$2:$I$675,Program_data!Q$2)</f>
        <v>90386</v>
      </c>
      <c r="R165" s="8">
        <f>SUMIFS(EIAwtransport!$J$2:$J$675,EIAwtransport!$E$2:$E$675,Program_data!$E165,EIAwtransport!$I$2:$I$675,Program_data!R$2)</f>
        <v>1280322374</v>
      </c>
      <c r="S165" s="5">
        <f>SUMIFS(EIAwtransport!$J$2:$J$675,EIAwtransport!$E$2:$E$675,Program_data!$E165,EIAwtransport!$I$2:$I$675,Program_data!S$2)</f>
        <v>233428713</v>
      </c>
      <c r="T165" s="5">
        <f>SUMIFS(EIAwtransport!$J$2:$J$675,EIAwtransport!$E$2:$E$675,Program_data!$E165,EIAwtransport!$I$2:$I$675,Program_data!T$2)</f>
        <v>1305155</v>
      </c>
      <c r="U165" s="24">
        <f t="shared" si="53"/>
        <v>1.6104274198692944E-4</v>
      </c>
      <c r="V165" s="24">
        <f t="shared" si="57"/>
        <v>1.7504645868144503E-4</v>
      </c>
      <c r="W165" s="24">
        <f t="shared" si="54"/>
        <v>7.1119588198339178E-4</v>
      </c>
      <c r="X165" s="25">
        <f t="shared" si="55"/>
        <v>3.7652562430009155E-4</v>
      </c>
      <c r="Y165" s="8">
        <f t="shared" si="58"/>
        <v>8.9169420632011054E-2</v>
      </c>
      <c r="Z165" s="27">
        <f t="shared" si="59"/>
        <v>4.7990173423814599E-2</v>
      </c>
      <c r="AA165" s="27"/>
      <c r="AB165" s="27"/>
      <c r="AC165" s="56">
        <f t="shared" si="75"/>
        <v>7.8139031889327762E-3</v>
      </c>
      <c r="AD165" s="20">
        <f t="shared" si="70"/>
        <v>1229256</v>
      </c>
      <c r="AE165" s="20">
        <f t="shared" si="61"/>
        <v>0</v>
      </c>
      <c r="AF165" s="20">
        <f t="shared" si="62"/>
        <v>1728435204.9000001</v>
      </c>
      <c r="AG165">
        <f t="shared" si="63"/>
        <v>41079515.097599998</v>
      </c>
      <c r="AH165">
        <f t="shared" si="64"/>
        <v>44651646.845217392</v>
      </c>
      <c r="AI165">
        <f t="shared" si="65"/>
        <v>24622060647.240002</v>
      </c>
    </row>
    <row r="166" spans="2:35" x14ac:dyDescent="0.25">
      <c r="B166" s="4">
        <v>2024</v>
      </c>
      <c r="C166" s="4" t="s">
        <v>199</v>
      </c>
      <c r="D166" s="4" t="s">
        <v>200</v>
      </c>
      <c r="E166" s="4" t="str">
        <f t="shared" si="67"/>
        <v>DTE-MI</v>
      </c>
      <c r="F166" s="4" t="s">
        <v>146</v>
      </c>
      <c r="G166" s="4"/>
      <c r="H166" s="4" t="s">
        <v>239</v>
      </c>
      <c r="I166" s="4"/>
      <c r="J166" s="4" t="s">
        <v>21</v>
      </c>
      <c r="K166" s="5">
        <f>14449*10.36</f>
        <v>149691.63999999998</v>
      </c>
      <c r="L166" s="5">
        <f t="shared" si="76"/>
        <v>162708.30434782605</v>
      </c>
      <c r="M166" s="8">
        <v>526951</v>
      </c>
      <c r="N166" s="39"/>
      <c r="O166" s="8">
        <f>SUMIFS(EIAwtransport!$J$2:$J$675,EIAwtransport!$E$2:$E$675,Program_data!$E166,EIAwtransport!$H$2:$H$675,Program_data!$F166,EIAwtransport!$I$2:$I$675,Program_data!O$2)</f>
        <v>348353795</v>
      </c>
      <c r="P166" s="5">
        <f>SUMIFS(EIAwtransport!$J$2:$J$675,EIAwtransport!$E$2:$E$675,Program_data!$E166,EIAwtransport!$H$2:$H$675,Program_data!$F166,EIAwtransport!$I$2:$I$675,Program_data!P$2)</f>
        <v>124635991</v>
      </c>
      <c r="Q166" s="5">
        <f>SUMIFS(EIAwtransport!$J$2:$J$675,EIAwtransport!$E$2:$E$675,Program_data!$E166,EIAwtransport!$H$2:$H$675,Program_data!$F166,EIAwtransport!$I$2:$I$675,Program_data!Q$2)</f>
        <v>90386</v>
      </c>
      <c r="R166" s="8">
        <f>SUMIFS(EIAwtransport!$J$2:$J$675,EIAwtransport!$E$2:$E$675,Program_data!$E166,EIAwtransport!$I$2:$I$675,Program_data!R$2)</f>
        <v>1280322374</v>
      </c>
      <c r="S166" s="5">
        <f>SUMIFS(EIAwtransport!$J$2:$J$675,EIAwtransport!$E$2:$E$675,Program_data!$E166,EIAwtransport!$I$2:$I$675,Program_data!S$2)</f>
        <v>233428713</v>
      </c>
      <c r="T166" s="5">
        <f>SUMIFS(EIAwtransport!$J$2:$J$675,EIAwtransport!$E$2:$E$675,Program_data!$E166,EIAwtransport!$I$2:$I$675,Program_data!T$2)</f>
        <v>1305155</v>
      </c>
      <c r="U166" s="24">
        <f t="shared" si="53"/>
        <v>6.1898983266895702E-5</v>
      </c>
      <c r="V166" s="24">
        <f t="shared" si="57"/>
        <v>6.7281503550973578E-5</v>
      </c>
      <c r="W166" s="24">
        <f t="shared" si="54"/>
        <v>4.1157681120083278E-4</v>
      </c>
      <c r="X166" s="25">
        <f t="shared" si="55"/>
        <v>2.1789948410929269E-4</v>
      </c>
      <c r="Y166" s="8">
        <f t="shared" si="58"/>
        <v>5.1603315950029496E-2</v>
      </c>
      <c r="Z166" s="27">
        <f t="shared" si="59"/>
        <v>2.7772436605882671E-2</v>
      </c>
      <c r="AA166" s="27"/>
      <c r="AB166" s="27"/>
      <c r="AC166" s="56">
        <f t="shared" si="75"/>
        <v>3.0033806974060885E-3</v>
      </c>
      <c r="AD166" s="20">
        <f t="shared" si="70"/>
        <v>711383.85000000009</v>
      </c>
      <c r="AE166" s="20">
        <f t="shared" si="61"/>
        <v>0</v>
      </c>
      <c r="AF166" s="20">
        <f t="shared" si="62"/>
        <v>1728435204.9000001</v>
      </c>
      <c r="AG166">
        <f t="shared" si="63"/>
        <v>15789474.187199999</v>
      </c>
      <c r="AH166">
        <f t="shared" si="64"/>
        <v>17162471.942608692</v>
      </c>
      <c r="AI166">
        <f t="shared" si="65"/>
        <v>24622060647.240002</v>
      </c>
    </row>
    <row r="167" spans="2:35" x14ac:dyDescent="0.25">
      <c r="B167" s="4">
        <v>2024</v>
      </c>
      <c r="C167" s="4" t="s">
        <v>199</v>
      </c>
      <c r="D167" s="4" t="s">
        <v>200</v>
      </c>
      <c r="E167" s="4" t="str">
        <f t="shared" si="67"/>
        <v>DTE-MI</v>
      </c>
      <c r="F167" s="4" t="s">
        <v>146</v>
      </c>
      <c r="G167" s="4"/>
      <c r="H167" s="4" t="s">
        <v>240</v>
      </c>
      <c r="I167" s="4"/>
      <c r="J167" s="4" t="s">
        <v>21</v>
      </c>
      <c r="K167" s="5">
        <f>40429*10.36</f>
        <v>418844.44</v>
      </c>
      <c r="L167" s="5">
        <f t="shared" si="76"/>
        <v>455265.69565217389</v>
      </c>
      <c r="M167" s="8">
        <v>1139134</v>
      </c>
      <c r="N167" s="39"/>
      <c r="O167" s="8">
        <f>SUMIFS(EIAwtransport!$J$2:$J$675,EIAwtransport!$E$2:$E$675,Program_data!$E167,EIAwtransport!$H$2:$H$675,Program_data!$F167,EIAwtransport!$I$2:$I$675,Program_data!O$2)</f>
        <v>348353795</v>
      </c>
      <c r="P167" s="5">
        <f>SUMIFS(EIAwtransport!$J$2:$J$675,EIAwtransport!$E$2:$E$675,Program_data!$E167,EIAwtransport!$H$2:$H$675,Program_data!$F167,EIAwtransport!$I$2:$I$675,Program_data!P$2)</f>
        <v>124635991</v>
      </c>
      <c r="Q167" s="5">
        <f>SUMIFS(EIAwtransport!$J$2:$J$675,EIAwtransport!$E$2:$E$675,Program_data!$E167,EIAwtransport!$H$2:$H$675,Program_data!$F167,EIAwtransport!$I$2:$I$675,Program_data!Q$2)</f>
        <v>90386</v>
      </c>
      <c r="R167" s="8">
        <f>SUMIFS(EIAwtransport!$J$2:$J$675,EIAwtransport!$E$2:$E$675,Program_data!$E167,EIAwtransport!$I$2:$I$675,Program_data!R$2)</f>
        <v>1280322374</v>
      </c>
      <c r="S167" s="5">
        <f>SUMIFS(EIAwtransport!$J$2:$J$675,EIAwtransport!$E$2:$E$675,Program_data!$E167,EIAwtransport!$I$2:$I$675,Program_data!S$2)</f>
        <v>233428713</v>
      </c>
      <c r="T167" s="5">
        <f>SUMIFS(EIAwtransport!$J$2:$J$675,EIAwtransport!$E$2:$E$675,Program_data!$E167,EIAwtransport!$I$2:$I$675,Program_data!T$2)</f>
        <v>1305155</v>
      </c>
      <c r="U167" s="24">
        <f t="shared" si="53"/>
        <v>1.7319634538703901E-4</v>
      </c>
      <c r="V167" s="24">
        <f t="shared" si="57"/>
        <v>1.8825689715982501E-4</v>
      </c>
      <c r="W167" s="24">
        <f t="shared" si="54"/>
        <v>8.8972435625029548E-4</v>
      </c>
      <c r="X167" s="25">
        <f t="shared" si="55"/>
        <v>4.7104324867275132E-4</v>
      </c>
      <c r="Y167" s="8">
        <f t="shared" si="58"/>
        <v>0.11155324064556459</v>
      </c>
      <c r="Z167" s="27">
        <f t="shared" si="59"/>
        <v>6.0036942335445903E-2</v>
      </c>
      <c r="AA167" s="27"/>
      <c r="AB167" s="27"/>
      <c r="AC167" s="56">
        <f t="shared" si="75"/>
        <v>8.4036042781805501E-3</v>
      </c>
      <c r="AD167" s="20">
        <f t="shared" si="70"/>
        <v>1537830.9000000001</v>
      </c>
      <c r="AE167" s="20">
        <f t="shared" si="61"/>
        <v>0</v>
      </c>
      <c r="AF167" s="20">
        <f t="shared" si="62"/>
        <v>1728435204.9000001</v>
      </c>
      <c r="AG167">
        <f t="shared" si="63"/>
        <v>44179711.531199999</v>
      </c>
      <c r="AH167">
        <f t="shared" si="64"/>
        <v>48021425.577391304</v>
      </c>
      <c r="AI167">
        <f t="shared" si="65"/>
        <v>24622060647.240002</v>
      </c>
    </row>
    <row r="168" spans="2:35" x14ac:dyDescent="0.25">
      <c r="B168" s="4">
        <v>2024</v>
      </c>
      <c r="C168" s="4" t="s">
        <v>199</v>
      </c>
      <c r="D168" s="4" t="s">
        <v>200</v>
      </c>
      <c r="E168" s="4" t="str">
        <f t="shared" ref="E168" si="77">D168&amp;"-"&amp;C168</f>
        <v>DTE-MI</v>
      </c>
      <c r="F168" s="4" t="s">
        <v>146</v>
      </c>
      <c r="G168" s="4"/>
      <c r="H168" s="4" t="s">
        <v>219</v>
      </c>
      <c r="I168" s="4"/>
      <c r="J168" s="4" t="s">
        <v>27</v>
      </c>
      <c r="K168" s="5">
        <f>55157/2</f>
        <v>27578.5</v>
      </c>
      <c r="L168" s="5">
        <f>59953/2</f>
        <v>29976.5</v>
      </c>
      <c r="M168" s="8">
        <f>103089/2</f>
        <v>51544.5</v>
      </c>
      <c r="N168" s="39"/>
      <c r="O168" s="8">
        <f>SUMIFS(EIAwtransport!$J$2:$J$675,EIAwtransport!$E$2:$E$675,Program_data!$E168,EIAwtransport!$H$2:$H$675,Program_data!$F168,EIAwtransport!$I$2:$I$675,Program_data!O$2)</f>
        <v>348353795</v>
      </c>
      <c r="P168" s="5">
        <f>SUMIFS(EIAwtransport!$J$2:$J$675,EIAwtransport!$E$2:$E$675,Program_data!$E168,EIAwtransport!$H$2:$H$675,Program_data!$F168,EIAwtransport!$I$2:$I$675,Program_data!P$2)</f>
        <v>124635991</v>
      </c>
      <c r="Q168" s="5">
        <f>SUMIFS(EIAwtransport!$J$2:$J$675,EIAwtransport!$E$2:$E$675,Program_data!$E168,EIAwtransport!$H$2:$H$675,Program_data!$F168,EIAwtransport!$I$2:$I$675,Program_data!Q$2)</f>
        <v>90386</v>
      </c>
      <c r="R168" s="8">
        <f>SUMIFS(EIAwtransport!$J$2:$J$675,EIAwtransport!$E$2:$E$675,Program_data!$E168,EIAwtransport!$I$2:$I$675,Program_data!R$2)</f>
        <v>1280322374</v>
      </c>
      <c r="S168" s="5">
        <f>SUMIFS(EIAwtransport!$J$2:$J$675,EIAwtransport!$E$2:$E$675,Program_data!$E168,EIAwtransport!$I$2:$I$675,Program_data!S$2)</f>
        <v>233428713</v>
      </c>
      <c r="T168" s="5">
        <f>SUMIFS(EIAwtransport!$J$2:$J$675,EIAwtransport!$E$2:$E$675,Program_data!$E168,EIAwtransport!$I$2:$I$675,Program_data!T$2)</f>
        <v>1305155</v>
      </c>
      <c r="U168" s="24">
        <f t="shared" si="53"/>
        <v>1.1403984284132924E-5</v>
      </c>
      <c r="V168" s="24">
        <f t="shared" si="57"/>
        <v>1.2395581155367789E-5</v>
      </c>
      <c r="W168" s="24">
        <f t="shared" si="54"/>
        <v>4.0259001206831993E-5</v>
      </c>
      <c r="X168" s="25">
        <f t="shared" si="55"/>
        <v>2.1314163857116575E-5</v>
      </c>
      <c r="Y168" s="8">
        <f t="shared" si="58"/>
        <v>5.0476555106381722E-3</v>
      </c>
      <c r="Z168" s="27">
        <f t="shared" si="59"/>
        <v>2.7166024139472539E-3</v>
      </c>
      <c r="AA168" s="27"/>
      <c r="AB168" s="27"/>
      <c r="AC168" s="56">
        <f t="shared" si="75"/>
        <v>5.5332906075057913E-4</v>
      </c>
      <c r="AD168" s="20">
        <f t="shared" si="70"/>
        <v>69585.075000000012</v>
      </c>
      <c r="AE168" s="20">
        <f t="shared" si="61"/>
        <v>0</v>
      </c>
      <c r="AF168" s="20">
        <f t="shared" si="62"/>
        <v>1728435204.9000001</v>
      </c>
      <c r="AG168">
        <f t="shared" si="63"/>
        <v>2908980.18</v>
      </c>
      <c r="AH168">
        <f t="shared" si="64"/>
        <v>3161921.22</v>
      </c>
      <c r="AI168">
        <f t="shared" si="65"/>
        <v>24622060647.240002</v>
      </c>
    </row>
    <row r="169" spans="2:35" x14ac:dyDescent="0.25">
      <c r="B169" s="4">
        <v>2024</v>
      </c>
      <c r="C169" s="4" t="s">
        <v>199</v>
      </c>
      <c r="D169" s="4" t="s">
        <v>200</v>
      </c>
      <c r="E169" s="4" t="str">
        <f t="shared" si="67"/>
        <v>DTE-MI</v>
      </c>
      <c r="F169" s="4" t="s">
        <v>146</v>
      </c>
      <c r="G169" s="4"/>
      <c r="H169" s="4" t="s">
        <v>219</v>
      </c>
      <c r="I169" s="4"/>
      <c r="J169" s="4" t="s">
        <v>21</v>
      </c>
      <c r="K169" s="5">
        <f>5324*10.36</f>
        <v>55156.639999999999</v>
      </c>
      <c r="L169" s="5">
        <f t="shared" si="76"/>
        <v>59952.869565217392</v>
      </c>
      <c r="M169" s="8">
        <v>103089</v>
      </c>
      <c r="N169" s="39"/>
      <c r="O169" s="8">
        <f>SUMIFS(EIAwtransport!$J$2:$J$675,EIAwtransport!$E$2:$E$675,Program_data!$E169,EIAwtransport!$H$2:$H$675,Program_data!$F169,EIAwtransport!$I$2:$I$675,Program_data!O$2)</f>
        <v>348353795</v>
      </c>
      <c r="P169" s="5">
        <f>SUMIFS(EIAwtransport!$J$2:$J$675,EIAwtransport!$E$2:$E$675,Program_data!$E169,EIAwtransport!$H$2:$H$675,Program_data!$F169,EIAwtransport!$I$2:$I$675,Program_data!P$2)</f>
        <v>124635991</v>
      </c>
      <c r="Q169" s="5">
        <f>SUMIFS(EIAwtransport!$J$2:$J$675,EIAwtransport!$E$2:$E$675,Program_data!$E169,EIAwtransport!$H$2:$H$675,Program_data!$F169,EIAwtransport!$I$2:$I$675,Program_data!Q$2)</f>
        <v>90386</v>
      </c>
      <c r="R169" s="8">
        <f>SUMIFS(EIAwtransport!$J$2:$J$675,EIAwtransport!$E$2:$E$675,Program_data!$E169,EIAwtransport!$I$2:$I$675,Program_data!R$2)</f>
        <v>1280322374</v>
      </c>
      <c r="S169" s="5">
        <f>SUMIFS(EIAwtransport!$J$2:$J$675,EIAwtransport!$E$2:$E$675,Program_data!$E169,EIAwtransport!$I$2:$I$675,Program_data!S$2)</f>
        <v>233428713</v>
      </c>
      <c r="T169" s="5">
        <f>SUMIFS(EIAwtransport!$J$2:$J$675,EIAwtransport!$E$2:$E$675,Program_data!$E169,EIAwtransport!$I$2:$I$675,Program_data!T$2)</f>
        <v>1305155</v>
      </c>
      <c r="U169" s="24">
        <f t="shared" si="53"/>
        <v>2.2807819704682173E-5</v>
      </c>
      <c r="V169" s="24">
        <f t="shared" si="57"/>
        <v>2.479110837465454E-5</v>
      </c>
      <c r="W169" s="24">
        <f t="shared" si="54"/>
        <v>8.0518002413663986E-5</v>
      </c>
      <c r="X169" s="25">
        <f t="shared" si="55"/>
        <v>4.262832771423315E-5</v>
      </c>
      <c r="Y169" s="8">
        <f t="shared" si="58"/>
        <v>1.0095311021276344E-2</v>
      </c>
      <c r="Z169" s="27">
        <f t="shared" si="59"/>
        <v>5.4332048278945078E-3</v>
      </c>
      <c r="AA169" s="27"/>
      <c r="AB169" s="27"/>
      <c r="AC169" s="56">
        <f t="shared" si="75"/>
        <v>1.1066508985390004E-3</v>
      </c>
      <c r="AD169" s="20">
        <f t="shared" si="70"/>
        <v>139170.15000000002</v>
      </c>
      <c r="AE169" s="20">
        <f t="shared" si="61"/>
        <v>0</v>
      </c>
      <c r="AF169" s="20">
        <f t="shared" si="62"/>
        <v>1728435204.9000001</v>
      </c>
      <c r="AG169">
        <f t="shared" si="63"/>
        <v>5817922.3871999998</v>
      </c>
      <c r="AH169">
        <f t="shared" si="64"/>
        <v>6323828.681739131</v>
      </c>
      <c r="AI169">
        <f t="shared" si="65"/>
        <v>24622060647.240002</v>
      </c>
    </row>
    <row r="170" spans="2:35" x14ac:dyDescent="0.25">
      <c r="B170" s="4">
        <v>2024</v>
      </c>
      <c r="C170" s="4" t="s">
        <v>199</v>
      </c>
      <c r="D170" s="4" t="s">
        <v>200</v>
      </c>
      <c r="E170" s="4" t="str">
        <f t="shared" si="67"/>
        <v>DTE-MI</v>
      </c>
      <c r="F170" s="4" t="s">
        <v>146</v>
      </c>
      <c r="G170" s="4"/>
      <c r="H170" s="4" t="s">
        <v>220</v>
      </c>
      <c r="I170" s="4"/>
      <c r="J170" s="4" t="s">
        <v>21</v>
      </c>
      <c r="K170" s="5">
        <f>14546*10.36</f>
        <v>150696.56</v>
      </c>
      <c r="L170" s="5">
        <f t="shared" si="76"/>
        <v>163800.60869565219</v>
      </c>
      <c r="M170" s="8">
        <v>539542</v>
      </c>
      <c r="N170" s="39"/>
      <c r="O170" s="8">
        <f>SUMIFS(EIAwtransport!$J$2:$J$675,EIAwtransport!$E$2:$E$675,Program_data!$E170,EIAwtransport!$H$2:$H$675,Program_data!$F170,EIAwtransport!$I$2:$I$675,Program_data!O$2)</f>
        <v>348353795</v>
      </c>
      <c r="P170" s="5">
        <f>SUMIFS(EIAwtransport!$J$2:$J$675,EIAwtransport!$E$2:$E$675,Program_data!$E170,EIAwtransport!$H$2:$H$675,Program_data!$F170,EIAwtransport!$I$2:$I$675,Program_data!P$2)</f>
        <v>124635991</v>
      </c>
      <c r="Q170" s="5">
        <f>SUMIFS(EIAwtransport!$J$2:$J$675,EIAwtransport!$E$2:$E$675,Program_data!$E170,EIAwtransport!$H$2:$H$675,Program_data!$F170,EIAwtransport!$I$2:$I$675,Program_data!Q$2)</f>
        <v>90386</v>
      </c>
      <c r="R170" s="8">
        <f>SUMIFS(EIAwtransport!$J$2:$J$675,EIAwtransport!$E$2:$E$675,Program_data!$E170,EIAwtransport!$I$2:$I$675,Program_data!R$2)</f>
        <v>1280322374</v>
      </c>
      <c r="S170" s="5">
        <f>SUMIFS(EIAwtransport!$J$2:$J$675,EIAwtransport!$E$2:$E$675,Program_data!$E170,EIAwtransport!$I$2:$I$675,Program_data!S$2)</f>
        <v>233428713</v>
      </c>
      <c r="T170" s="5">
        <f>SUMIFS(EIAwtransport!$J$2:$J$675,EIAwtransport!$E$2:$E$675,Program_data!$E170,EIAwtransport!$I$2:$I$675,Program_data!T$2)</f>
        <v>1305155</v>
      </c>
      <c r="U170" s="24">
        <f t="shared" si="53"/>
        <v>6.2314527690515944E-5</v>
      </c>
      <c r="V170" s="24">
        <f t="shared" si="57"/>
        <v>6.7733182272299952E-5</v>
      </c>
      <c r="W170" s="24">
        <f t="shared" si="54"/>
        <v>4.2141105315089965E-4</v>
      </c>
      <c r="X170" s="25">
        <f t="shared" si="55"/>
        <v>2.2310598794820767E-4</v>
      </c>
      <c r="Y170" s="8">
        <f t="shared" si="58"/>
        <v>5.2836328793969108E-2</v>
      </c>
      <c r="Z170" s="27">
        <f t="shared" si="59"/>
        <v>2.8436032935151748E-2</v>
      </c>
      <c r="AA170" s="27"/>
      <c r="AB170" s="27"/>
      <c r="AC170" s="56">
        <f t="shared" si="75"/>
        <v>3.0235431949940457E-3</v>
      </c>
      <c r="AD170" s="20">
        <f t="shared" si="70"/>
        <v>728381.70000000007</v>
      </c>
      <c r="AE170" s="20">
        <f t="shared" si="61"/>
        <v>0</v>
      </c>
      <c r="AF170" s="20">
        <f t="shared" si="62"/>
        <v>1728435204.9000001</v>
      </c>
      <c r="AG170">
        <f t="shared" si="63"/>
        <v>15895473.148800001</v>
      </c>
      <c r="AH170">
        <f t="shared" si="64"/>
        <v>17277688.205217395</v>
      </c>
      <c r="AI170">
        <f t="shared" si="65"/>
        <v>24622060647.240002</v>
      </c>
    </row>
    <row r="171" spans="2:35" x14ac:dyDescent="0.25">
      <c r="B171" s="4">
        <v>2024</v>
      </c>
      <c r="C171" s="4" t="s">
        <v>199</v>
      </c>
      <c r="D171" s="4" t="s">
        <v>200</v>
      </c>
      <c r="E171" s="4" t="str">
        <f t="shared" ref="E171:E173" si="78">D171&amp;"-"&amp;C171</f>
        <v>DTE-MI</v>
      </c>
      <c r="F171" s="4" t="s">
        <v>146</v>
      </c>
      <c r="G171" s="4"/>
      <c r="H171" s="4" t="s">
        <v>230</v>
      </c>
      <c r="I171" s="4"/>
      <c r="J171" s="4" t="s">
        <v>21</v>
      </c>
      <c r="K171" s="5">
        <f>26782*10.36</f>
        <v>277461.51999999996</v>
      </c>
      <c r="L171" s="5">
        <f t="shared" si="76"/>
        <v>301588.60869565216</v>
      </c>
      <c r="M171" s="8">
        <v>250000</v>
      </c>
      <c r="N171" s="39"/>
      <c r="O171" s="8">
        <f>SUMIFS(EIAwtransport!$J$2:$J$675,EIAwtransport!$E$2:$E$675,Program_data!$E171,EIAwtransport!$H$2:$H$675,Program_data!$F171,EIAwtransport!$I$2:$I$675,Program_data!O$2)</f>
        <v>348353795</v>
      </c>
      <c r="P171" s="5">
        <f>SUMIFS(EIAwtransport!$J$2:$J$675,EIAwtransport!$E$2:$E$675,Program_data!$E171,EIAwtransport!$H$2:$H$675,Program_data!$F171,EIAwtransport!$I$2:$I$675,Program_data!P$2)</f>
        <v>124635991</v>
      </c>
      <c r="Q171" s="5">
        <f>SUMIFS(EIAwtransport!$J$2:$J$675,EIAwtransport!$E$2:$E$675,Program_data!$E171,EIAwtransport!$H$2:$H$675,Program_data!$F171,EIAwtransport!$I$2:$I$675,Program_data!Q$2)</f>
        <v>90386</v>
      </c>
      <c r="R171" s="8">
        <f>SUMIFS(EIAwtransport!$J$2:$J$675,EIAwtransport!$E$2:$E$675,Program_data!$E171,EIAwtransport!$I$2:$I$675,Program_data!R$2)</f>
        <v>1280322374</v>
      </c>
      <c r="S171" s="5">
        <f>SUMIFS(EIAwtransport!$J$2:$J$675,EIAwtransport!$E$2:$E$675,Program_data!$E171,EIAwtransport!$I$2:$I$675,Program_data!S$2)</f>
        <v>233428713</v>
      </c>
      <c r="T171" s="5">
        <f>SUMIFS(EIAwtransport!$J$2:$J$675,EIAwtransport!$E$2:$E$675,Program_data!$E171,EIAwtransport!$I$2:$I$675,Program_data!T$2)</f>
        <v>1305155</v>
      </c>
      <c r="U171" s="24">
        <f t="shared" si="53"/>
        <v>1.1473310055048797E-4</v>
      </c>
      <c r="V171" s="24">
        <f t="shared" si="57"/>
        <v>1.2470989190270434E-4</v>
      </c>
      <c r="W171" s="24">
        <f t="shared" si="54"/>
        <v>1.9526332201705318E-4</v>
      </c>
      <c r="X171" s="25">
        <f t="shared" si="55"/>
        <v>1.0337748866084924E-4</v>
      </c>
      <c r="Y171" s="8">
        <f t="shared" si="58"/>
        <v>2.4482027717012349E-2</v>
      </c>
      <c r="Z171" s="27">
        <f t="shared" si="59"/>
        <v>1.3176005267037482E-2</v>
      </c>
      <c r="AA171" s="27"/>
      <c r="AB171" s="27"/>
      <c r="AC171" s="56">
        <f t="shared" si="75"/>
        <v>5.5669279422748885E-3</v>
      </c>
      <c r="AD171" s="20">
        <f t="shared" si="70"/>
        <v>337500</v>
      </c>
      <c r="AE171" s="20">
        <f t="shared" si="61"/>
        <v>0</v>
      </c>
      <c r="AF171" s="20">
        <f t="shared" si="62"/>
        <v>1728435204.9000001</v>
      </c>
      <c r="AG171">
        <f t="shared" si="63"/>
        <v>29266641.129599996</v>
      </c>
      <c r="AH171">
        <f t="shared" si="64"/>
        <v>31811566.44521739</v>
      </c>
      <c r="AI171">
        <f t="shared" si="65"/>
        <v>24622060647.240002</v>
      </c>
    </row>
    <row r="172" spans="2:35" x14ac:dyDescent="0.25">
      <c r="B172" s="4">
        <v>2024</v>
      </c>
      <c r="C172" s="4" t="s">
        <v>199</v>
      </c>
      <c r="D172" s="4" t="s">
        <v>200</v>
      </c>
      <c r="E172" s="4" t="str">
        <f t="shared" si="78"/>
        <v>DTE-MI</v>
      </c>
      <c r="F172" s="4" t="s">
        <v>146</v>
      </c>
      <c r="G172" s="4"/>
      <c r="H172" s="4" t="s">
        <v>231</v>
      </c>
      <c r="I172" s="4"/>
      <c r="J172" s="4" t="s">
        <v>21</v>
      </c>
      <c r="K172" s="5">
        <f>66399*10.36</f>
        <v>687893.64</v>
      </c>
      <c r="L172" s="5">
        <f t="shared" si="76"/>
        <v>747710.47826086963</v>
      </c>
      <c r="M172" s="8">
        <v>13072</v>
      </c>
      <c r="N172" s="39"/>
      <c r="O172" s="8">
        <f>SUMIFS(EIAwtransport!$J$2:$J$675,EIAwtransport!$E$2:$E$675,Program_data!$E172,EIAwtransport!$H$2:$H$675,Program_data!$F172,EIAwtransport!$I$2:$I$675,Program_data!O$2)</f>
        <v>348353795</v>
      </c>
      <c r="P172" s="5">
        <f>SUMIFS(EIAwtransport!$J$2:$J$675,EIAwtransport!$E$2:$E$675,Program_data!$E172,EIAwtransport!$H$2:$H$675,Program_data!$F172,EIAwtransport!$I$2:$I$675,Program_data!P$2)</f>
        <v>124635991</v>
      </c>
      <c r="Q172" s="5">
        <f>SUMIFS(EIAwtransport!$J$2:$J$675,EIAwtransport!$E$2:$E$675,Program_data!$E172,EIAwtransport!$H$2:$H$675,Program_data!$F172,EIAwtransport!$I$2:$I$675,Program_data!Q$2)</f>
        <v>90386</v>
      </c>
      <c r="R172" s="8">
        <f>SUMIFS(EIAwtransport!$J$2:$J$675,EIAwtransport!$E$2:$E$675,Program_data!$E172,EIAwtransport!$I$2:$I$675,Program_data!R$2)</f>
        <v>1280322374</v>
      </c>
      <c r="S172" s="5">
        <f>SUMIFS(EIAwtransport!$J$2:$J$675,EIAwtransport!$E$2:$E$675,Program_data!$E172,EIAwtransport!$I$2:$I$675,Program_data!S$2)</f>
        <v>233428713</v>
      </c>
      <c r="T172" s="5">
        <f>SUMIFS(EIAwtransport!$J$2:$J$675,EIAwtransport!$E$2:$E$675,Program_data!$E172,EIAwtransport!$I$2:$I$675,Program_data!T$2)</f>
        <v>1305155</v>
      </c>
      <c r="U172" s="24">
        <f t="shared" si="53"/>
        <v>2.8445086787588124E-4</v>
      </c>
      <c r="V172" s="24">
        <f t="shared" si="57"/>
        <v>3.0918572595204486E-4</v>
      </c>
      <c r="W172" s="24">
        <f t="shared" si="54"/>
        <v>1.0209928581627677E-5</v>
      </c>
      <c r="X172" s="25">
        <f t="shared" si="55"/>
        <v>5.4054021270984851E-6</v>
      </c>
      <c r="Y172" s="8">
        <f t="shared" si="58"/>
        <v>1.2801162652671418E-3</v>
      </c>
      <c r="Z172" s="27">
        <f t="shared" si="59"/>
        <v>6.8894696340285582E-4</v>
      </c>
      <c r="AA172" s="27"/>
      <c r="AB172" s="27"/>
      <c r="AC172" s="56">
        <f t="shared" si="75"/>
        <v>1.3801749250956253E-2</v>
      </c>
      <c r="AD172" s="20">
        <f t="shared" si="70"/>
        <v>17647.2</v>
      </c>
      <c r="AE172" s="20">
        <f t="shared" si="61"/>
        <v>0</v>
      </c>
      <c r="AF172" s="20">
        <f t="shared" si="62"/>
        <v>1728435204.9000001</v>
      </c>
      <c r="AG172">
        <f t="shared" si="63"/>
        <v>72559021.147200003</v>
      </c>
      <c r="AH172">
        <f t="shared" si="64"/>
        <v>78868501.246956527</v>
      </c>
      <c r="AI172">
        <f t="shared" si="65"/>
        <v>24622060647.240002</v>
      </c>
    </row>
    <row r="173" spans="2:35" x14ac:dyDescent="0.25">
      <c r="B173" s="4">
        <v>2024</v>
      </c>
      <c r="C173" s="4" t="s">
        <v>199</v>
      </c>
      <c r="D173" s="4" t="s">
        <v>200</v>
      </c>
      <c r="E173" s="4" t="str">
        <f t="shared" si="78"/>
        <v>DTE-MI</v>
      </c>
      <c r="F173" s="4" t="s">
        <v>146</v>
      </c>
      <c r="G173" s="4"/>
      <c r="H173" s="4" t="s">
        <v>232</v>
      </c>
      <c r="I173" s="4" t="s">
        <v>167</v>
      </c>
      <c r="J173" s="4" t="s">
        <v>155</v>
      </c>
      <c r="K173" s="5">
        <v>0</v>
      </c>
      <c r="L173" s="5">
        <v>0</v>
      </c>
      <c r="M173" s="8">
        <v>1186727</v>
      </c>
      <c r="N173" s="39"/>
      <c r="O173" s="8">
        <f>SUMIFS(EIAwtransport!$J$2:$J$675,EIAwtransport!$E$2:$E$675,Program_data!$E173,EIAwtransport!$H$2:$H$675,Program_data!$F173,EIAwtransport!$I$2:$I$675,Program_data!O$2)</f>
        <v>348353795</v>
      </c>
      <c r="P173" s="5">
        <f>SUMIFS(EIAwtransport!$J$2:$J$675,EIAwtransport!$E$2:$E$675,Program_data!$E173,EIAwtransport!$H$2:$H$675,Program_data!$F173,EIAwtransport!$I$2:$I$675,Program_data!P$2)</f>
        <v>124635991</v>
      </c>
      <c r="Q173" s="5">
        <f>SUMIFS(EIAwtransport!$J$2:$J$675,EIAwtransport!$E$2:$E$675,Program_data!$E173,EIAwtransport!$H$2:$H$675,Program_data!$F173,EIAwtransport!$I$2:$I$675,Program_data!Q$2)</f>
        <v>90386</v>
      </c>
      <c r="R173" s="8">
        <f>SUMIFS(EIAwtransport!$J$2:$J$675,EIAwtransport!$E$2:$E$675,Program_data!$E173,EIAwtransport!$I$2:$I$675,Program_data!R$2)</f>
        <v>1280322374</v>
      </c>
      <c r="S173" s="5">
        <f>SUMIFS(EIAwtransport!$J$2:$J$675,EIAwtransport!$E$2:$E$675,Program_data!$E173,EIAwtransport!$I$2:$I$675,Program_data!S$2)</f>
        <v>233428713</v>
      </c>
      <c r="T173" s="5">
        <f>SUMIFS(EIAwtransport!$J$2:$J$675,EIAwtransport!$E$2:$E$675,Program_data!$E173,EIAwtransport!$I$2:$I$675,Program_data!T$2)</f>
        <v>1305155</v>
      </c>
      <c r="U173" s="24">
        <f t="shared" si="53"/>
        <v>0</v>
      </c>
      <c r="V173" s="24">
        <f t="shared" si="57"/>
        <v>0</v>
      </c>
      <c r="W173" s="24">
        <f t="shared" si="54"/>
        <v>9.2689702538932594E-4</v>
      </c>
      <c r="X173" s="25">
        <f t="shared" si="55"/>
        <v>4.9072342794409453E-4</v>
      </c>
      <c r="Y173" s="8">
        <f t="shared" si="58"/>
        <v>0.11621393322610765</v>
      </c>
      <c r="Z173" s="27">
        <f t="shared" si="59"/>
        <v>6.2545284810142363E-2</v>
      </c>
      <c r="AA173" s="27"/>
      <c r="AB173" s="27"/>
      <c r="AC173" s="56">
        <f t="shared" si="75"/>
        <v>0</v>
      </c>
      <c r="AD173" s="20">
        <f t="shared" si="70"/>
        <v>1602081.4500000002</v>
      </c>
      <c r="AE173" s="20">
        <f t="shared" si="61"/>
        <v>0</v>
      </c>
      <c r="AF173" s="20">
        <f t="shared" si="62"/>
        <v>1728435204.9000001</v>
      </c>
      <c r="AG173">
        <f t="shared" si="63"/>
        <v>0</v>
      </c>
      <c r="AH173">
        <f t="shared" si="64"/>
        <v>0</v>
      </c>
      <c r="AI173">
        <f t="shared" si="65"/>
        <v>24622060647.240002</v>
      </c>
    </row>
    <row r="174" spans="2:35" x14ac:dyDescent="0.25">
      <c r="B174" s="4">
        <v>2024</v>
      </c>
      <c r="C174" s="4" t="s">
        <v>199</v>
      </c>
      <c r="D174" s="4" t="s">
        <v>200</v>
      </c>
      <c r="E174" s="4" t="str">
        <f t="shared" ref="E174:E175" si="79">D174&amp;"-"&amp;C174</f>
        <v>DTE-MI</v>
      </c>
      <c r="F174" s="4" t="s">
        <v>146</v>
      </c>
      <c r="G174" s="4"/>
      <c r="H174" s="4" t="s">
        <v>233</v>
      </c>
      <c r="I174" s="4" t="s">
        <v>167</v>
      </c>
      <c r="J174" s="4" t="s">
        <v>155</v>
      </c>
      <c r="K174" s="5">
        <v>0</v>
      </c>
      <c r="L174" s="5">
        <v>0</v>
      </c>
      <c r="M174" s="8">
        <v>890743</v>
      </c>
      <c r="N174" s="39"/>
      <c r="O174" s="8">
        <f>SUMIFS(EIAwtransport!$J$2:$J$675,EIAwtransport!$E$2:$E$675,Program_data!$E174,EIAwtransport!$H$2:$H$675,Program_data!$F174,EIAwtransport!$I$2:$I$675,Program_data!O$2)</f>
        <v>348353795</v>
      </c>
      <c r="P174" s="5">
        <f>SUMIFS(EIAwtransport!$J$2:$J$675,EIAwtransport!$E$2:$E$675,Program_data!$E174,EIAwtransport!$H$2:$H$675,Program_data!$F174,EIAwtransport!$I$2:$I$675,Program_data!P$2)</f>
        <v>124635991</v>
      </c>
      <c r="Q174" s="5">
        <f>SUMIFS(EIAwtransport!$J$2:$J$675,EIAwtransport!$E$2:$E$675,Program_data!$E174,EIAwtransport!$H$2:$H$675,Program_data!$F174,EIAwtransport!$I$2:$I$675,Program_data!Q$2)</f>
        <v>90386</v>
      </c>
      <c r="R174" s="8">
        <f>SUMIFS(EIAwtransport!$J$2:$J$675,EIAwtransport!$E$2:$E$675,Program_data!$E174,EIAwtransport!$I$2:$I$675,Program_data!R$2)</f>
        <v>1280322374</v>
      </c>
      <c r="S174" s="5">
        <f>SUMIFS(EIAwtransport!$J$2:$J$675,EIAwtransport!$E$2:$E$675,Program_data!$E174,EIAwtransport!$I$2:$I$675,Program_data!S$2)</f>
        <v>233428713</v>
      </c>
      <c r="T174" s="5">
        <f>SUMIFS(EIAwtransport!$J$2:$J$675,EIAwtransport!$E$2:$E$675,Program_data!$E174,EIAwtransport!$I$2:$I$675,Program_data!T$2)</f>
        <v>1305155</v>
      </c>
      <c r="U174" s="24">
        <f t="shared" si="53"/>
        <v>0</v>
      </c>
      <c r="V174" s="24">
        <f t="shared" si="57"/>
        <v>0</v>
      </c>
      <c r="W174" s="24">
        <f t="shared" si="54"/>
        <v>6.9571774897374402E-4</v>
      </c>
      <c r="X174" s="25">
        <f t="shared" si="55"/>
        <v>3.6833109752892337E-4</v>
      </c>
      <c r="Y174" s="8">
        <f t="shared" si="58"/>
        <v>8.7228779258938918E-2</v>
      </c>
      <c r="Z174" s="27">
        <f t="shared" si="59"/>
        <v>4.6945737838307071E-2</v>
      </c>
      <c r="AA174" s="27"/>
      <c r="AB174" s="27"/>
      <c r="AC174" s="56">
        <f t="shared" si="75"/>
        <v>0</v>
      </c>
      <c r="AD174" s="20">
        <f t="shared" si="70"/>
        <v>1202503.05</v>
      </c>
      <c r="AE174" s="20">
        <f t="shared" si="61"/>
        <v>0</v>
      </c>
      <c r="AF174" s="20">
        <f t="shared" si="62"/>
        <v>1728435204.9000001</v>
      </c>
      <c r="AG174">
        <f t="shared" si="63"/>
        <v>0</v>
      </c>
      <c r="AH174">
        <f t="shared" si="64"/>
        <v>0</v>
      </c>
      <c r="AI174">
        <f t="shared" si="65"/>
        <v>24622060647.240002</v>
      </c>
    </row>
    <row r="175" spans="2:35" x14ac:dyDescent="0.25">
      <c r="B175" s="4">
        <v>2025</v>
      </c>
      <c r="C175" s="4" t="s">
        <v>199</v>
      </c>
      <c r="D175" s="4" t="s">
        <v>200</v>
      </c>
      <c r="E175" s="4" t="str">
        <f t="shared" si="79"/>
        <v>DTE-MI</v>
      </c>
      <c r="F175" s="4" t="s">
        <v>135</v>
      </c>
      <c r="G175" s="4"/>
      <c r="H175" s="4" t="s">
        <v>223</v>
      </c>
      <c r="I175" s="4"/>
      <c r="J175" s="4" t="s">
        <v>48</v>
      </c>
      <c r="K175" s="5">
        <v>506470.79999999993</v>
      </c>
      <c r="L175" s="5">
        <v>557906</v>
      </c>
      <c r="M175" s="8">
        <v>843677.25875239575</v>
      </c>
      <c r="N175" s="39"/>
      <c r="O175" s="8"/>
      <c r="P175" s="5"/>
      <c r="Q175" s="5"/>
      <c r="R175" s="8"/>
      <c r="S175" s="5"/>
      <c r="T175" s="5"/>
      <c r="U175" s="24"/>
      <c r="V175" s="24"/>
      <c r="W175" s="24"/>
      <c r="X175" s="25"/>
      <c r="Y175" s="8">
        <f t="shared" si="58"/>
        <v>0.11299134879885871</v>
      </c>
      <c r="Z175" s="27">
        <f t="shared" si="59"/>
        <v>4.4370022206308778E-2</v>
      </c>
      <c r="AA175" s="27"/>
      <c r="AB175" s="27"/>
      <c r="AC175" s="56"/>
      <c r="AD175" s="20"/>
      <c r="AE175" s="20"/>
      <c r="AF175" s="20"/>
    </row>
    <row r="176" spans="2:35" x14ac:dyDescent="0.25">
      <c r="B176" s="4">
        <v>2025</v>
      </c>
      <c r="C176" s="4" t="s">
        <v>199</v>
      </c>
      <c r="D176" s="4" t="s">
        <v>200</v>
      </c>
      <c r="E176" s="4" t="str">
        <f t="shared" si="67"/>
        <v>DTE-MI</v>
      </c>
      <c r="F176" s="4" t="s">
        <v>135</v>
      </c>
      <c r="G176" s="4"/>
      <c r="H176" s="4" t="s">
        <v>224</v>
      </c>
      <c r="I176" s="4"/>
      <c r="J176" s="4" t="s">
        <v>27</v>
      </c>
      <c r="K176" s="5">
        <v>2719653.92</v>
      </c>
      <c r="L176" s="5">
        <v>2948751.3043478262</v>
      </c>
      <c r="M176" s="8">
        <v>8012640.7412476046</v>
      </c>
      <c r="N176" s="39"/>
      <c r="O176" s="8">
        <f>SUMIFS(EIAwtransport!$J$2:$J$675,EIAwtransport!$E$2:$E$675,Program_data!$E176,EIAwtransport!$H$2:$H$675,Program_data!$F176,EIAwtransport!$I$2:$I$675,Program_data!O$2)</f>
        <v>931968579</v>
      </c>
      <c r="P176" s="5">
        <f>SUMIFS(EIAwtransport!$J$2:$J$675,EIAwtransport!$E$2:$E$675,Program_data!$E176,EIAwtransport!$H$2:$H$675,Program_data!$F176,EIAwtransport!$I$2:$I$675,Program_data!P$2)</f>
        <v>108792722</v>
      </c>
      <c r="Q176" s="5">
        <f>SUMIFS(EIAwtransport!$J$2:$J$675,EIAwtransport!$E$2:$E$675,Program_data!$E176,EIAwtransport!$H$2:$H$675,Program_data!$F176,EIAwtransport!$I$2:$I$675,Program_data!Q$2)</f>
        <v>1214769</v>
      </c>
      <c r="R176" s="8">
        <f>SUMIFS(EIAwtransport!$J$2:$J$675,EIAwtransport!$E$2:$E$675,Program_data!$E176,EIAwtransport!$I$2:$I$675,Program_data!R$2)</f>
        <v>1280322374</v>
      </c>
      <c r="S176" s="5">
        <f>SUMIFS(EIAwtransport!$J$2:$J$675,EIAwtransport!$E$2:$E$675,Program_data!$E176,EIAwtransport!$I$2:$I$675,Program_data!S$2)</f>
        <v>233428713</v>
      </c>
      <c r="T176" s="5">
        <f>SUMIFS(EIAwtransport!$J$2:$J$675,EIAwtransport!$E$2:$E$675,Program_data!$E176,EIAwtransport!$I$2:$I$675,Program_data!T$2)</f>
        <v>1305155</v>
      </c>
      <c r="U176" s="24">
        <f t="shared" ref="U176:U184" si="80">IFERROR(K176/10.36/S176,"")</f>
        <v>1.1246039691049368E-3</v>
      </c>
      <c r="V176" s="24">
        <f t="shared" si="57"/>
        <v>1.2193380181155272E-3</v>
      </c>
      <c r="W176" s="24">
        <f t="shared" ref="W176:W184" si="81">IFERROR(M176/R176,"")</f>
        <v>6.2582993970607629E-3</v>
      </c>
      <c r="X176" s="25">
        <f t="shared" ref="X176:X184" si="82">IFERROR(M176/S176/10.36,"")</f>
        <v>3.3133067094871316E-3</v>
      </c>
      <c r="Y176" s="8">
        <f t="shared" si="58"/>
        <v>1.0731106894276981</v>
      </c>
      <c r="Z176" s="27">
        <f t="shared" si="59"/>
        <v>0.42139460786944088</v>
      </c>
      <c r="AA176" s="27"/>
      <c r="AB176" s="27"/>
      <c r="AC176" s="56">
        <f>IFERROR(K176/SUMIFS($M$3:$M$1234,$E$3:$E$1234,E176,$B$3:$B$1234,B176),"")</f>
        <v>5.4200798897877822E-2</v>
      </c>
      <c r="AD176" s="20">
        <f t="shared" si="70"/>
        <v>10817065.000684267</v>
      </c>
      <c r="AE176" s="20">
        <f t="shared" si="61"/>
        <v>0</v>
      </c>
      <c r="AF176" s="20">
        <f t="shared" si="62"/>
        <v>1728435204.9000001</v>
      </c>
      <c r="AG176">
        <f t="shared" si="63"/>
        <v>286869095.48159999</v>
      </c>
      <c r="AH176">
        <f t="shared" si="64"/>
        <v>311034287.5826087</v>
      </c>
      <c r="AI176">
        <f t="shared" si="65"/>
        <v>24622060647.240002</v>
      </c>
    </row>
    <row r="177" spans="2:35" x14ac:dyDescent="0.25">
      <c r="B177" s="4">
        <v>2025</v>
      </c>
      <c r="C177" s="4" t="s">
        <v>199</v>
      </c>
      <c r="D177" s="4" t="s">
        <v>200</v>
      </c>
      <c r="E177" s="4" t="str">
        <f t="shared" ref="E177" si="83">D177&amp;"-"&amp;C177</f>
        <v>DTE-MI</v>
      </c>
      <c r="F177" s="4" t="s">
        <v>135</v>
      </c>
      <c r="G177" s="4"/>
      <c r="H177" s="4" t="s">
        <v>225</v>
      </c>
      <c r="I177" s="4"/>
      <c r="J177" s="4" t="s">
        <v>48</v>
      </c>
      <c r="K177" s="5">
        <v>9955.1999999999989</v>
      </c>
      <c r="L177" s="5">
        <v>10888.5</v>
      </c>
      <c r="M177" s="8">
        <v>17621.25</v>
      </c>
      <c r="N177" s="39"/>
      <c r="O177" s="8"/>
      <c r="P177" s="5"/>
      <c r="Q177" s="5"/>
      <c r="R177" s="8"/>
      <c r="S177" s="5"/>
      <c r="T177" s="5"/>
      <c r="U177" s="24"/>
      <c r="V177" s="24"/>
      <c r="W177" s="24"/>
      <c r="X177" s="25"/>
      <c r="Y177" s="8">
        <f t="shared" si="58"/>
        <v>2.3599650036391774E-3</v>
      </c>
      <c r="Z177" s="27">
        <f t="shared" si="59"/>
        <v>9.2672315828342018E-4</v>
      </c>
      <c r="AA177" s="27"/>
      <c r="AB177" s="27"/>
      <c r="AC177" s="56"/>
      <c r="AD177" s="20"/>
      <c r="AE177" s="20"/>
      <c r="AF177" s="20"/>
    </row>
    <row r="178" spans="2:35" x14ac:dyDescent="0.25">
      <c r="B178" s="4">
        <v>2025</v>
      </c>
      <c r="C178" s="4" t="s">
        <v>199</v>
      </c>
      <c r="D178" s="4" t="s">
        <v>200</v>
      </c>
      <c r="E178" s="4" t="str">
        <f t="shared" si="67"/>
        <v>DTE-MI</v>
      </c>
      <c r="F178" s="4" t="s">
        <v>135</v>
      </c>
      <c r="G178" s="4"/>
      <c r="H178" s="4" t="s">
        <v>226</v>
      </c>
      <c r="I178" s="4"/>
      <c r="J178" s="4" t="s">
        <v>21</v>
      </c>
      <c r="K178" s="5">
        <v>8299.1200000000008</v>
      </c>
      <c r="L178" s="5">
        <v>8952.8043478260879</v>
      </c>
      <c r="M178" s="8">
        <v>34535.75</v>
      </c>
      <c r="N178" s="39"/>
      <c r="O178" s="8">
        <f>SUMIFS(EIAwtransport!$J$2:$J$675,EIAwtransport!$E$2:$E$675,Program_data!$E178,EIAwtransport!$H$2:$H$675,Program_data!$F178,EIAwtransport!$I$2:$I$675,Program_data!O$2)</f>
        <v>931968579</v>
      </c>
      <c r="P178" s="5">
        <f>SUMIFS(EIAwtransport!$J$2:$J$675,EIAwtransport!$E$2:$E$675,Program_data!$E178,EIAwtransport!$H$2:$H$675,Program_data!$F178,EIAwtransport!$I$2:$I$675,Program_data!P$2)</f>
        <v>108792722</v>
      </c>
      <c r="Q178" s="5">
        <f>SUMIFS(EIAwtransport!$J$2:$J$675,EIAwtransport!$E$2:$E$675,Program_data!$E178,EIAwtransport!$H$2:$H$675,Program_data!$F178,EIAwtransport!$I$2:$I$675,Program_data!Q$2)</f>
        <v>1214769</v>
      </c>
      <c r="R178" s="8">
        <f>SUMIFS(EIAwtransport!$J$2:$J$675,EIAwtransport!$E$2:$E$675,Program_data!$E178,EIAwtransport!$I$2:$I$675,Program_data!R$2)</f>
        <v>1280322374</v>
      </c>
      <c r="S178" s="5">
        <f>SUMIFS(EIAwtransport!$J$2:$J$675,EIAwtransport!$E$2:$E$675,Program_data!$E178,EIAwtransport!$I$2:$I$675,Program_data!S$2)</f>
        <v>233428713</v>
      </c>
      <c r="T178" s="5">
        <f>SUMIFS(EIAwtransport!$J$2:$J$675,EIAwtransport!$E$2:$E$675,Program_data!$E178,EIAwtransport!$I$2:$I$675,Program_data!T$2)</f>
        <v>1305155</v>
      </c>
      <c r="U178" s="24">
        <f t="shared" si="80"/>
        <v>3.4317687347801087E-6</v>
      </c>
      <c r="V178" s="24">
        <f t="shared" si="57"/>
        <v>3.7020737198007732E-6</v>
      </c>
      <c r="W178" s="24">
        <f t="shared" si="81"/>
        <v>2.6974261093401778E-5</v>
      </c>
      <c r="X178" s="25">
        <f t="shared" si="82"/>
        <v>1.4280876416075699E-5</v>
      </c>
      <c r="Y178" s="8">
        <f t="shared" si="58"/>
        <v>4.6252769454171372E-3</v>
      </c>
      <c r="Z178" s="27">
        <f t="shared" si="59"/>
        <v>1.8162774669042566E-3</v>
      </c>
      <c r="AA178" s="27"/>
      <c r="AB178" s="27"/>
      <c r="AC178" s="56">
        <f t="shared" ref="AC178:AC185" si="84">IFERROR(K178/SUMIFS($M$3:$M$1234,$E$3:$E$1234,E178,$B$3:$B$1234,B178),"")</f>
        <v>1.6539565230761267E-4</v>
      </c>
      <c r="AD178" s="20">
        <f t="shared" si="70"/>
        <v>46623.262500000004</v>
      </c>
      <c r="AE178" s="20">
        <f t="shared" si="61"/>
        <v>0</v>
      </c>
      <c r="AF178" s="20">
        <f t="shared" si="62"/>
        <v>1728435204.9000001</v>
      </c>
      <c r="AG178">
        <f t="shared" si="63"/>
        <v>875391.17760000017</v>
      </c>
      <c r="AH178">
        <f t="shared" si="64"/>
        <v>944341.80260869581</v>
      </c>
      <c r="AI178">
        <f t="shared" si="65"/>
        <v>24622060647.240002</v>
      </c>
    </row>
    <row r="179" spans="2:35" x14ac:dyDescent="0.25">
      <c r="B179" s="4">
        <v>2025</v>
      </c>
      <c r="C179" s="4" t="s">
        <v>199</v>
      </c>
      <c r="D179" s="4" t="s">
        <v>200</v>
      </c>
      <c r="E179" s="4" t="str">
        <f t="shared" si="67"/>
        <v>DTE-MI</v>
      </c>
      <c r="F179" s="4" t="s">
        <v>135</v>
      </c>
      <c r="G179" s="4"/>
      <c r="H179" s="4" t="s">
        <v>227</v>
      </c>
      <c r="I179" s="4"/>
      <c r="J179" s="4" t="s">
        <v>142</v>
      </c>
      <c r="K179" s="5">
        <f>138641*10.36</f>
        <v>1436320.76</v>
      </c>
      <c r="L179" s="5">
        <f t="shared" ref="L179:L183" si="85">(K179/92)*100</f>
        <v>1561218.2173913042</v>
      </c>
      <c r="M179" s="8">
        <v>1009899</v>
      </c>
      <c r="N179" s="39"/>
      <c r="O179" s="8">
        <f>SUMIFS(EIAwtransport!$J$2:$J$675,EIAwtransport!$E$2:$E$675,Program_data!$E179,EIAwtransport!$H$2:$H$675,Program_data!$F179,EIAwtransport!$I$2:$I$675,Program_data!O$2)</f>
        <v>931968579</v>
      </c>
      <c r="P179" s="5">
        <f>SUMIFS(EIAwtransport!$J$2:$J$675,EIAwtransport!$E$2:$E$675,Program_data!$E179,EIAwtransport!$H$2:$H$675,Program_data!$F179,EIAwtransport!$I$2:$I$675,Program_data!P$2)</f>
        <v>108792722</v>
      </c>
      <c r="Q179" s="5">
        <f>SUMIFS(EIAwtransport!$J$2:$J$675,EIAwtransport!$E$2:$E$675,Program_data!$E179,EIAwtransport!$H$2:$H$675,Program_data!$F179,EIAwtransport!$I$2:$I$675,Program_data!Q$2)</f>
        <v>1214769</v>
      </c>
      <c r="R179" s="8">
        <f>SUMIFS(EIAwtransport!$J$2:$J$675,EIAwtransport!$E$2:$E$675,Program_data!$E179,EIAwtransport!$I$2:$I$675,Program_data!R$2)</f>
        <v>1280322374</v>
      </c>
      <c r="S179" s="5">
        <f>SUMIFS(EIAwtransport!$J$2:$J$675,EIAwtransport!$E$2:$E$675,Program_data!$E179,EIAwtransport!$I$2:$I$675,Program_data!S$2)</f>
        <v>233428713</v>
      </c>
      <c r="T179" s="5">
        <f>SUMIFS(EIAwtransport!$J$2:$J$675,EIAwtransport!$E$2:$E$675,Program_data!$E179,EIAwtransport!$I$2:$I$675,Program_data!T$2)</f>
        <v>1305155</v>
      </c>
      <c r="U179" s="24">
        <f t="shared" si="80"/>
        <v>5.9393293232096948E-4</v>
      </c>
      <c r="V179" s="24">
        <f t="shared" si="57"/>
        <v>6.4557927426192336E-4</v>
      </c>
      <c r="W179" s="24">
        <f t="shared" si="81"/>
        <v>7.8878493456679998E-4</v>
      </c>
      <c r="X179" s="25">
        <f t="shared" si="82"/>
        <v>4.1760328968441199E-4</v>
      </c>
      <c r="Y179" s="8">
        <f t="shared" si="58"/>
        <v>0.1352529643022034</v>
      </c>
      <c r="Z179" s="27">
        <f t="shared" si="59"/>
        <v>5.31118275279715E-2</v>
      </c>
      <c r="AA179" s="27"/>
      <c r="AB179" s="27"/>
      <c r="AC179" s="56">
        <f t="shared" si="84"/>
        <v>2.8624867338123316E-2</v>
      </c>
      <c r="AD179" s="20">
        <f t="shared" si="70"/>
        <v>1363363.6500000001</v>
      </c>
      <c r="AE179" s="20">
        <f t="shared" si="61"/>
        <v>0</v>
      </c>
      <c r="AF179" s="20">
        <f t="shared" si="62"/>
        <v>1728435204.9000001</v>
      </c>
      <c r="AG179">
        <f t="shared" si="63"/>
        <v>151503113.76480001</v>
      </c>
      <c r="AH179">
        <f t="shared" si="64"/>
        <v>164677297.57043478</v>
      </c>
      <c r="AI179">
        <f t="shared" si="65"/>
        <v>24622060647.240002</v>
      </c>
    </row>
    <row r="180" spans="2:35" x14ac:dyDescent="0.25">
      <c r="B180" s="4">
        <v>2025</v>
      </c>
      <c r="C180" s="4" t="s">
        <v>199</v>
      </c>
      <c r="D180" s="4" t="s">
        <v>200</v>
      </c>
      <c r="E180" s="4" t="str">
        <f t="shared" si="67"/>
        <v>DTE-MI</v>
      </c>
      <c r="F180" s="4" t="s">
        <v>135</v>
      </c>
      <c r="G180" s="4"/>
      <c r="H180" s="4" t="s">
        <v>228</v>
      </c>
      <c r="I180" s="4"/>
      <c r="J180" s="4" t="s">
        <v>142</v>
      </c>
      <c r="K180" s="5">
        <f>203932*10.36</f>
        <v>2112735.52</v>
      </c>
      <c r="L180" s="5">
        <f t="shared" si="85"/>
        <v>2296451.6521739131</v>
      </c>
      <c r="M180" s="8">
        <v>809663</v>
      </c>
      <c r="N180" s="39"/>
      <c r="O180" s="8">
        <f>SUMIFS(EIAwtransport!$J$2:$J$675,EIAwtransport!$E$2:$E$675,Program_data!$E180,EIAwtransport!$H$2:$H$675,Program_data!$F180,EIAwtransport!$I$2:$I$675,Program_data!O$2)</f>
        <v>931968579</v>
      </c>
      <c r="P180" s="5">
        <f>SUMIFS(EIAwtransport!$J$2:$J$675,EIAwtransport!$E$2:$E$675,Program_data!$E180,EIAwtransport!$H$2:$H$675,Program_data!$F180,EIAwtransport!$I$2:$I$675,Program_data!P$2)</f>
        <v>108792722</v>
      </c>
      <c r="Q180" s="5">
        <f>SUMIFS(EIAwtransport!$J$2:$J$675,EIAwtransport!$E$2:$E$675,Program_data!$E180,EIAwtransport!$H$2:$H$675,Program_data!$F180,EIAwtransport!$I$2:$I$675,Program_data!Q$2)</f>
        <v>1214769</v>
      </c>
      <c r="R180" s="8">
        <f>SUMIFS(EIAwtransport!$J$2:$J$675,EIAwtransport!$E$2:$E$675,Program_data!$E180,EIAwtransport!$I$2:$I$675,Program_data!R$2)</f>
        <v>1280322374</v>
      </c>
      <c r="S180" s="5">
        <f>SUMIFS(EIAwtransport!$J$2:$J$675,EIAwtransport!$E$2:$E$675,Program_data!$E180,EIAwtransport!$I$2:$I$675,Program_data!S$2)</f>
        <v>233428713</v>
      </c>
      <c r="T180" s="5">
        <f>SUMIFS(EIAwtransport!$J$2:$J$675,EIAwtransport!$E$2:$E$675,Program_data!$E180,EIAwtransport!$I$2:$I$675,Program_data!T$2)</f>
        <v>1305155</v>
      </c>
      <c r="U180" s="24">
        <f t="shared" si="80"/>
        <v>8.7363716904869369E-4</v>
      </c>
      <c r="V180" s="24">
        <f t="shared" si="57"/>
        <v>9.4960561853118879E-4</v>
      </c>
      <c r="W180" s="24">
        <f t="shared" si="81"/>
        <v>6.3238994837717336E-4</v>
      </c>
      <c r="X180" s="25">
        <f t="shared" si="82"/>
        <v>3.3480371040643669E-4</v>
      </c>
      <c r="Y180" s="8">
        <f t="shared" si="58"/>
        <v>0.1084359137258428</v>
      </c>
      <c r="Z180" s="27">
        <f t="shared" si="59"/>
        <v>4.2581170603971277E-2</v>
      </c>
      <c r="AA180" s="27"/>
      <c r="AB180" s="27"/>
      <c r="AC180" s="56">
        <f t="shared" si="84"/>
        <v>4.2105340022058145E-2</v>
      </c>
      <c r="AD180" s="20">
        <f t="shared" si="70"/>
        <v>1093045.05</v>
      </c>
      <c r="AE180" s="20">
        <f t="shared" si="61"/>
        <v>0</v>
      </c>
      <c r="AF180" s="20">
        <f t="shared" si="62"/>
        <v>1728435204.9000001</v>
      </c>
      <c r="AG180">
        <f t="shared" si="63"/>
        <v>222851342.6496</v>
      </c>
      <c r="AH180">
        <f t="shared" si="64"/>
        <v>242229720.27130437</v>
      </c>
      <c r="AI180">
        <f t="shared" si="65"/>
        <v>24622060647.240002</v>
      </c>
    </row>
    <row r="181" spans="2:35" x14ac:dyDescent="0.25">
      <c r="B181" s="4">
        <v>2025</v>
      </c>
      <c r="C181" s="4" t="s">
        <v>199</v>
      </c>
      <c r="D181" s="4" t="s">
        <v>200</v>
      </c>
      <c r="E181" s="4" t="str">
        <f t="shared" si="67"/>
        <v>DTE-MI</v>
      </c>
      <c r="F181" s="4" t="s">
        <v>135</v>
      </c>
      <c r="G181" s="4"/>
      <c r="H181" s="4" t="s">
        <v>229</v>
      </c>
      <c r="I181" s="4"/>
      <c r="J181" s="4" t="s">
        <v>142</v>
      </c>
      <c r="K181" s="5">
        <f>12680*10.36</f>
        <v>131364.79999999999</v>
      </c>
      <c r="L181" s="5">
        <f t="shared" si="85"/>
        <v>142787.82608695651</v>
      </c>
      <c r="M181" s="8">
        <v>154929</v>
      </c>
      <c r="N181" s="39"/>
      <c r="O181" s="8">
        <f>SUMIFS(EIAwtransport!$J$2:$J$675,EIAwtransport!$E$2:$E$675,Program_data!$E181,EIAwtransport!$H$2:$H$675,Program_data!$F181,EIAwtransport!$I$2:$I$675,Program_data!O$2)</f>
        <v>931968579</v>
      </c>
      <c r="P181" s="5">
        <f>SUMIFS(EIAwtransport!$J$2:$J$675,EIAwtransport!$E$2:$E$675,Program_data!$E181,EIAwtransport!$H$2:$H$675,Program_data!$F181,EIAwtransport!$I$2:$I$675,Program_data!P$2)</f>
        <v>108792722</v>
      </c>
      <c r="Q181" s="5">
        <f>SUMIFS(EIAwtransport!$J$2:$J$675,EIAwtransport!$E$2:$E$675,Program_data!$E181,EIAwtransport!$H$2:$H$675,Program_data!$F181,EIAwtransport!$I$2:$I$675,Program_data!Q$2)</f>
        <v>1214769</v>
      </c>
      <c r="R181" s="8">
        <f>SUMIFS(EIAwtransport!$J$2:$J$675,EIAwtransport!$E$2:$E$675,Program_data!$E181,EIAwtransport!$I$2:$I$675,Program_data!R$2)</f>
        <v>1280322374</v>
      </c>
      <c r="S181" s="5">
        <f>SUMIFS(EIAwtransport!$J$2:$J$675,EIAwtransport!$E$2:$E$675,Program_data!$E181,EIAwtransport!$I$2:$I$675,Program_data!S$2)</f>
        <v>233428713</v>
      </c>
      <c r="T181" s="5">
        <f>SUMIFS(EIAwtransport!$J$2:$J$675,EIAwtransport!$E$2:$E$675,Program_data!$E181,EIAwtransport!$I$2:$I$675,Program_data!T$2)</f>
        <v>1305155</v>
      </c>
      <c r="U181" s="24">
        <f t="shared" si="80"/>
        <v>5.4320652489738911E-5</v>
      </c>
      <c r="V181" s="24">
        <f t="shared" si="57"/>
        <v>5.9044187488846645E-5</v>
      </c>
      <c r="W181" s="24">
        <f t="shared" si="81"/>
        <v>1.2100780486712012E-4</v>
      </c>
      <c r="X181" s="25">
        <f t="shared" si="82"/>
        <v>6.4064683762946845E-5</v>
      </c>
      <c r="Y181" s="8">
        <f t="shared" si="58"/>
        <v>2.0749210075835377E-2</v>
      </c>
      <c r="Z181" s="27">
        <f t="shared" si="59"/>
        <v>8.1479062035719387E-3</v>
      </c>
      <c r="AA181" s="27"/>
      <c r="AB181" s="27"/>
      <c r="AC181" s="56">
        <f t="shared" si="84"/>
        <v>2.6180085100901145E-3</v>
      </c>
      <c r="AD181" s="20">
        <f t="shared" si="70"/>
        <v>209154.15000000002</v>
      </c>
      <c r="AE181" s="20">
        <f t="shared" si="61"/>
        <v>0</v>
      </c>
      <c r="AF181" s="20">
        <f t="shared" si="62"/>
        <v>1728435204.9000001</v>
      </c>
      <c r="AG181">
        <f t="shared" si="63"/>
        <v>13856359.103999998</v>
      </c>
      <c r="AH181">
        <f t="shared" si="64"/>
        <v>15061259.895652173</v>
      </c>
      <c r="AI181">
        <f t="shared" si="65"/>
        <v>24622060647.240002</v>
      </c>
    </row>
    <row r="182" spans="2:35" x14ac:dyDescent="0.25">
      <c r="B182" s="4">
        <v>2025</v>
      </c>
      <c r="C182" s="4" t="s">
        <v>199</v>
      </c>
      <c r="D182" s="4" t="s">
        <v>200</v>
      </c>
      <c r="E182" s="4" t="str">
        <f t="shared" ref="E182:E202" si="86">D182&amp;"-"&amp;C182</f>
        <v>DTE-MI</v>
      </c>
      <c r="F182" s="4" t="s">
        <v>135</v>
      </c>
      <c r="G182" s="4"/>
      <c r="H182" s="4" t="s">
        <v>230</v>
      </c>
      <c r="I182" s="4"/>
      <c r="J182" s="4" t="s">
        <v>142</v>
      </c>
      <c r="K182" s="5">
        <f>12037*10.36</f>
        <v>124703.31999999999</v>
      </c>
      <c r="L182" s="5">
        <f t="shared" si="85"/>
        <v>135547.08695652173</v>
      </c>
      <c r="M182" s="8">
        <v>250000</v>
      </c>
      <c r="N182" s="39"/>
      <c r="O182" s="8">
        <f>SUMIFS(EIAwtransport!$J$2:$J$675,EIAwtransport!$E$2:$E$675,Program_data!$E182,EIAwtransport!$H$2:$H$675,Program_data!$F182,EIAwtransport!$I$2:$I$675,Program_data!O$2)</f>
        <v>931968579</v>
      </c>
      <c r="P182" s="5">
        <f>SUMIFS(EIAwtransport!$J$2:$J$675,EIAwtransport!$E$2:$E$675,Program_data!$E182,EIAwtransport!$H$2:$H$675,Program_data!$F182,EIAwtransport!$I$2:$I$675,Program_data!P$2)</f>
        <v>108792722</v>
      </c>
      <c r="Q182" s="5">
        <f>SUMIFS(EIAwtransport!$J$2:$J$675,EIAwtransport!$E$2:$E$675,Program_data!$E182,EIAwtransport!$H$2:$H$675,Program_data!$F182,EIAwtransport!$I$2:$I$675,Program_data!Q$2)</f>
        <v>1214769</v>
      </c>
      <c r="R182" s="8">
        <f>SUMIFS(EIAwtransport!$J$2:$J$675,EIAwtransport!$E$2:$E$675,Program_data!$E182,EIAwtransport!$I$2:$I$675,Program_data!R$2)</f>
        <v>1280322374</v>
      </c>
      <c r="S182" s="5">
        <f>SUMIFS(EIAwtransport!$J$2:$J$675,EIAwtransport!$E$2:$E$675,Program_data!$E182,EIAwtransport!$I$2:$I$675,Program_data!S$2)</f>
        <v>233428713</v>
      </c>
      <c r="T182" s="5">
        <f>SUMIFS(EIAwtransport!$J$2:$J$675,EIAwtransport!$E$2:$E$675,Program_data!$E182,EIAwtransport!$I$2:$I$675,Program_data!T$2)</f>
        <v>1305155</v>
      </c>
      <c r="U182" s="24">
        <f t="shared" si="80"/>
        <v>5.1566064197081015E-5</v>
      </c>
      <c r="V182" s="24">
        <f t="shared" si="57"/>
        <v>5.6050069779435885E-5</v>
      </c>
      <c r="W182" s="24">
        <f t="shared" si="81"/>
        <v>1.9526332201705318E-4</v>
      </c>
      <c r="X182" s="25">
        <f t="shared" si="82"/>
        <v>1.0337748866084924E-4</v>
      </c>
      <c r="Y182" s="8">
        <f t="shared" si="58"/>
        <v>3.3481804690915482E-2</v>
      </c>
      <c r="Z182" s="27">
        <f t="shared" si="59"/>
        <v>1.3147806743043488E-2</v>
      </c>
      <c r="AA182" s="27"/>
      <c r="AB182" s="27"/>
      <c r="AC182" s="56">
        <f t="shared" si="84"/>
        <v>2.4852498766525797E-3</v>
      </c>
      <c r="AD182" s="20">
        <f t="shared" si="70"/>
        <v>337500</v>
      </c>
      <c r="AE182" s="20">
        <f t="shared" si="61"/>
        <v>0</v>
      </c>
      <c r="AF182" s="20">
        <f t="shared" si="62"/>
        <v>1728435204.9000001</v>
      </c>
      <c r="AG182">
        <f t="shared" si="63"/>
        <v>13153706.193599999</v>
      </c>
      <c r="AH182">
        <f t="shared" si="64"/>
        <v>14297506.732173912</v>
      </c>
      <c r="AI182">
        <f t="shared" si="65"/>
        <v>24622060647.240002</v>
      </c>
    </row>
    <row r="183" spans="2:35" x14ac:dyDescent="0.25">
      <c r="B183" s="4">
        <v>2025</v>
      </c>
      <c r="C183" s="4" t="s">
        <v>199</v>
      </c>
      <c r="D183" s="4" t="s">
        <v>200</v>
      </c>
      <c r="E183" s="4" t="str">
        <f t="shared" si="86"/>
        <v>DTE-MI</v>
      </c>
      <c r="F183" s="4" t="s">
        <v>135</v>
      </c>
      <c r="G183" s="4"/>
      <c r="H183" s="4" t="s">
        <v>231</v>
      </c>
      <c r="I183" s="4"/>
      <c r="J183" s="4" t="s">
        <v>142</v>
      </c>
      <c r="K183" s="5">
        <f>40274*10.36</f>
        <v>417238.63999999996</v>
      </c>
      <c r="L183" s="5">
        <f t="shared" si="85"/>
        <v>453520.26086956519</v>
      </c>
      <c r="M183" s="8">
        <v>7928</v>
      </c>
      <c r="N183" s="39"/>
      <c r="O183" s="8">
        <f>SUMIFS(EIAwtransport!$J$2:$J$675,EIAwtransport!$E$2:$E$675,Program_data!$E183,EIAwtransport!$H$2:$H$675,Program_data!$F183,EIAwtransport!$I$2:$I$675,Program_data!O$2)</f>
        <v>931968579</v>
      </c>
      <c r="P183" s="5">
        <f>SUMIFS(EIAwtransport!$J$2:$J$675,EIAwtransport!$E$2:$E$675,Program_data!$E183,EIAwtransport!$H$2:$H$675,Program_data!$F183,EIAwtransport!$I$2:$I$675,Program_data!P$2)</f>
        <v>108792722</v>
      </c>
      <c r="Q183" s="5">
        <f>SUMIFS(EIAwtransport!$J$2:$J$675,EIAwtransport!$E$2:$E$675,Program_data!$E183,EIAwtransport!$H$2:$H$675,Program_data!$F183,EIAwtransport!$I$2:$I$675,Program_data!Q$2)</f>
        <v>1214769</v>
      </c>
      <c r="R183" s="8">
        <f>SUMIFS(EIAwtransport!$J$2:$J$675,EIAwtransport!$E$2:$E$675,Program_data!$E183,EIAwtransport!$I$2:$I$675,Program_data!R$2)</f>
        <v>1280322374</v>
      </c>
      <c r="S183" s="5">
        <f>SUMIFS(EIAwtransport!$J$2:$J$675,EIAwtransport!$E$2:$E$675,Program_data!$E183,EIAwtransport!$I$2:$I$675,Program_data!S$2)</f>
        <v>233428713</v>
      </c>
      <c r="T183" s="5">
        <f>SUMIFS(EIAwtransport!$J$2:$J$675,EIAwtransport!$E$2:$E$675,Program_data!$E183,EIAwtransport!$I$2:$I$675,Program_data!T$2)</f>
        <v>1305155</v>
      </c>
      <c r="U183" s="24">
        <f t="shared" si="80"/>
        <v>1.7253233110187263E-4</v>
      </c>
      <c r="V183" s="24">
        <f t="shared" si="57"/>
        <v>1.8753514250203547E-4</v>
      </c>
      <c r="W183" s="24">
        <f t="shared" si="81"/>
        <v>6.1921904678047906E-6</v>
      </c>
      <c r="X183" s="25">
        <f t="shared" si="82"/>
        <v>3.2783069204128512E-6</v>
      </c>
      <c r="Y183" s="8">
        <f t="shared" si="58"/>
        <v>1.0617749903583116E-3</v>
      </c>
      <c r="Z183" s="27">
        <f t="shared" si="59"/>
        <v>4.1694324743539506E-4</v>
      </c>
      <c r="AA183" s="27"/>
      <c r="AB183" s="27"/>
      <c r="AC183" s="56">
        <f t="shared" si="84"/>
        <v>8.3152740327578287E-3</v>
      </c>
      <c r="AD183" s="20">
        <f t="shared" si="70"/>
        <v>10702.800000000001</v>
      </c>
      <c r="AE183" s="20">
        <f t="shared" si="61"/>
        <v>0</v>
      </c>
      <c r="AF183" s="20">
        <f t="shared" si="62"/>
        <v>1728435204.9000001</v>
      </c>
      <c r="AG183">
        <f t="shared" si="63"/>
        <v>44010331.747199997</v>
      </c>
      <c r="AH183">
        <f t="shared" si="64"/>
        <v>47837317.116521738</v>
      </c>
      <c r="AI183">
        <f t="shared" si="65"/>
        <v>24622060647.240002</v>
      </c>
    </row>
    <row r="184" spans="2:35" x14ac:dyDescent="0.25">
      <c r="B184" s="4">
        <v>2025</v>
      </c>
      <c r="C184" s="4" t="s">
        <v>199</v>
      </c>
      <c r="D184" s="4" t="s">
        <v>200</v>
      </c>
      <c r="E184" s="4" t="str">
        <f t="shared" ref="E184" si="87">D184&amp;"-"&amp;C184</f>
        <v>DTE-MI</v>
      </c>
      <c r="F184" s="4" t="s">
        <v>135</v>
      </c>
      <c r="G184" s="4"/>
      <c r="H184" s="4" t="s">
        <v>232</v>
      </c>
      <c r="I184" s="4" t="s">
        <v>167</v>
      </c>
      <c r="J184" s="4" t="s">
        <v>155</v>
      </c>
      <c r="K184" s="5">
        <v>0</v>
      </c>
      <c r="L184" s="5">
        <v>0</v>
      </c>
      <c r="M184" s="8">
        <v>1676479</v>
      </c>
      <c r="N184" s="39"/>
      <c r="O184" s="8">
        <f>SUMIFS(EIAwtransport!$J$2:$J$675,EIAwtransport!$E$2:$E$675,Program_data!$E184,EIAwtransport!$H$2:$H$675,Program_data!$F184,EIAwtransport!$I$2:$I$675,Program_data!O$2)</f>
        <v>931968579</v>
      </c>
      <c r="P184" s="5">
        <f>SUMIFS(EIAwtransport!$J$2:$J$675,EIAwtransport!$E$2:$E$675,Program_data!$E184,EIAwtransport!$H$2:$H$675,Program_data!$F184,EIAwtransport!$I$2:$I$675,Program_data!P$2)</f>
        <v>108792722</v>
      </c>
      <c r="Q184" s="5">
        <f>SUMIFS(EIAwtransport!$J$2:$J$675,EIAwtransport!$E$2:$E$675,Program_data!$E184,EIAwtransport!$H$2:$H$675,Program_data!$F184,EIAwtransport!$I$2:$I$675,Program_data!Q$2)</f>
        <v>1214769</v>
      </c>
      <c r="R184" s="8">
        <f>SUMIFS(EIAwtransport!$J$2:$J$675,EIAwtransport!$E$2:$E$675,Program_data!$E184,EIAwtransport!$I$2:$I$675,Program_data!R$2)</f>
        <v>1280322374</v>
      </c>
      <c r="S184" s="5">
        <f>SUMIFS(EIAwtransport!$J$2:$J$675,EIAwtransport!$E$2:$E$675,Program_data!$E184,EIAwtransport!$I$2:$I$675,Program_data!S$2)</f>
        <v>233428713</v>
      </c>
      <c r="T184" s="5">
        <f>SUMIFS(EIAwtransport!$J$2:$J$675,EIAwtransport!$E$2:$E$675,Program_data!$E184,EIAwtransport!$I$2:$I$675,Program_data!T$2)</f>
        <v>1305155</v>
      </c>
      <c r="U184" s="24">
        <f t="shared" si="80"/>
        <v>0</v>
      </c>
      <c r="V184" s="24">
        <f t="shared" si="57"/>
        <v>0</v>
      </c>
      <c r="W184" s="24">
        <f t="shared" si="81"/>
        <v>1.3094194353273092E-3</v>
      </c>
      <c r="X184" s="25">
        <f t="shared" si="82"/>
        <v>6.9324075525060752E-4</v>
      </c>
      <c r="Y184" s="8">
        <f t="shared" si="58"/>
        <v>0.22452616978568515</v>
      </c>
      <c r="Z184" s="27">
        <f t="shared" si="59"/>
        <v>8.8168087603083214E-2</v>
      </c>
      <c r="AA184" s="27"/>
      <c r="AB184" s="27"/>
      <c r="AC184" s="56">
        <f t="shared" si="84"/>
        <v>0</v>
      </c>
      <c r="AD184" s="20">
        <f t="shared" si="70"/>
        <v>2263246.6500000004</v>
      </c>
      <c r="AE184" s="20">
        <f t="shared" si="61"/>
        <v>0</v>
      </c>
      <c r="AF184" s="20">
        <f t="shared" si="62"/>
        <v>1728435204.9000001</v>
      </c>
      <c r="AG184">
        <f t="shared" si="63"/>
        <v>0</v>
      </c>
      <c r="AH184">
        <f t="shared" si="64"/>
        <v>0</v>
      </c>
      <c r="AI184">
        <f t="shared" si="65"/>
        <v>24622060647.240002</v>
      </c>
    </row>
    <row r="185" spans="2:35" x14ac:dyDescent="0.25">
      <c r="B185" s="4">
        <v>2025</v>
      </c>
      <c r="C185" s="4" t="s">
        <v>199</v>
      </c>
      <c r="D185" s="4" t="s">
        <v>200</v>
      </c>
      <c r="E185" s="4" t="str">
        <f t="shared" ref="E185:E186" si="88">D185&amp;"-"&amp;C185</f>
        <v>DTE-MI</v>
      </c>
      <c r="F185" s="4" t="s">
        <v>135</v>
      </c>
      <c r="G185" s="4"/>
      <c r="H185" s="4" t="s">
        <v>233</v>
      </c>
      <c r="I185" s="4" t="s">
        <v>167</v>
      </c>
      <c r="J185" s="4" t="s">
        <v>155</v>
      </c>
      <c r="K185" s="5">
        <v>0</v>
      </c>
      <c r="L185" s="5">
        <v>0</v>
      </c>
      <c r="M185" s="8">
        <v>5339435</v>
      </c>
      <c r="N185" s="39"/>
      <c r="O185" s="8">
        <f>SUMIFS(EIAwtransport!$J$2:$J$675,EIAwtransport!$E$2:$E$675,Program_data!$E185,EIAwtransport!$H$2:$H$675,Program_data!$F185,EIAwtransport!$I$2:$I$675,Program_data!O$2)</f>
        <v>931968579</v>
      </c>
      <c r="P185" s="5">
        <f>SUMIFS(EIAwtransport!$J$2:$J$675,EIAwtransport!$E$2:$E$675,Program_data!$E185,EIAwtransport!$H$2:$H$675,Program_data!$F185,EIAwtransport!$I$2:$I$675,Program_data!P$2)</f>
        <v>108792722</v>
      </c>
      <c r="Q185" s="5">
        <f>SUMIFS(EIAwtransport!$J$2:$J$675,EIAwtransport!$E$2:$E$675,Program_data!$E185,EIAwtransport!$H$2:$H$675,Program_data!$F185,EIAwtransport!$I$2:$I$675,Program_data!Q$2)</f>
        <v>1214769</v>
      </c>
      <c r="R185" s="8">
        <f>SUMIFS(EIAwtransport!$J$2:$J$675,EIAwtransport!$E$2:$E$675,Program_data!$E185,EIAwtransport!$I$2:$I$675,Program_data!R$2)</f>
        <v>1280322374</v>
      </c>
      <c r="S185" s="5">
        <f>SUMIFS(EIAwtransport!$J$2:$J$675,EIAwtransport!$E$2:$E$675,Program_data!$E185,EIAwtransport!$I$2:$I$675,Program_data!S$2)</f>
        <v>233428713</v>
      </c>
      <c r="T185" s="5">
        <f>SUMIFS(EIAwtransport!$J$2:$J$675,EIAwtransport!$E$2:$E$675,Program_data!$E185,EIAwtransport!$I$2:$I$675,Program_data!T$2)</f>
        <v>1305155</v>
      </c>
      <c r="U185" s="24"/>
      <c r="V185" s="24">
        <f t="shared" si="57"/>
        <v>0</v>
      </c>
      <c r="W185" s="24"/>
      <c r="X185" s="25"/>
      <c r="Y185" s="8">
        <f t="shared" si="58"/>
        <v>0.71509567931935314</v>
      </c>
      <c r="Z185" s="27">
        <f t="shared" si="59"/>
        <v>0.28080743798816959</v>
      </c>
      <c r="AA185" s="27"/>
      <c r="AB185" s="27"/>
      <c r="AC185" s="56">
        <f t="shared" si="84"/>
        <v>0</v>
      </c>
      <c r="AD185" s="20">
        <f t="shared" si="70"/>
        <v>7208237.2500000009</v>
      </c>
      <c r="AE185" s="20">
        <f t="shared" si="61"/>
        <v>0</v>
      </c>
      <c r="AF185" s="20">
        <f t="shared" si="62"/>
        <v>1728435204.9000001</v>
      </c>
      <c r="AG185">
        <f t="shared" si="63"/>
        <v>0</v>
      </c>
      <c r="AH185">
        <f t="shared" si="64"/>
        <v>0</v>
      </c>
      <c r="AI185">
        <f t="shared" si="65"/>
        <v>24622060647.240002</v>
      </c>
    </row>
    <row r="186" spans="2:35" x14ac:dyDescent="0.25">
      <c r="B186" s="4">
        <v>2025</v>
      </c>
      <c r="C186" s="4" t="s">
        <v>199</v>
      </c>
      <c r="D186" s="4" t="s">
        <v>200</v>
      </c>
      <c r="E186" s="4" t="str">
        <f t="shared" si="88"/>
        <v>DTE-MI</v>
      </c>
      <c r="F186" s="4" t="s">
        <v>143</v>
      </c>
      <c r="G186" s="4">
        <v>1</v>
      </c>
      <c r="H186" s="4" t="s">
        <v>234</v>
      </c>
      <c r="I186" s="4"/>
      <c r="J186" s="4" t="s">
        <v>48</v>
      </c>
      <c r="K186" s="5">
        <v>14677.697999999997</v>
      </c>
      <c r="L186" s="5">
        <v>14677.697999999997</v>
      </c>
      <c r="M186" s="8">
        <v>634250.16286644957</v>
      </c>
      <c r="N186" s="39"/>
      <c r="O186" s="8"/>
      <c r="P186" s="5"/>
      <c r="Q186" s="5"/>
      <c r="R186" s="8"/>
      <c r="S186" s="5"/>
      <c r="T186" s="5"/>
      <c r="U186" s="24"/>
      <c r="V186" s="24"/>
      <c r="W186" s="24"/>
      <c r="X186" s="25"/>
      <c r="Y186" s="8">
        <f t="shared" si="58"/>
        <v>0.53133132727901133</v>
      </c>
      <c r="Z186" s="27">
        <f t="shared" si="59"/>
        <v>3.3355994272447745E-2</v>
      </c>
      <c r="AA186" s="27"/>
      <c r="AB186" s="27"/>
      <c r="AC186" s="56"/>
      <c r="AD186" s="20"/>
      <c r="AE186" s="20"/>
      <c r="AF186" s="20"/>
    </row>
    <row r="187" spans="2:35" x14ac:dyDescent="0.25">
      <c r="B187" s="4">
        <v>2025</v>
      </c>
      <c r="C187" s="4" t="s">
        <v>199</v>
      </c>
      <c r="D187" s="4" t="s">
        <v>200</v>
      </c>
      <c r="E187" s="4" t="str">
        <f t="shared" si="86"/>
        <v>DTE-MI</v>
      </c>
      <c r="F187" s="4" t="s">
        <v>143</v>
      </c>
      <c r="G187" s="4">
        <v>1</v>
      </c>
      <c r="H187" s="4" t="s">
        <v>234</v>
      </c>
      <c r="I187" s="4"/>
      <c r="J187" s="4" t="s">
        <v>21</v>
      </c>
      <c r="K187" s="5">
        <v>393330.18200000003</v>
      </c>
      <c r="L187" s="5">
        <v>428809.12808695657</v>
      </c>
      <c r="M187" s="8">
        <v>11792300.837133551</v>
      </c>
      <c r="N187" s="39"/>
      <c r="O187" s="8">
        <f>SUMIFS(EIAwtransport!$J$2:$J$675,EIAwtransport!$E$2:$E$675,Program_data!$E187,EIAwtransport!$H$2:$H$675,Program_data!$F187,EIAwtransport!$I$2:$I$675,Program_data!O$2)</f>
        <v>0</v>
      </c>
      <c r="P187" s="5">
        <f>SUMIFS(EIAwtransport!$J$2:$J$675,EIAwtransport!$E$2:$E$675,Program_data!$E187,EIAwtransport!$H$2:$H$675,Program_data!$F187,EIAwtransport!$I$2:$I$675,Program_data!P$2)</f>
        <v>0</v>
      </c>
      <c r="Q187" s="5">
        <f>SUMIFS(EIAwtransport!$J$2:$J$675,EIAwtransport!$E$2:$E$675,Program_data!$E187,EIAwtransport!$H$2:$H$675,Program_data!$F187,EIAwtransport!$I$2:$I$675,Program_data!Q$2)</f>
        <v>0</v>
      </c>
      <c r="R187" s="8">
        <f>SUMIFS(EIAwtransport!$J$2:$J$675,EIAwtransport!$E$2:$E$675,Program_data!$E187,EIAwtransport!$I$2:$I$675,Program_data!R$2)</f>
        <v>1280322374</v>
      </c>
      <c r="S187" s="5">
        <f>SUMIFS(EIAwtransport!$J$2:$J$675,EIAwtransport!$E$2:$E$675,Program_data!$E187,EIAwtransport!$I$2:$I$675,Program_data!S$2)</f>
        <v>233428713</v>
      </c>
      <c r="T187" s="5">
        <f>SUMIFS(EIAwtransport!$J$2:$J$675,EIAwtransport!$E$2:$E$675,Program_data!$E187,EIAwtransport!$I$2:$I$675,Program_data!T$2)</f>
        <v>1305155</v>
      </c>
      <c r="U187" s="24">
        <f t="shared" ref="U187:U202" si="89">IFERROR(K187/10.36/S187,"")</f>
        <v>1.626459457186991E-4</v>
      </c>
      <c r="V187" s="24">
        <f t="shared" si="57"/>
        <v>1.7731684310591202E-4</v>
      </c>
      <c r="W187" s="24">
        <f t="shared" ref="W187:W202" si="90">IFERROR(M187/R187,"")</f>
        <v>9.2104153427326977E-3</v>
      </c>
      <c r="X187" s="25">
        <f t="shared" ref="X187:X202" si="91">IFERROR(M187/S187/10.36,"")</f>
        <v>4.8762337843043868E-3</v>
      </c>
      <c r="Y187" s="8">
        <f t="shared" si="58"/>
        <v>9.878781626402013</v>
      </c>
      <c r="Z187" s="27">
        <f t="shared" si="59"/>
        <v>0.62017156984984745</v>
      </c>
      <c r="AA187" s="27"/>
      <c r="AB187" s="27"/>
      <c r="AC187" s="56">
        <f>IFERROR(K187/SUMIFS($M$3:$M$1234,$E$3:$E$1234,E187,$B$3:$B$1234,B187),"")</f>
        <v>7.8387952004745094E-3</v>
      </c>
      <c r="AD187" s="20">
        <f t="shared" si="70"/>
        <v>15919606.130130295</v>
      </c>
      <c r="AE187" s="20">
        <f t="shared" si="61"/>
        <v>0</v>
      </c>
      <c r="AF187" s="20">
        <f t="shared" si="62"/>
        <v>1728435204.9000001</v>
      </c>
      <c r="AG187">
        <f t="shared" si="63"/>
        <v>41488467.597360007</v>
      </c>
      <c r="AH187">
        <f t="shared" si="64"/>
        <v>45230786.830612183</v>
      </c>
      <c r="AI187">
        <f t="shared" si="65"/>
        <v>24622060647.240002</v>
      </c>
    </row>
    <row r="188" spans="2:35" x14ac:dyDescent="0.25">
      <c r="B188" s="4">
        <v>2025</v>
      </c>
      <c r="C188" s="4" t="s">
        <v>199</v>
      </c>
      <c r="D188" s="4" t="s">
        <v>200</v>
      </c>
      <c r="E188" s="4" t="str">
        <f t="shared" ref="E188" si="92">D188&amp;"-"&amp;C188</f>
        <v>DTE-MI</v>
      </c>
      <c r="F188" s="4" t="s">
        <v>143</v>
      </c>
      <c r="G188" s="4">
        <v>1</v>
      </c>
      <c r="H188" s="4" t="s">
        <v>190</v>
      </c>
      <c r="I188" s="4"/>
      <c r="J188" s="4" t="s">
        <v>48</v>
      </c>
      <c r="K188" s="5">
        <v>42390.485999999997</v>
      </c>
      <c r="L188" s="5">
        <v>42390.485999999997</v>
      </c>
      <c r="M188" s="8">
        <v>505502.9296875</v>
      </c>
      <c r="N188" s="39"/>
      <c r="O188" s="8"/>
      <c r="P188" s="5"/>
      <c r="Q188" s="5"/>
      <c r="R188" s="8"/>
      <c r="S188" s="5"/>
      <c r="T188" s="5"/>
      <c r="U188" s="24"/>
      <c r="V188" s="24"/>
      <c r="W188" s="24"/>
      <c r="X188" s="25"/>
      <c r="Y188" s="8">
        <f t="shared" si="58"/>
        <v>0.42347571715301785</v>
      </c>
      <c r="Z188" s="27">
        <f t="shared" si="59"/>
        <v>2.6585019310294201E-2</v>
      </c>
      <c r="AA188" s="27"/>
      <c r="AB188" s="27"/>
      <c r="AC188" s="56"/>
      <c r="AD188" s="20"/>
      <c r="AE188" s="20"/>
      <c r="AF188" s="20"/>
    </row>
    <row r="189" spans="2:35" x14ac:dyDescent="0.25">
      <c r="B189" s="4">
        <v>2025</v>
      </c>
      <c r="C189" s="4" t="s">
        <v>199</v>
      </c>
      <c r="D189" s="4" t="s">
        <v>200</v>
      </c>
      <c r="E189" s="4" t="str">
        <f t="shared" si="86"/>
        <v>DTE-MI</v>
      </c>
      <c r="F189" s="4" t="s">
        <v>143</v>
      </c>
      <c r="G189" s="4">
        <v>1</v>
      </c>
      <c r="H189" s="4" t="s">
        <v>190</v>
      </c>
      <c r="I189" s="4"/>
      <c r="J189" s="4" t="s">
        <v>21</v>
      </c>
      <c r="K189" s="5">
        <v>743301.55399999989</v>
      </c>
      <c r="L189" s="5">
        <v>811622.6009565217</v>
      </c>
      <c r="M189" s="8">
        <v>6209665.0703125</v>
      </c>
      <c r="N189" s="39"/>
      <c r="O189" s="8">
        <f>SUMIFS(EIAwtransport!$J$2:$J$675,EIAwtransport!$E$2:$E$675,Program_data!$E189,EIAwtransport!$H$2:$H$675,Program_data!$F189,EIAwtransport!$I$2:$I$675,Program_data!O$2)</f>
        <v>0</v>
      </c>
      <c r="P189" s="5">
        <f>SUMIFS(EIAwtransport!$J$2:$J$675,EIAwtransport!$E$2:$E$675,Program_data!$E189,EIAwtransport!$H$2:$H$675,Program_data!$F189,EIAwtransport!$I$2:$I$675,Program_data!P$2)</f>
        <v>0</v>
      </c>
      <c r="Q189" s="5">
        <f>SUMIFS(EIAwtransport!$J$2:$J$675,EIAwtransport!$E$2:$E$675,Program_data!$E189,EIAwtransport!$H$2:$H$675,Program_data!$F189,EIAwtransport!$I$2:$I$675,Program_data!Q$2)</f>
        <v>0</v>
      </c>
      <c r="R189" s="8">
        <f>SUMIFS(EIAwtransport!$J$2:$J$675,EIAwtransport!$E$2:$E$675,Program_data!$E189,EIAwtransport!$I$2:$I$675,Program_data!R$2)</f>
        <v>1280322374</v>
      </c>
      <c r="S189" s="5">
        <f>SUMIFS(EIAwtransport!$J$2:$J$675,EIAwtransport!$E$2:$E$675,Program_data!$E189,EIAwtransport!$I$2:$I$675,Program_data!S$2)</f>
        <v>233428713</v>
      </c>
      <c r="T189" s="5">
        <f>SUMIFS(EIAwtransport!$J$2:$J$675,EIAwtransport!$E$2:$E$675,Program_data!$E189,EIAwtransport!$I$2:$I$675,Program_data!T$2)</f>
        <v>1305155</v>
      </c>
      <c r="U189" s="24">
        <f t="shared" si="89"/>
        <v>3.0736259188090642E-4</v>
      </c>
      <c r="V189" s="24">
        <f t="shared" si="57"/>
        <v>3.3561402490908719E-4</v>
      </c>
      <c r="W189" s="24">
        <f t="shared" si="90"/>
        <v>4.850079320969908E-3</v>
      </c>
      <c r="X189" s="25">
        <f t="shared" si="91"/>
        <v>2.5677583215756084E-3</v>
      </c>
      <c r="Y189" s="8">
        <f t="shared" si="58"/>
        <v>5.2020319062369547</v>
      </c>
      <c r="Z189" s="27">
        <f t="shared" si="59"/>
        <v>0.32657390513398521</v>
      </c>
      <c r="AA189" s="27"/>
      <c r="AB189" s="27"/>
      <c r="AC189" s="56">
        <f t="shared" ref="AC189:AC220" si="93">IFERROR(K189/SUMIFS($M$3:$M$1234,$E$3:$E$1234,E189,$B$3:$B$1234,B189),"")</f>
        <v>1.4813479668337385E-2</v>
      </c>
      <c r="AD189" s="20">
        <f t="shared" si="70"/>
        <v>8383047.8449218757</v>
      </c>
      <c r="AE189" s="20">
        <f t="shared" si="61"/>
        <v>0</v>
      </c>
      <c r="AF189" s="20">
        <f t="shared" si="62"/>
        <v>1728435204.9000001</v>
      </c>
      <c r="AG189">
        <f t="shared" si="63"/>
        <v>78403447.915919989</v>
      </c>
      <c r="AH189">
        <f t="shared" si="64"/>
        <v>85609951.948893905</v>
      </c>
      <c r="AI189">
        <f t="shared" si="65"/>
        <v>24622060647.240002</v>
      </c>
    </row>
    <row r="190" spans="2:35" x14ac:dyDescent="0.25">
      <c r="B190" s="4">
        <v>2025</v>
      </c>
      <c r="C190" s="4" t="s">
        <v>199</v>
      </c>
      <c r="D190" s="4" t="s">
        <v>200</v>
      </c>
      <c r="E190" s="4" t="str">
        <f t="shared" si="86"/>
        <v>DTE-MI</v>
      </c>
      <c r="F190" s="4" t="s">
        <v>143</v>
      </c>
      <c r="G190" s="4">
        <v>1</v>
      </c>
      <c r="H190" s="4" t="s">
        <v>235</v>
      </c>
      <c r="I190" s="4" t="s">
        <v>167</v>
      </c>
      <c r="J190" s="4" t="s">
        <v>155</v>
      </c>
      <c r="K190" s="5">
        <v>0</v>
      </c>
      <c r="L190" s="5">
        <v>0</v>
      </c>
      <c r="M190" s="8">
        <v>168026</v>
      </c>
      <c r="N190" s="39"/>
      <c r="O190" s="8">
        <f>SUMIFS(EIAwtransport!$J$2:$J$675,EIAwtransport!$E$2:$E$675,Program_data!$E190,EIAwtransport!$H$2:$H$675,Program_data!$F190,EIAwtransport!$I$2:$I$675,Program_data!O$2)</f>
        <v>0</v>
      </c>
      <c r="P190" s="5">
        <f>SUMIFS(EIAwtransport!$J$2:$J$675,EIAwtransport!$E$2:$E$675,Program_data!$E190,EIAwtransport!$H$2:$H$675,Program_data!$F190,EIAwtransport!$I$2:$I$675,Program_data!P$2)</f>
        <v>0</v>
      </c>
      <c r="Q190" s="5">
        <f>SUMIFS(EIAwtransport!$J$2:$J$675,EIAwtransport!$E$2:$E$675,Program_data!$E190,EIAwtransport!$H$2:$H$675,Program_data!$F190,EIAwtransport!$I$2:$I$675,Program_data!Q$2)</f>
        <v>0</v>
      </c>
      <c r="R190" s="8">
        <f>SUMIFS(EIAwtransport!$J$2:$J$675,EIAwtransport!$E$2:$E$675,Program_data!$E190,EIAwtransport!$I$2:$I$675,Program_data!R$2)</f>
        <v>1280322374</v>
      </c>
      <c r="S190" s="5">
        <f>SUMIFS(EIAwtransport!$J$2:$J$675,EIAwtransport!$E$2:$E$675,Program_data!$E190,EIAwtransport!$I$2:$I$675,Program_data!S$2)</f>
        <v>233428713</v>
      </c>
      <c r="T190" s="5">
        <f>SUMIFS(EIAwtransport!$J$2:$J$675,EIAwtransport!$E$2:$E$675,Program_data!$E190,EIAwtransport!$I$2:$I$675,Program_data!T$2)</f>
        <v>1305155</v>
      </c>
      <c r="U190" s="24">
        <f t="shared" si="89"/>
        <v>0</v>
      </c>
      <c r="V190" s="24">
        <f t="shared" si="57"/>
        <v>0</v>
      </c>
      <c r="W190" s="24">
        <f t="shared" si="90"/>
        <v>1.3123725978094952E-4</v>
      </c>
      <c r="X190" s="25">
        <f t="shared" si="91"/>
        <v>6.9480423638911419E-5</v>
      </c>
      <c r="Y190" s="8">
        <f t="shared" si="58"/>
        <v>0.14076066956593244</v>
      </c>
      <c r="Z190" s="27">
        <f t="shared" si="59"/>
        <v>8.8366935032265E-3</v>
      </c>
      <c r="AA190" s="27"/>
      <c r="AB190" s="27"/>
      <c r="AC190" s="56">
        <f t="shared" si="93"/>
        <v>0</v>
      </c>
      <c r="AD190" s="20">
        <f t="shared" si="70"/>
        <v>226835.1</v>
      </c>
      <c r="AE190" s="20">
        <f t="shared" si="61"/>
        <v>0</v>
      </c>
      <c r="AF190" s="20">
        <f t="shared" si="62"/>
        <v>1728435204.9000001</v>
      </c>
      <c r="AG190">
        <f t="shared" si="63"/>
        <v>0</v>
      </c>
      <c r="AH190">
        <f t="shared" si="64"/>
        <v>0</v>
      </c>
      <c r="AI190">
        <f t="shared" si="65"/>
        <v>24622060647.240002</v>
      </c>
    </row>
    <row r="191" spans="2:35" x14ac:dyDescent="0.25">
      <c r="B191" s="4">
        <v>2025</v>
      </c>
      <c r="C191" s="4" t="s">
        <v>199</v>
      </c>
      <c r="D191" s="4" t="s">
        <v>200</v>
      </c>
      <c r="E191" s="4" t="str">
        <f t="shared" si="86"/>
        <v>DTE-MI</v>
      </c>
      <c r="F191" s="4" t="s">
        <v>146</v>
      </c>
      <c r="G191" s="4"/>
      <c r="H191" s="4" t="s">
        <v>236</v>
      </c>
      <c r="I191" s="4"/>
      <c r="J191" s="4" t="s">
        <v>142</v>
      </c>
      <c r="K191" s="5">
        <f>446216*10.36</f>
        <v>4622797.76</v>
      </c>
      <c r="L191" s="5">
        <f t="shared" ref="L191:L201" si="94">(K191/92)*100</f>
        <v>5024780.173913043</v>
      </c>
      <c r="M191" s="8">
        <v>3931202</v>
      </c>
      <c r="N191" s="39"/>
      <c r="O191" s="8">
        <f>SUMIFS(EIAwtransport!$J$2:$J$675,EIAwtransport!$E$2:$E$675,Program_data!$E191,EIAwtransport!$H$2:$H$675,Program_data!$F191,EIAwtransport!$I$2:$I$675,Program_data!O$2)</f>
        <v>348353795</v>
      </c>
      <c r="P191" s="5">
        <f>SUMIFS(EIAwtransport!$J$2:$J$675,EIAwtransport!$E$2:$E$675,Program_data!$E191,EIAwtransport!$H$2:$H$675,Program_data!$F191,EIAwtransport!$I$2:$I$675,Program_data!P$2)</f>
        <v>124635991</v>
      </c>
      <c r="Q191" s="5">
        <f>SUMIFS(EIAwtransport!$J$2:$J$675,EIAwtransport!$E$2:$E$675,Program_data!$E191,EIAwtransport!$H$2:$H$675,Program_data!$F191,EIAwtransport!$I$2:$I$675,Program_data!Q$2)</f>
        <v>90386</v>
      </c>
      <c r="R191" s="8">
        <f>SUMIFS(EIAwtransport!$J$2:$J$675,EIAwtransport!$E$2:$E$675,Program_data!$E191,EIAwtransport!$I$2:$I$675,Program_data!R$2)</f>
        <v>1280322374</v>
      </c>
      <c r="S191" s="5">
        <f>SUMIFS(EIAwtransport!$J$2:$J$675,EIAwtransport!$E$2:$E$675,Program_data!$E191,EIAwtransport!$I$2:$I$675,Program_data!S$2)</f>
        <v>233428713</v>
      </c>
      <c r="T191" s="5">
        <f>SUMIFS(EIAwtransport!$J$2:$J$675,EIAwtransport!$E$2:$E$675,Program_data!$E191,EIAwtransport!$I$2:$I$675,Program_data!T$2)</f>
        <v>1305155</v>
      </c>
      <c r="U191" s="24">
        <f t="shared" si="89"/>
        <v>1.911572892063197E-3</v>
      </c>
      <c r="V191" s="24">
        <f t="shared" si="57"/>
        <v>2.0777966218078225E-3</v>
      </c>
      <c r="W191" s="24">
        <f t="shared" si="90"/>
        <v>3.070478248160334E-3</v>
      </c>
      <c r="X191" s="25">
        <f t="shared" si="91"/>
        <v>1.6255911607140315E-3</v>
      </c>
      <c r="Y191" s="8">
        <f t="shared" si="58"/>
        <v>0.37967454830399255</v>
      </c>
      <c r="Z191" s="27">
        <f t="shared" si="59"/>
        <v>0.20674673665546417</v>
      </c>
      <c r="AA191" s="27"/>
      <c r="AB191" s="27"/>
      <c r="AC191" s="56">
        <f t="shared" si="93"/>
        <v>9.2129123449398317E-2</v>
      </c>
      <c r="AD191" s="20">
        <f t="shared" si="70"/>
        <v>5307122.7</v>
      </c>
      <c r="AE191" s="20">
        <f t="shared" si="61"/>
        <v>0</v>
      </c>
      <c r="AF191" s="20">
        <f t="shared" si="62"/>
        <v>1728435204.9000001</v>
      </c>
      <c r="AG191">
        <f t="shared" si="63"/>
        <v>487612707.72479999</v>
      </c>
      <c r="AH191">
        <f t="shared" si="64"/>
        <v>530013812.74434781</v>
      </c>
      <c r="AI191">
        <f t="shared" si="65"/>
        <v>24622060647.240002</v>
      </c>
    </row>
    <row r="192" spans="2:35" x14ac:dyDescent="0.25">
      <c r="B192" s="4">
        <v>2025</v>
      </c>
      <c r="C192" s="4" t="s">
        <v>199</v>
      </c>
      <c r="D192" s="4" t="s">
        <v>200</v>
      </c>
      <c r="E192" s="4" t="str">
        <f t="shared" si="86"/>
        <v>DTE-MI</v>
      </c>
      <c r="F192" s="4" t="s">
        <v>146</v>
      </c>
      <c r="G192" s="4"/>
      <c r="H192" s="4" t="s">
        <v>237</v>
      </c>
      <c r="I192" s="4"/>
      <c r="J192" s="4" t="s">
        <v>142</v>
      </c>
      <c r="K192" s="5">
        <f>254851*10.36</f>
        <v>2640256.36</v>
      </c>
      <c r="L192" s="5">
        <f t="shared" si="94"/>
        <v>2869843.8695652173</v>
      </c>
      <c r="M192" s="8">
        <v>2301072</v>
      </c>
      <c r="N192" s="39"/>
      <c r="O192" s="8">
        <f>SUMIFS(EIAwtransport!$J$2:$J$675,EIAwtransport!$E$2:$E$675,Program_data!$E192,EIAwtransport!$H$2:$H$675,Program_data!$F192,EIAwtransport!$I$2:$I$675,Program_data!O$2)</f>
        <v>348353795</v>
      </c>
      <c r="P192" s="5">
        <f>SUMIFS(EIAwtransport!$J$2:$J$675,EIAwtransport!$E$2:$E$675,Program_data!$E192,EIAwtransport!$H$2:$H$675,Program_data!$F192,EIAwtransport!$I$2:$I$675,Program_data!P$2)</f>
        <v>124635991</v>
      </c>
      <c r="Q192" s="5">
        <f>SUMIFS(EIAwtransport!$J$2:$J$675,EIAwtransport!$E$2:$E$675,Program_data!$E192,EIAwtransport!$H$2:$H$675,Program_data!$F192,EIAwtransport!$I$2:$I$675,Program_data!Q$2)</f>
        <v>90386</v>
      </c>
      <c r="R192" s="8">
        <f>SUMIFS(EIAwtransport!$J$2:$J$675,EIAwtransport!$E$2:$E$675,Program_data!$E192,EIAwtransport!$I$2:$I$675,Program_data!R$2)</f>
        <v>1280322374</v>
      </c>
      <c r="S192" s="5">
        <f>SUMIFS(EIAwtransport!$J$2:$J$675,EIAwtransport!$E$2:$E$675,Program_data!$E192,EIAwtransport!$I$2:$I$675,Program_data!S$2)</f>
        <v>233428713</v>
      </c>
      <c r="T192" s="5">
        <f>SUMIFS(EIAwtransport!$J$2:$J$675,EIAwtransport!$E$2:$E$675,Program_data!$E192,EIAwtransport!$I$2:$I$675,Program_data!T$2)</f>
        <v>1305155</v>
      </c>
      <c r="U192" s="24">
        <f t="shared" si="89"/>
        <v>1.0917722876705404E-3</v>
      </c>
      <c r="V192" s="24">
        <f t="shared" si="57"/>
        <v>1.186709008337544E-3</v>
      </c>
      <c r="W192" s="24">
        <f t="shared" si="90"/>
        <v>1.7972598516816983E-3</v>
      </c>
      <c r="X192" s="25">
        <f t="shared" si="91"/>
        <v>9.5151617835119082E-4</v>
      </c>
      <c r="Y192" s="8">
        <f t="shared" si="58"/>
        <v>0.2222369830435996</v>
      </c>
      <c r="Z192" s="27">
        <f t="shared" si="59"/>
        <v>0.12101619983131426</v>
      </c>
      <c r="AA192" s="27"/>
      <c r="AB192" s="27"/>
      <c r="AC192" s="56">
        <f t="shared" si="93"/>
        <v>5.2618461104493364E-2</v>
      </c>
      <c r="AD192" s="20">
        <f t="shared" si="70"/>
        <v>3106447.2</v>
      </c>
      <c r="AE192" s="20">
        <f t="shared" si="61"/>
        <v>0</v>
      </c>
      <c r="AF192" s="20">
        <f t="shared" si="62"/>
        <v>1728435204.9000001</v>
      </c>
      <c r="AG192">
        <f t="shared" si="63"/>
        <v>278494240.85280001</v>
      </c>
      <c r="AH192">
        <f t="shared" si="64"/>
        <v>302711131.36173916</v>
      </c>
      <c r="AI192">
        <f t="shared" si="65"/>
        <v>24622060647.240002</v>
      </c>
    </row>
    <row r="193" spans="2:35" x14ac:dyDescent="0.25">
      <c r="B193" s="4">
        <v>2025</v>
      </c>
      <c r="C193" s="4" t="s">
        <v>199</v>
      </c>
      <c r="D193" s="4" t="s">
        <v>200</v>
      </c>
      <c r="E193" s="4" t="str">
        <f t="shared" si="86"/>
        <v>DTE-MI</v>
      </c>
      <c r="F193" s="4" t="s">
        <v>146</v>
      </c>
      <c r="G193" s="4"/>
      <c r="H193" s="4" t="s">
        <v>177</v>
      </c>
      <c r="I193" s="4"/>
      <c r="J193" s="4" t="s">
        <v>71</v>
      </c>
      <c r="K193" s="5">
        <f>16892*10.36</f>
        <v>175001.12</v>
      </c>
      <c r="L193" s="5">
        <f t="shared" si="94"/>
        <v>190218.60869565216</v>
      </c>
      <c r="M193" s="8">
        <v>331169</v>
      </c>
      <c r="N193" s="39"/>
      <c r="O193" s="8">
        <f>SUMIFS(EIAwtransport!$J$2:$J$675,EIAwtransport!$E$2:$E$675,Program_data!$E193,EIAwtransport!$H$2:$H$675,Program_data!$F193,EIAwtransport!$I$2:$I$675,Program_data!O$2)</f>
        <v>348353795</v>
      </c>
      <c r="P193" s="5">
        <f>SUMIFS(EIAwtransport!$J$2:$J$675,EIAwtransport!$E$2:$E$675,Program_data!$E193,EIAwtransport!$H$2:$H$675,Program_data!$F193,EIAwtransport!$I$2:$I$675,Program_data!P$2)</f>
        <v>124635991</v>
      </c>
      <c r="Q193" s="5">
        <f>SUMIFS(EIAwtransport!$J$2:$J$675,EIAwtransport!$E$2:$E$675,Program_data!$E193,EIAwtransport!$H$2:$H$675,Program_data!$F193,EIAwtransport!$I$2:$I$675,Program_data!Q$2)</f>
        <v>90386</v>
      </c>
      <c r="R193" s="8">
        <f>SUMIFS(EIAwtransport!$J$2:$J$675,EIAwtransport!$E$2:$E$675,Program_data!$E193,EIAwtransport!$I$2:$I$675,Program_data!R$2)</f>
        <v>1280322374</v>
      </c>
      <c r="S193" s="5">
        <f>SUMIFS(EIAwtransport!$J$2:$J$675,EIAwtransport!$E$2:$E$675,Program_data!$E193,EIAwtransport!$I$2:$I$675,Program_data!S$2)</f>
        <v>233428713</v>
      </c>
      <c r="T193" s="5">
        <f>SUMIFS(EIAwtransport!$J$2:$J$675,EIAwtransport!$E$2:$E$675,Program_data!$E193,EIAwtransport!$I$2:$I$675,Program_data!T$2)</f>
        <v>1305155</v>
      </c>
      <c r="U193" s="24">
        <f t="shared" si="89"/>
        <v>7.2364705193743664E-5</v>
      </c>
      <c r="V193" s="24">
        <f t="shared" si="57"/>
        <v>7.8657288254069203E-5</v>
      </c>
      <c r="W193" s="24">
        <f t="shared" si="90"/>
        <v>2.5866063635626192E-4</v>
      </c>
      <c r="X193" s="25">
        <f t="shared" si="91"/>
        <v>1.3694167816929914E-4</v>
      </c>
      <c r="Y193" s="8">
        <f t="shared" si="58"/>
        <v>3.1984222761202531E-2</v>
      </c>
      <c r="Z193" s="27">
        <f t="shared" si="59"/>
        <v>1.7416584045147874E-2</v>
      </c>
      <c r="AA193" s="27"/>
      <c r="AB193" s="27"/>
      <c r="AC193" s="56">
        <f t="shared" si="93"/>
        <v>3.4876498227478093E-3</v>
      </c>
      <c r="AD193" s="20">
        <f t="shared" si="70"/>
        <v>447078.15</v>
      </c>
      <c r="AE193" s="20">
        <f t="shared" si="61"/>
        <v>0</v>
      </c>
      <c r="AF193" s="20">
        <f t="shared" si="62"/>
        <v>1728435204.9000001</v>
      </c>
      <c r="AG193">
        <f t="shared" si="63"/>
        <v>18459118.137600001</v>
      </c>
      <c r="AH193">
        <f t="shared" si="64"/>
        <v>20064258.845217392</v>
      </c>
      <c r="AI193">
        <f t="shared" si="65"/>
        <v>24622060647.240002</v>
      </c>
    </row>
    <row r="194" spans="2:35" x14ac:dyDescent="0.25">
      <c r="B194" s="4">
        <v>2025</v>
      </c>
      <c r="C194" s="4" t="s">
        <v>199</v>
      </c>
      <c r="D194" s="4" t="s">
        <v>200</v>
      </c>
      <c r="E194" s="4" t="str">
        <f t="shared" si="86"/>
        <v>DTE-MI</v>
      </c>
      <c r="F194" s="4" t="s">
        <v>146</v>
      </c>
      <c r="G194" s="4"/>
      <c r="H194" s="4" t="s">
        <v>68</v>
      </c>
      <c r="I194" s="4"/>
      <c r="J194" s="4" t="s">
        <v>68</v>
      </c>
      <c r="K194" s="5">
        <f>75954*10.36</f>
        <v>786883.44</v>
      </c>
      <c r="L194" s="5">
        <f t="shared" si="94"/>
        <v>855308.08695652173</v>
      </c>
      <c r="M194" s="8">
        <v>537178</v>
      </c>
      <c r="N194" s="39"/>
      <c r="O194" s="8">
        <f>SUMIFS(EIAwtransport!$J$2:$J$675,EIAwtransport!$E$2:$E$675,Program_data!$E194,EIAwtransport!$H$2:$H$675,Program_data!$F194,EIAwtransport!$I$2:$I$675,Program_data!O$2)</f>
        <v>348353795</v>
      </c>
      <c r="P194" s="5">
        <f>SUMIFS(EIAwtransport!$J$2:$J$675,EIAwtransport!$E$2:$E$675,Program_data!$E194,EIAwtransport!$H$2:$H$675,Program_data!$F194,EIAwtransport!$I$2:$I$675,Program_data!P$2)</f>
        <v>124635991</v>
      </c>
      <c r="Q194" s="5">
        <f>SUMIFS(EIAwtransport!$J$2:$J$675,EIAwtransport!$E$2:$E$675,Program_data!$E194,EIAwtransport!$H$2:$H$675,Program_data!$F194,EIAwtransport!$I$2:$I$675,Program_data!Q$2)</f>
        <v>90386</v>
      </c>
      <c r="R194" s="8">
        <f>SUMIFS(EIAwtransport!$J$2:$J$675,EIAwtransport!$E$2:$E$675,Program_data!$E194,EIAwtransport!$I$2:$I$675,Program_data!R$2)</f>
        <v>1280322374</v>
      </c>
      <c r="S194" s="5">
        <f>SUMIFS(EIAwtransport!$J$2:$J$675,EIAwtransport!$E$2:$E$675,Program_data!$E194,EIAwtransport!$I$2:$I$675,Program_data!S$2)</f>
        <v>233428713</v>
      </c>
      <c r="T194" s="5">
        <f>SUMIFS(EIAwtransport!$J$2:$J$675,EIAwtransport!$E$2:$E$675,Program_data!$E194,EIAwtransport!$I$2:$I$675,Program_data!T$2)</f>
        <v>1305155</v>
      </c>
      <c r="U194" s="24">
        <f t="shared" si="89"/>
        <v>3.2538413558404016E-4</v>
      </c>
      <c r="V194" s="24">
        <f t="shared" si="57"/>
        <v>3.5367840824352195E-4</v>
      </c>
      <c r="W194" s="24">
        <f t="shared" si="90"/>
        <v>4.1956464317790637E-4</v>
      </c>
      <c r="X194" s="25">
        <f t="shared" si="91"/>
        <v>2.2212845041543071E-4</v>
      </c>
      <c r="Y194" s="8">
        <f t="shared" si="58"/>
        <v>5.188052267699348E-2</v>
      </c>
      <c r="Z194" s="27">
        <f t="shared" si="59"/>
        <v>2.8250850122458458E-2</v>
      </c>
      <c r="AA194" s="27"/>
      <c r="AB194" s="27"/>
      <c r="AC194" s="56">
        <f t="shared" si="93"/>
        <v>1.568203614947828E-2</v>
      </c>
      <c r="AD194" s="20">
        <f t="shared" si="70"/>
        <v>725190.3</v>
      </c>
      <c r="AE194" s="20">
        <f t="shared" si="61"/>
        <v>0</v>
      </c>
      <c r="AF194" s="20">
        <f t="shared" si="62"/>
        <v>1728435204.9000001</v>
      </c>
      <c r="AG194">
        <f t="shared" si="63"/>
        <v>83000465.251199991</v>
      </c>
      <c r="AH194">
        <f t="shared" si="64"/>
        <v>90217897.012173921</v>
      </c>
      <c r="AI194">
        <f t="shared" si="65"/>
        <v>24622060647.240002</v>
      </c>
    </row>
    <row r="195" spans="2:35" x14ac:dyDescent="0.25">
      <c r="B195" s="4">
        <v>2025</v>
      </c>
      <c r="C195" s="4" t="s">
        <v>199</v>
      </c>
      <c r="D195" s="4" t="s">
        <v>200</v>
      </c>
      <c r="E195" s="4" t="str">
        <f t="shared" si="86"/>
        <v>DTE-MI</v>
      </c>
      <c r="F195" s="4" t="s">
        <v>146</v>
      </c>
      <c r="G195" s="4"/>
      <c r="H195" s="4" t="s">
        <v>238</v>
      </c>
      <c r="I195" s="4"/>
      <c r="J195" s="4" t="s">
        <v>75</v>
      </c>
      <c r="K195" s="5">
        <f>37592*10.36</f>
        <v>389453.12</v>
      </c>
      <c r="L195" s="5">
        <f t="shared" si="94"/>
        <v>423318.60869565216</v>
      </c>
      <c r="M195" s="8">
        <v>909986</v>
      </c>
      <c r="N195" s="39"/>
      <c r="O195" s="8">
        <f>SUMIFS(EIAwtransport!$J$2:$J$675,EIAwtransport!$E$2:$E$675,Program_data!$E195,EIAwtransport!$H$2:$H$675,Program_data!$F195,EIAwtransport!$I$2:$I$675,Program_data!O$2)</f>
        <v>348353795</v>
      </c>
      <c r="P195" s="5">
        <f>SUMIFS(EIAwtransport!$J$2:$J$675,EIAwtransport!$E$2:$E$675,Program_data!$E195,EIAwtransport!$H$2:$H$675,Program_data!$F195,EIAwtransport!$I$2:$I$675,Program_data!P$2)</f>
        <v>124635991</v>
      </c>
      <c r="Q195" s="5">
        <f>SUMIFS(EIAwtransport!$J$2:$J$675,EIAwtransport!$E$2:$E$675,Program_data!$E195,EIAwtransport!$H$2:$H$675,Program_data!$F195,EIAwtransport!$I$2:$I$675,Program_data!Q$2)</f>
        <v>90386</v>
      </c>
      <c r="R195" s="8">
        <f>SUMIFS(EIAwtransport!$J$2:$J$675,EIAwtransport!$E$2:$E$675,Program_data!$E195,EIAwtransport!$I$2:$I$675,Program_data!R$2)</f>
        <v>1280322374</v>
      </c>
      <c r="S195" s="5">
        <f>SUMIFS(EIAwtransport!$J$2:$J$675,EIAwtransport!$E$2:$E$675,Program_data!$E195,EIAwtransport!$I$2:$I$675,Program_data!S$2)</f>
        <v>233428713</v>
      </c>
      <c r="T195" s="5">
        <f>SUMIFS(EIAwtransport!$J$2:$J$675,EIAwtransport!$E$2:$E$675,Program_data!$E195,EIAwtransport!$I$2:$I$675,Program_data!T$2)</f>
        <v>1305155</v>
      </c>
      <c r="U195" s="24">
        <f t="shared" si="89"/>
        <v>1.6104274198692944E-4</v>
      </c>
      <c r="V195" s="24">
        <f t="shared" si="57"/>
        <v>1.7504645868144503E-4</v>
      </c>
      <c r="W195" s="24">
        <f t="shared" si="90"/>
        <v>7.1074755739604064E-4</v>
      </c>
      <c r="X195" s="25">
        <f t="shared" si="91"/>
        <v>3.7628826958612622E-4</v>
      </c>
      <c r="Y195" s="8">
        <f t="shared" si="58"/>
        <v>8.7886230092718967E-2</v>
      </c>
      <c r="Z195" s="27">
        <f t="shared" si="59"/>
        <v>4.7857280267500683E-2</v>
      </c>
      <c r="AA195" s="27"/>
      <c r="AB195" s="27"/>
      <c r="AC195" s="56">
        <f t="shared" si="93"/>
        <v>7.7615280687151102E-3</v>
      </c>
      <c r="AD195" s="20">
        <f t="shared" si="70"/>
        <v>1228481.1000000001</v>
      </c>
      <c r="AE195" s="20">
        <f t="shared" si="61"/>
        <v>0</v>
      </c>
      <c r="AF195" s="20">
        <f t="shared" si="62"/>
        <v>1728435204.9000001</v>
      </c>
      <c r="AG195">
        <f t="shared" si="63"/>
        <v>41079515.097599998</v>
      </c>
      <c r="AH195">
        <f t="shared" si="64"/>
        <v>44651646.845217392</v>
      </c>
      <c r="AI195">
        <f t="shared" si="65"/>
        <v>24622060647.240002</v>
      </c>
    </row>
    <row r="196" spans="2:35" x14ac:dyDescent="0.25">
      <c r="B196" s="4">
        <v>2025</v>
      </c>
      <c r="C196" s="4" t="s">
        <v>199</v>
      </c>
      <c r="D196" s="4" t="s">
        <v>200</v>
      </c>
      <c r="E196" s="4" t="str">
        <f t="shared" si="86"/>
        <v>DTE-MI</v>
      </c>
      <c r="F196" s="4" t="s">
        <v>146</v>
      </c>
      <c r="G196" s="4"/>
      <c r="H196" s="4" t="s">
        <v>239</v>
      </c>
      <c r="I196" s="4"/>
      <c r="J196" s="4" t="s">
        <v>142</v>
      </c>
      <c r="K196" s="5">
        <f>14449*10.36</f>
        <v>149691.63999999998</v>
      </c>
      <c r="L196" s="5">
        <f t="shared" si="94"/>
        <v>162708.30434782605</v>
      </c>
      <c r="M196" s="8">
        <v>526731</v>
      </c>
      <c r="N196" s="39"/>
      <c r="O196" s="8">
        <f>SUMIFS(EIAwtransport!$J$2:$J$675,EIAwtransport!$E$2:$E$675,Program_data!$E196,EIAwtransport!$H$2:$H$675,Program_data!$F196,EIAwtransport!$I$2:$I$675,Program_data!O$2)</f>
        <v>348353795</v>
      </c>
      <c r="P196" s="5">
        <f>SUMIFS(EIAwtransport!$J$2:$J$675,EIAwtransport!$E$2:$E$675,Program_data!$E196,EIAwtransport!$H$2:$H$675,Program_data!$F196,EIAwtransport!$I$2:$I$675,Program_data!P$2)</f>
        <v>124635991</v>
      </c>
      <c r="Q196" s="5">
        <f>SUMIFS(EIAwtransport!$J$2:$J$675,EIAwtransport!$E$2:$E$675,Program_data!$E196,EIAwtransport!$H$2:$H$675,Program_data!$F196,EIAwtransport!$I$2:$I$675,Program_data!Q$2)</f>
        <v>90386</v>
      </c>
      <c r="R196" s="8">
        <f>SUMIFS(EIAwtransport!$J$2:$J$675,EIAwtransport!$E$2:$E$675,Program_data!$E196,EIAwtransport!$I$2:$I$675,Program_data!R$2)</f>
        <v>1280322374</v>
      </c>
      <c r="S196" s="5">
        <f>SUMIFS(EIAwtransport!$J$2:$J$675,EIAwtransport!$E$2:$E$675,Program_data!$E196,EIAwtransport!$I$2:$I$675,Program_data!S$2)</f>
        <v>233428713</v>
      </c>
      <c r="T196" s="5">
        <f>SUMIFS(EIAwtransport!$J$2:$J$675,EIAwtransport!$E$2:$E$675,Program_data!$E196,EIAwtransport!$I$2:$I$675,Program_data!T$2)</f>
        <v>1305155</v>
      </c>
      <c r="U196" s="24">
        <f t="shared" si="89"/>
        <v>6.1898983266895702E-5</v>
      </c>
      <c r="V196" s="24">
        <f t="shared" si="57"/>
        <v>6.7281503550973578E-5</v>
      </c>
      <c r="W196" s="24">
        <f t="shared" si="90"/>
        <v>4.1140497947745778E-4</v>
      </c>
      <c r="X196" s="25">
        <f t="shared" si="91"/>
        <v>2.1780851191927111E-4</v>
      </c>
      <c r="Y196" s="8">
        <f t="shared" ref="Y196:Y259" si="95">IFERROR(M196/SUMIFS($K$3:$K$1492,$E$3:$E$1492,E196,$B$3:$B$1492,B196,$F$3:$F$1492,F196,$A$3:$A$1492,""),"")</f>
        <v>5.0871553917277795E-2</v>
      </c>
      <c r="Z196" s="27">
        <f t="shared" ref="Z196:Z259" si="96">IFERROR(M196/SUMIFS($K$3:$K$1492,$E$3:$E$1492,E196,$B$3:$B$1492,B196,$A$3:$A$1492,""),"")</f>
        <v>2.7701429574280158E-2</v>
      </c>
      <c r="AA196" s="27"/>
      <c r="AB196" s="27"/>
      <c r="AC196" s="56">
        <f t="shared" si="93"/>
        <v>2.9832496027044218E-3</v>
      </c>
      <c r="AD196" s="20">
        <f t="shared" si="70"/>
        <v>711086.85000000009</v>
      </c>
      <c r="AE196" s="20">
        <f t="shared" si="61"/>
        <v>0</v>
      </c>
      <c r="AF196" s="20">
        <f t="shared" si="62"/>
        <v>1728435204.9000001</v>
      </c>
      <c r="AG196">
        <f t="shared" si="63"/>
        <v>15789474.187199999</v>
      </c>
      <c r="AH196">
        <f t="shared" si="64"/>
        <v>17162471.942608692</v>
      </c>
      <c r="AI196">
        <f t="shared" si="65"/>
        <v>24622060647.240002</v>
      </c>
    </row>
    <row r="197" spans="2:35" x14ac:dyDescent="0.25">
      <c r="B197" s="4">
        <v>2025</v>
      </c>
      <c r="C197" s="4" t="s">
        <v>199</v>
      </c>
      <c r="D197" s="4" t="s">
        <v>200</v>
      </c>
      <c r="E197" s="4" t="str">
        <f t="shared" si="86"/>
        <v>DTE-MI</v>
      </c>
      <c r="F197" s="4" t="s">
        <v>146</v>
      </c>
      <c r="G197" s="4"/>
      <c r="H197" s="4" t="s">
        <v>240</v>
      </c>
      <c r="I197" s="4"/>
      <c r="J197" s="4" t="s">
        <v>142</v>
      </c>
      <c r="K197" s="5">
        <f>40429*10.36</f>
        <v>418844.44</v>
      </c>
      <c r="L197" s="5">
        <f t="shared" si="94"/>
        <v>455265.69565217389</v>
      </c>
      <c r="M197" s="8">
        <v>1138516</v>
      </c>
      <c r="N197" s="39"/>
      <c r="O197" s="8">
        <f>SUMIFS(EIAwtransport!$J$2:$J$675,EIAwtransport!$E$2:$E$675,Program_data!$E197,EIAwtransport!$H$2:$H$675,Program_data!$F197,EIAwtransport!$I$2:$I$675,Program_data!O$2)</f>
        <v>348353795</v>
      </c>
      <c r="P197" s="5">
        <f>SUMIFS(EIAwtransport!$J$2:$J$675,EIAwtransport!$E$2:$E$675,Program_data!$E197,EIAwtransport!$H$2:$H$675,Program_data!$F197,EIAwtransport!$I$2:$I$675,Program_data!P$2)</f>
        <v>124635991</v>
      </c>
      <c r="Q197" s="5">
        <f>SUMIFS(EIAwtransport!$J$2:$J$675,EIAwtransport!$E$2:$E$675,Program_data!$E197,EIAwtransport!$H$2:$H$675,Program_data!$F197,EIAwtransport!$I$2:$I$675,Program_data!Q$2)</f>
        <v>90386</v>
      </c>
      <c r="R197" s="8">
        <f>SUMIFS(EIAwtransport!$J$2:$J$675,EIAwtransport!$E$2:$E$675,Program_data!$E197,EIAwtransport!$I$2:$I$675,Program_data!R$2)</f>
        <v>1280322374</v>
      </c>
      <c r="S197" s="5">
        <f>SUMIFS(EIAwtransport!$J$2:$J$675,EIAwtransport!$E$2:$E$675,Program_data!$E197,EIAwtransport!$I$2:$I$675,Program_data!S$2)</f>
        <v>233428713</v>
      </c>
      <c r="T197" s="5">
        <f>SUMIFS(EIAwtransport!$J$2:$J$675,EIAwtransport!$E$2:$E$675,Program_data!$E197,EIAwtransport!$I$2:$I$675,Program_data!T$2)</f>
        <v>1305155</v>
      </c>
      <c r="U197" s="24">
        <f t="shared" si="89"/>
        <v>1.7319634538703901E-4</v>
      </c>
      <c r="V197" s="24">
        <f t="shared" si="57"/>
        <v>1.8825689715982501E-4</v>
      </c>
      <c r="W197" s="24">
        <f t="shared" si="90"/>
        <v>8.8924166531826926E-4</v>
      </c>
      <c r="X197" s="25">
        <f t="shared" si="91"/>
        <v>4.7078769952078176E-4</v>
      </c>
      <c r="Y197" s="8">
        <f t="shared" si="95"/>
        <v>0.10995760279855077</v>
      </c>
      <c r="Z197" s="27">
        <f t="shared" si="96"/>
        <v>5.98759533674516E-2</v>
      </c>
      <c r="AA197" s="27"/>
      <c r="AB197" s="27"/>
      <c r="AC197" s="56">
        <f t="shared" si="93"/>
        <v>8.3472765027155556E-3</v>
      </c>
      <c r="AD197" s="20">
        <f t="shared" si="70"/>
        <v>1536996.6</v>
      </c>
      <c r="AE197" s="20">
        <f t="shared" si="61"/>
        <v>0</v>
      </c>
      <c r="AF197" s="20">
        <f t="shared" si="62"/>
        <v>1728435204.9000001</v>
      </c>
      <c r="AG197">
        <f t="shared" si="63"/>
        <v>44179711.531199999</v>
      </c>
      <c r="AH197">
        <f t="shared" si="64"/>
        <v>48021425.577391304</v>
      </c>
      <c r="AI197">
        <f t="shared" si="65"/>
        <v>24622060647.240002</v>
      </c>
    </row>
    <row r="198" spans="2:35" x14ac:dyDescent="0.25">
      <c r="B198" s="4">
        <v>2025</v>
      </c>
      <c r="C198" s="4" t="s">
        <v>199</v>
      </c>
      <c r="D198" s="4" t="s">
        <v>200</v>
      </c>
      <c r="E198" s="4" t="str">
        <f t="shared" si="86"/>
        <v>DTE-MI</v>
      </c>
      <c r="F198" s="4" t="s">
        <v>146</v>
      </c>
      <c r="G198" s="4"/>
      <c r="H198" s="4" t="s">
        <v>219</v>
      </c>
      <c r="I198" s="4"/>
      <c r="J198" s="4" t="s">
        <v>142</v>
      </c>
      <c r="K198" s="5">
        <f>5324*10.36</f>
        <v>55156.639999999999</v>
      </c>
      <c r="L198" s="5">
        <f t="shared" si="94"/>
        <v>59952.869565217392</v>
      </c>
      <c r="M198" s="8">
        <v>103598</v>
      </c>
      <c r="N198" s="39"/>
      <c r="O198" s="8">
        <f>SUMIFS(EIAwtransport!$J$2:$J$675,EIAwtransport!$E$2:$E$675,Program_data!$E198,EIAwtransport!$H$2:$H$675,Program_data!$F198,EIAwtransport!$I$2:$I$675,Program_data!O$2)</f>
        <v>348353795</v>
      </c>
      <c r="P198" s="5">
        <f>SUMIFS(EIAwtransport!$J$2:$J$675,EIAwtransport!$E$2:$E$675,Program_data!$E198,EIAwtransport!$H$2:$H$675,Program_data!$F198,EIAwtransport!$I$2:$I$675,Program_data!P$2)</f>
        <v>124635991</v>
      </c>
      <c r="Q198" s="5">
        <f>SUMIFS(EIAwtransport!$J$2:$J$675,EIAwtransport!$E$2:$E$675,Program_data!$E198,EIAwtransport!$H$2:$H$675,Program_data!$F198,EIAwtransport!$I$2:$I$675,Program_data!Q$2)</f>
        <v>90386</v>
      </c>
      <c r="R198" s="8">
        <f>SUMIFS(EIAwtransport!$J$2:$J$675,EIAwtransport!$E$2:$E$675,Program_data!$E198,EIAwtransport!$I$2:$I$675,Program_data!R$2)</f>
        <v>1280322374</v>
      </c>
      <c r="S198" s="5">
        <f>SUMIFS(EIAwtransport!$J$2:$J$675,EIAwtransport!$E$2:$E$675,Program_data!$E198,EIAwtransport!$I$2:$I$675,Program_data!S$2)</f>
        <v>233428713</v>
      </c>
      <c r="T198" s="5">
        <f>SUMIFS(EIAwtransport!$J$2:$J$675,EIAwtransport!$E$2:$E$675,Program_data!$E198,EIAwtransport!$I$2:$I$675,Program_data!T$2)</f>
        <v>1305155</v>
      </c>
      <c r="U198" s="24">
        <f t="shared" si="89"/>
        <v>2.2807819704682173E-5</v>
      </c>
      <c r="V198" s="24">
        <f t="shared" si="57"/>
        <v>2.479110837465454E-5</v>
      </c>
      <c r="W198" s="24">
        <f t="shared" si="90"/>
        <v>8.0915558537290698E-5</v>
      </c>
      <c r="X198" s="25">
        <f t="shared" si="91"/>
        <v>4.2838804281146639E-5</v>
      </c>
      <c r="Y198" s="8">
        <f t="shared" si="95"/>
        <v>1.0005470045852902E-2</v>
      </c>
      <c r="Z198" s="27">
        <f t="shared" si="96"/>
        <v>5.4483459318632769E-3</v>
      </c>
      <c r="AA198" s="27"/>
      <c r="AB198" s="27"/>
      <c r="AC198" s="56">
        <f t="shared" si="93"/>
        <v>1.0992332261608652E-3</v>
      </c>
      <c r="AD198" s="20">
        <f t="shared" si="70"/>
        <v>139857.30000000002</v>
      </c>
      <c r="AE198" s="20">
        <f t="shared" si="61"/>
        <v>0</v>
      </c>
      <c r="AF198" s="20">
        <f t="shared" si="62"/>
        <v>1728435204.9000001</v>
      </c>
      <c r="AG198">
        <f t="shared" si="63"/>
        <v>5817922.3871999998</v>
      </c>
      <c r="AH198">
        <f t="shared" si="64"/>
        <v>6323828.681739131</v>
      </c>
      <c r="AI198">
        <f t="shared" si="65"/>
        <v>24622060647.240002</v>
      </c>
    </row>
    <row r="199" spans="2:35" x14ac:dyDescent="0.25">
      <c r="B199" s="4">
        <v>2025</v>
      </c>
      <c r="C199" s="4" t="s">
        <v>199</v>
      </c>
      <c r="D199" s="4" t="s">
        <v>200</v>
      </c>
      <c r="E199" s="4" t="str">
        <f t="shared" si="86"/>
        <v>DTE-MI</v>
      </c>
      <c r="F199" s="4" t="s">
        <v>146</v>
      </c>
      <c r="G199" s="4"/>
      <c r="H199" s="4" t="s">
        <v>220</v>
      </c>
      <c r="I199" s="4"/>
      <c r="J199" s="4" t="s">
        <v>142</v>
      </c>
      <c r="K199" s="5">
        <f>14546*10.36</f>
        <v>150696.56</v>
      </c>
      <c r="L199" s="5">
        <f t="shared" si="94"/>
        <v>163800.60869565219</v>
      </c>
      <c r="M199" s="8">
        <v>539320</v>
      </c>
      <c r="N199" s="39"/>
      <c r="O199" s="8">
        <f>SUMIFS(EIAwtransport!$J$2:$J$675,EIAwtransport!$E$2:$E$675,Program_data!$E199,EIAwtransport!$H$2:$H$675,Program_data!$F199,EIAwtransport!$I$2:$I$675,Program_data!O$2)</f>
        <v>348353795</v>
      </c>
      <c r="P199" s="5">
        <f>SUMIFS(EIAwtransport!$J$2:$J$675,EIAwtransport!$E$2:$E$675,Program_data!$E199,EIAwtransport!$H$2:$H$675,Program_data!$F199,EIAwtransport!$I$2:$I$675,Program_data!P$2)</f>
        <v>124635991</v>
      </c>
      <c r="Q199" s="5">
        <f>SUMIFS(EIAwtransport!$J$2:$J$675,EIAwtransport!$E$2:$E$675,Program_data!$E199,EIAwtransport!$H$2:$H$675,Program_data!$F199,EIAwtransport!$I$2:$I$675,Program_data!Q$2)</f>
        <v>90386</v>
      </c>
      <c r="R199" s="8">
        <f>SUMIFS(EIAwtransport!$J$2:$J$675,EIAwtransport!$E$2:$E$675,Program_data!$E199,EIAwtransport!$I$2:$I$675,Program_data!R$2)</f>
        <v>1280322374</v>
      </c>
      <c r="S199" s="5">
        <f>SUMIFS(EIAwtransport!$J$2:$J$675,EIAwtransport!$E$2:$E$675,Program_data!$E199,EIAwtransport!$I$2:$I$675,Program_data!S$2)</f>
        <v>233428713</v>
      </c>
      <c r="T199" s="5">
        <f>SUMIFS(EIAwtransport!$J$2:$J$675,EIAwtransport!$E$2:$E$675,Program_data!$E199,EIAwtransport!$I$2:$I$675,Program_data!T$2)</f>
        <v>1305155</v>
      </c>
      <c r="U199" s="24">
        <f t="shared" si="89"/>
        <v>6.2314527690515944E-5</v>
      </c>
      <c r="V199" s="24">
        <f t="shared" si="57"/>
        <v>6.7733182272299952E-5</v>
      </c>
      <c r="W199" s="24">
        <f t="shared" si="90"/>
        <v>4.2123765932094851E-4</v>
      </c>
      <c r="X199" s="25">
        <f t="shared" si="91"/>
        <v>2.2301418873827688E-4</v>
      </c>
      <c r="Y199" s="8">
        <f t="shared" si="95"/>
        <v>5.2087396524347837E-2</v>
      </c>
      <c r="Z199" s="27">
        <f t="shared" si="96"/>
        <v>2.8363500530632853E-2</v>
      </c>
      <c r="AA199" s="27"/>
      <c r="AB199" s="27"/>
      <c r="AC199" s="56">
        <f t="shared" si="93"/>
        <v>3.0032769548715152E-3</v>
      </c>
      <c r="AD199" s="20">
        <f t="shared" si="70"/>
        <v>728082</v>
      </c>
      <c r="AE199" s="20">
        <f t="shared" si="61"/>
        <v>0</v>
      </c>
      <c r="AF199" s="20">
        <f t="shared" si="62"/>
        <v>1728435204.9000001</v>
      </c>
      <c r="AG199">
        <f t="shared" si="63"/>
        <v>15895473.148800001</v>
      </c>
      <c r="AH199">
        <f t="shared" si="64"/>
        <v>17277688.205217395</v>
      </c>
      <c r="AI199">
        <f t="shared" si="65"/>
        <v>24622060647.240002</v>
      </c>
    </row>
    <row r="200" spans="2:35" x14ac:dyDescent="0.25">
      <c r="B200" s="4">
        <v>2025</v>
      </c>
      <c r="C200" s="4" t="s">
        <v>199</v>
      </c>
      <c r="D200" s="4" t="s">
        <v>200</v>
      </c>
      <c r="E200" s="4" t="str">
        <f t="shared" si="86"/>
        <v>DTE-MI</v>
      </c>
      <c r="F200" s="4" t="s">
        <v>146</v>
      </c>
      <c r="G200" s="4"/>
      <c r="H200" s="4" t="s">
        <v>230</v>
      </c>
      <c r="I200" s="4"/>
      <c r="J200" s="4" t="s">
        <v>142</v>
      </c>
      <c r="K200" s="5">
        <f>26782*10.36</f>
        <v>277461.51999999996</v>
      </c>
      <c r="L200" s="5">
        <f t="shared" si="94"/>
        <v>301588.60869565216</v>
      </c>
      <c r="M200" s="8">
        <v>250000</v>
      </c>
      <c r="N200" s="39"/>
      <c r="O200" s="8">
        <f>SUMIFS(EIAwtransport!$J$2:$J$675,EIAwtransport!$E$2:$E$675,Program_data!$E200,EIAwtransport!$H$2:$H$675,Program_data!$F200,EIAwtransport!$I$2:$I$675,Program_data!O$2)</f>
        <v>348353795</v>
      </c>
      <c r="P200" s="5">
        <f>SUMIFS(EIAwtransport!$J$2:$J$675,EIAwtransport!$E$2:$E$675,Program_data!$E200,EIAwtransport!$H$2:$H$675,Program_data!$F200,EIAwtransport!$I$2:$I$675,Program_data!P$2)</f>
        <v>124635991</v>
      </c>
      <c r="Q200" s="5">
        <f>SUMIFS(EIAwtransport!$J$2:$J$675,EIAwtransport!$E$2:$E$675,Program_data!$E200,EIAwtransport!$H$2:$H$675,Program_data!$F200,EIAwtransport!$I$2:$I$675,Program_data!Q$2)</f>
        <v>90386</v>
      </c>
      <c r="R200" s="8">
        <f>SUMIFS(EIAwtransport!$J$2:$J$675,EIAwtransport!$E$2:$E$675,Program_data!$E200,EIAwtransport!$I$2:$I$675,Program_data!R$2)</f>
        <v>1280322374</v>
      </c>
      <c r="S200" s="5">
        <f>SUMIFS(EIAwtransport!$J$2:$J$675,EIAwtransport!$E$2:$E$675,Program_data!$E200,EIAwtransport!$I$2:$I$675,Program_data!S$2)</f>
        <v>233428713</v>
      </c>
      <c r="T200" s="5">
        <f>SUMIFS(EIAwtransport!$J$2:$J$675,EIAwtransport!$E$2:$E$675,Program_data!$E200,EIAwtransport!$I$2:$I$675,Program_data!T$2)</f>
        <v>1305155</v>
      </c>
      <c r="U200" s="24">
        <f t="shared" si="89"/>
        <v>1.1473310055048797E-4</v>
      </c>
      <c r="V200" s="24">
        <f t="shared" si="57"/>
        <v>1.2470989190270434E-4</v>
      </c>
      <c r="W200" s="24">
        <f t="shared" si="90"/>
        <v>1.9526332201705318E-4</v>
      </c>
      <c r="X200" s="25">
        <f t="shared" si="91"/>
        <v>1.0337748866084924E-4</v>
      </c>
      <c r="Y200" s="8">
        <f t="shared" si="95"/>
        <v>2.4144940167408886E-2</v>
      </c>
      <c r="Z200" s="27">
        <f t="shared" si="96"/>
        <v>1.3147806743043488E-2</v>
      </c>
      <c r="AA200" s="27"/>
      <c r="AB200" s="27"/>
      <c r="AC200" s="56">
        <f t="shared" si="93"/>
        <v>5.5296138735988522E-3</v>
      </c>
      <c r="AD200" s="20">
        <f t="shared" si="70"/>
        <v>337500</v>
      </c>
      <c r="AE200" s="20">
        <f t="shared" si="61"/>
        <v>0</v>
      </c>
      <c r="AF200" s="20">
        <f t="shared" si="62"/>
        <v>1728435204.9000001</v>
      </c>
      <c r="AG200">
        <f t="shared" si="63"/>
        <v>29266641.129599996</v>
      </c>
      <c r="AH200">
        <f t="shared" si="64"/>
        <v>31811566.44521739</v>
      </c>
      <c r="AI200">
        <f t="shared" si="65"/>
        <v>24622060647.240002</v>
      </c>
    </row>
    <row r="201" spans="2:35" x14ac:dyDescent="0.25">
      <c r="B201" s="4">
        <v>2025</v>
      </c>
      <c r="C201" s="4" t="s">
        <v>199</v>
      </c>
      <c r="D201" s="4" t="s">
        <v>200</v>
      </c>
      <c r="E201" s="4" t="str">
        <f t="shared" si="86"/>
        <v>DTE-MI</v>
      </c>
      <c r="F201" s="4" t="s">
        <v>146</v>
      </c>
      <c r="G201" s="4"/>
      <c r="H201" s="4" t="s">
        <v>231</v>
      </c>
      <c r="I201" s="4"/>
      <c r="J201" s="4" t="s">
        <v>142</v>
      </c>
      <c r="K201" s="5">
        <f>66399*10.36</f>
        <v>687893.64</v>
      </c>
      <c r="L201" s="5">
        <f t="shared" si="94"/>
        <v>747710.47826086963</v>
      </c>
      <c r="M201" s="8">
        <v>13072</v>
      </c>
      <c r="N201" s="39"/>
      <c r="O201" s="8">
        <f>SUMIFS(EIAwtransport!$J$2:$J$675,EIAwtransport!$E$2:$E$675,Program_data!$E201,EIAwtransport!$H$2:$H$675,Program_data!$F201,EIAwtransport!$I$2:$I$675,Program_data!O$2)</f>
        <v>348353795</v>
      </c>
      <c r="P201" s="5">
        <f>SUMIFS(EIAwtransport!$J$2:$J$675,EIAwtransport!$E$2:$E$675,Program_data!$E201,EIAwtransport!$H$2:$H$675,Program_data!$F201,EIAwtransport!$I$2:$I$675,Program_data!P$2)</f>
        <v>124635991</v>
      </c>
      <c r="Q201" s="5">
        <f>SUMIFS(EIAwtransport!$J$2:$J$675,EIAwtransport!$E$2:$E$675,Program_data!$E201,EIAwtransport!$H$2:$H$675,Program_data!$F201,EIAwtransport!$I$2:$I$675,Program_data!Q$2)</f>
        <v>90386</v>
      </c>
      <c r="R201" s="8">
        <f>SUMIFS(EIAwtransport!$J$2:$J$675,EIAwtransport!$E$2:$E$675,Program_data!$E201,EIAwtransport!$I$2:$I$675,Program_data!R$2)</f>
        <v>1280322374</v>
      </c>
      <c r="S201" s="5">
        <f>SUMIFS(EIAwtransport!$J$2:$J$675,EIAwtransport!$E$2:$E$675,Program_data!$E201,EIAwtransport!$I$2:$I$675,Program_data!S$2)</f>
        <v>233428713</v>
      </c>
      <c r="T201" s="5">
        <f>SUMIFS(EIAwtransport!$J$2:$J$675,EIAwtransport!$E$2:$E$675,Program_data!$E201,EIAwtransport!$I$2:$I$675,Program_data!T$2)</f>
        <v>1305155</v>
      </c>
      <c r="U201" s="24">
        <f t="shared" si="89"/>
        <v>2.8445086787588124E-4</v>
      </c>
      <c r="V201" s="24">
        <f t="shared" si="57"/>
        <v>3.0918572595204486E-4</v>
      </c>
      <c r="W201" s="24">
        <f t="shared" si="90"/>
        <v>1.0209928581627677E-5</v>
      </c>
      <c r="X201" s="25">
        <f t="shared" si="91"/>
        <v>5.4054021270984851E-6</v>
      </c>
      <c r="Y201" s="8">
        <f t="shared" si="95"/>
        <v>1.2624906314734757E-3</v>
      </c>
      <c r="Z201" s="27">
        <f t="shared" si="96"/>
        <v>6.8747251898025792E-4</v>
      </c>
      <c r="AA201" s="27"/>
      <c r="AB201" s="27"/>
      <c r="AC201" s="56">
        <f t="shared" si="93"/>
        <v>1.3709238727245547E-2</v>
      </c>
      <c r="AD201" s="20">
        <f t="shared" si="70"/>
        <v>17647.2</v>
      </c>
      <c r="AE201" s="20">
        <f t="shared" si="61"/>
        <v>0</v>
      </c>
      <c r="AF201" s="20">
        <f t="shared" si="62"/>
        <v>1728435204.9000001</v>
      </c>
      <c r="AG201">
        <f t="shared" si="63"/>
        <v>72559021.147200003</v>
      </c>
      <c r="AH201">
        <f t="shared" si="64"/>
        <v>78868501.246956527</v>
      </c>
      <c r="AI201">
        <f t="shared" si="65"/>
        <v>24622060647.240002</v>
      </c>
    </row>
    <row r="202" spans="2:35" x14ac:dyDescent="0.25">
      <c r="B202" s="4">
        <v>2025</v>
      </c>
      <c r="C202" s="4" t="s">
        <v>199</v>
      </c>
      <c r="D202" s="4" t="s">
        <v>200</v>
      </c>
      <c r="E202" s="4" t="str">
        <f t="shared" si="86"/>
        <v>DTE-MI</v>
      </c>
      <c r="F202" s="4" t="s">
        <v>146</v>
      </c>
      <c r="G202" s="4"/>
      <c r="H202" s="4" t="s">
        <v>232</v>
      </c>
      <c r="I202" s="4" t="s">
        <v>167</v>
      </c>
      <c r="J202" s="4" t="s">
        <v>155</v>
      </c>
      <c r="K202" s="5">
        <v>0</v>
      </c>
      <c r="L202" s="5">
        <v>0</v>
      </c>
      <c r="M202" s="8">
        <v>1186727</v>
      </c>
      <c r="N202" s="39"/>
      <c r="O202" s="8">
        <f>SUMIFS(EIAwtransport!$J$2:$J$675,EIAwtransport!$E$2:$E$675,Program_data!$E202,EIAwtransport!$H$2:$H$675,Program_data!$F202,EIAwtransport!$I$2:$I$675,Program_data!O$2)</f>
        <v>348353795</v>
      </c>
      <c r="P202" s="5">
        <f>SUMIFS(EIAwtransport!$J$2:$J$675,EIAwtransport!$E$2:$E$675,Program_data!$E202,EIAwtransport!$H$2:$H$675,Program_data!$F202,EIAwtransport!$I$2:$I$675,Program_data!P$2)</f>
        <v>124635991</v>
      </c>
      <c r="Q202" s="5">
        <f>SUMIFS(EIAwtransport!$J$2:$J$675,EIAwtransport!$E$2:$E$675,Program_data!$E202,EIAwtransport!$H$2:$H$675,Program_data!$F202,EIAwtransport!$I$2:$I$675,Program_data!Q$2)</f>
        <v>90386</v>
      </c>
      <c r="R202" s="8">
        <f>SUMIFS(EIAwtransport!$J$2:$J$675,EIAwtransport!$E$2:$E$675,Program_data!$E202,EIAwtransport!$I$2:$I$675,Program_data!R$2)</f>
        <v>1280322374</v>
      </c>
      <c r="S202" s="5">
        <f>SUMIFS(EIAwtransport!$J$2:$J$675,EIAwtransport!$E$2:$E$675,Program_data!$E202,EIAwtransport!$I$2:$I$675,Program_data!S$2)</f>
        <v>233428713</v>
      </c>
      <c r="T202" s="5">
        <f>SUMIFS(EIAwtransport!$J$2:$J$675,EIAwtransport!$E$2:$E$675,Program_data!$E202,EIAwtransport!$I$2:$I$675,Program_data!T$2)</f>
        <v>1305155</v>
      </c>
      <c r="U202" s="24">
        <f t="shared" si="89"/>
        <v>0</v>
      </c>
      <c r="V202" s="24">
        <f t="shared" si="57"/>
        <v>0</v>
      </c>
      <c r="W202" s="24">
        <f t="shared" si="90"/>
        <v>9.2689702538932594E-4</v>
      </c>
      <c r="X202" s="25">
        <f t="shared" si="91"/>
        <v>4.9072342794409453E-4</v>
      </c>
      <c r="Y202" s="8">
        <f t="shared" si="95"/>
        <v>0.11461380964019457</v>
      </c>
      <c r="Z202" s="27">
        <f t="shared" si="96"/>
        <v>6.2411429011007075E-2</v>
      </c>
      <c r="AA202" s="27"/>
      <c r="AB202" s="27"/>
      <c r="AC202" s="56">
        <f t="shared" si="93"/>
        <v>0</v>
      </c>
      <c r="AD202" s="20">
        <f t="shared" si="70"/>
        <v>1602081.4500000002</v>
      </c>
      <c r="AE202" s="20">
        <f t="shared" si="61"/>
        <v>0</v>
      </c>
      <c r="AF202" s="20">
        <f t="shared" si="62"/>
        <v>1728435204.9000001</v>
      </c>
      <c r="AG202">
        <f t="shared" si="63"/>
        <v>0</v>
      </c>
      <c r="AH202">
        <f t="shared" si="64"/>
        <v>0</v>
      </c>
      <c r="AI202">
        <f t="shared" si="65"/>
        <v>24622060647.240002</v>
      </c>
    </row>
    <row r="203" spans="2:35" x14ac:dyDescent="0.25">
      <c r="B203" s="4">
        <v>2025</v>
      </c>
      <c r="C203" s="4" t="s">
        <v>199</v>
      </c>
      <c r="D203" s="4" t="s">
        <v>200</v>
      </c>
      <c r="E203" s="4" t="str">
        <f t="shared" ref="E203" si="97">D203&amp;"-"&amp;C203</f>
        <v>DTE-MI</v>
      </c>
      <c r="F203" s="4" t="s">
        <v>146</v>
      </c>
      <c r="G203" s="4"/>
      <c r="H203" s="4" t="s">
        <v>233</v>
      </c>
      <c r="I203" s="4"/>
      <c r="J203" s="4" t="s">
        <v>155</v>
      </c>
      <c r="K203" s="5">
        <v>0</v>
      </c>
      <c r="L203" s="5">
        <v>0</v>
      </c>
      <c r="M203" s="8">
        <v>942253</v>
      </c>
      <c r="N203" s="39"/>
      <c r="O203" s="8">
        <f>SUMIFS(EIAwtransport!$J$2:$J$675,EIAwtransport!$E$2:$E$675,Program_data!$E203,EIAwtransport!$H$2:$H$675,Program_data!$F203,EIAwtransport!$I$2:$I$675,Program_data!O$2)</f>
        <v>348353795</v>
      </c>
      <c r="P203" s="5">
        <f>SUMIFS(EIAwtransport!$J$2:$J$675,EIAwtransport!$E$2:$E$675,Program_data!$E203,EIAwtransport!$H$2:$H$675,Program_data!$F203,EIAwtransport!$I$2:$I$675,Program_data!P$2)</f>
        <v>124635991</v>
      </c>
      <c r="Q203" s="5">
        <f>SUMIFS(EIAwtransport!$J$2:$J$675,EIAwtransport!$E$2:$E$675,Program_data!$E203,EIAwtransport!$H$2:$H$675,Program_data!$F203,EIAwtransport!$I$2:$I$675,Program_data!Q$2)</f>
        <v>90386</v>
      </c>
      <c r="R203" s="8">
        <f>SUMIFS(EIAwtransport!$J$2:$J$675,EIAwtransport!$E$2:$E$675,Program_data!$E203,EIAwtransport!$I$2:$I$675,Program_data!R$2)</f>
        <v>1280322374</v>
      </c>
      <c r="S203" s="5">
        <f>SUMIFS(EIAwtransport!$J$2:$J$675,EIAwtransport!$E$2:$E$675,Program_data!$E203,EIAwtransport!$I$2:$I$675,Program_data!S$2)</f>
        <v>233428713</v>
      </c>
      <c r="T203" s="5">
        <f>SUMIFS(EIAwtransport!$J$2:$J$675,EIAwtransport!$E$2:$E$675,Program_data!$E203,EIAwtransport!$I$2:$I$675,Program_data!T$2)</f>
        <v>1305155</v>
      </c>
      <c r="U203" s="24"/>
      <c r="V203" s="24">
        <f t="shared" si="57"/>
        <v>0</v>
      </c>
      <c r="W203" s="24"/>
      <c r="X203" s="25"/>
      <c r="Y203" s="8">
        <f t="shared" si="95"/>
        <v>9.1002569230246091E-2</v>
      </c>
      <c r="Z203" s="27">
        <f t="shared" si="96"/>
        <v>4.9554241388211823E-2</v>
      </c>
      <c r="AA203" s="27"/>
      <c r="AB203" s="27"/>
      <c r="AC203" s="56">
        <f t="shared" si="93"/>
        <v>0</v>
      </c>
      <c r="AD203" s="20">
        <f t="shared" si="70"/>
        <v>1272041.55</v>
      </c>
      <c r="AE203" s="20">
        <f t="shared" si="61"/>
        <v>0</v>
      </c>
      <c r="AF203" s="20">
        <f t="shared" si="62"/>
        <v>1728435204.9000001</v>
      </c>
      <c r="AG203">
        <f t="shared" si="63"/>
        <v>0</v>
      </c>
      <c r="AH203">
        <f t="shared" si="64"/>
        <v>0</v>
      </c>
      <c r="AI203">
        <f t="shared" si="65"/>
        <v>24622060647.240002</v>
      </c>
    </row>
    <row r="204" spans="2:35" x14ac:dyDescent="0.25">
      <c r="B204" s="4">
        <v>2023</v>
      </c>
      <c r="C204" s="4" t="s">
        <v>241</v>
      </c>
      <c r="D204" s="4" t="s">
        <v>242</v>
      </c>
      <c r="E204" s="4" t="str">
        <f t="shared" ref="E204:E235" si="98">D204&amp;"-"&amp;C204</f>
        <v>Xcel-MN</v>
      </c>
      <c r="F204" s="4" t="s">
        <v>146</v>
      </c>
      <c r="G204" s="4"/>
      <c r="H204" s="4" t="s">
        <v>243</v>
      </c>
      <c r="I204" s="11"/>
      <c r="J204" s="4" t="s">
        <v>68</v>
      </c>
      <c r="K204" s="5">
        <v>110510.12</v>
      </c>
      <c r="L204" s="5">
        <f>K204</f>
        <v>110510.12</v>
      </c>
      <c r="M204" s="8">
        <v>287527</v>
      </c>
      <c r="N204" s="8">
        <v>90605</v>
      </c>
      <c r="O204" s="8">
        <f>SUMIFS(EIAwtransport!$J$2:$J$675,EIAwtransport!$E$2:$E$675,Program_data!$E204,EIAwtransport!$H$2:$H$675,Program_data!$F204,EIAwtransport!$I$2:$I$675,Program_data!O$2)</f>
        <v>219489723</v>
      </c>
      <c r="P204" s="5">
        <f>SUMIFS(EIAwtransport!$J$2:$J$675,EIAwtransport!$E$2:$E$675,Program_data!$E204,EIAwtransport!$H$2:$H$675,Program_data!$F204,EIAwtransport!$I$2:$I$675,Program_data!P$2)</f>
        <v>45049322</v>
      </c>
      <c r="Q204" s="5">
        <f>SUMIFS(EIAwtransport!$J$2:$J$675,EIAwtransport!$E$2:$E$675,Program_data!$E204,EIAwtransport!$H$2:$H$675,Program_data!$F204,EIAwtransport!$I$2:$I$675,Program_data!Q$2)</f>
        <v>36107</v>
      </c>
      <c r="R204" s="8">
        <f>SUMIFS(EIAwtransport!$J$2:$J$675,EIAwtransport!$E$2:$E$675,Program_data!$E204,EIAwtransport!$I$2:$I$675,Program_data!R$2)</f>
        <v>526109473</v>
      </c>
      <c r="S204" s="5">
        <f>SUMIFS(EIAwtransport!$J$2:$J$675,EIAwtransport!$E$2:$E$675,Program_data!$E204,EIAwtransport!$I$2:$I$675,Program_data!S$2)</f>
        <v>80336233</v>
      </c>
      <c r="T204" s="5">
        <f>SUMIFS(EIAwtransport!$J$2:$J$675,EIAwtransport!$E$2:$E$675,Program_data!$E204,EIAwtransport!$I$2:$I$675,Program_data!T$2)</f>
        <v>474354</v>
      </c>
      <c r="U204" s="24">
        <f t="shared" ref="U204:U235" si="99">IFERROR(K204/10.36/S204,"")</f>
        <v>1.3277943963342171E-4</v>
      </c>
      <c r="V204" s="24">
        <f t="shared" si="57"/>
        <v>1.3277943963342171E-4</v>
      </c>
      <c r="W204" s="24">
        <f t="shared" ref="W204:W235" si="100">IFERROR(M204/R204,"")</f>
        <v>5.4651553480011188E-4</v>
      </c>
      <c r="X204" s="25">
        <f t="shared" ref="X204:X235" si="101">IFERROR(M204/S204/10.36,"")</f>
        <v>3.4546767245822232E-4</v>
      </c>
      <c r="Y204" s="8">
        <f t="shared" si="95"/>
        <v>4.7734118930500204E-2</v>
      </c>
      <c r="Z204" s="27">
        <f t="shared" si="96"/>
        <v>2.6663001347457711E-2</v>
      </c>
      <c r="AA204" s="30" t="s">
        <v>244</v>
      </c>
      <c r="AB204" s="27"/>
      <c r="AC204" s="56">
        <f t="shared" si="93"/>
        <v>5.5439471084642398E-3</v>
      </c>
      <c r="AD204" s="20">
        <f t="shared" si="70"/>
        <v>388161.45</v>
      </c>
      <c r="AE204" s="20">
        <f t="shared" ref="AE204:AE267" si="102">N204*1.35</f>
        <v>122316.75000000001</v>
      </c>
      <c r="AF204" s="20">
        <f t="shared" ref="AF204:AF267" si="103">R204*1.35</f>
        <v>710247788.55000007</v>
      </c>
      <c r="AG204">
        <f t="shared" ref="AG204:AG267" si="104">K204*105.48</f>
        <v>11656607.457599999</v>
      </c>
      <c r="AH204">
        <f t="shared" ref="AH204:AH267" si="105">L204*105.48</f>
        <v>11656607.457599999</v>
      </c>
      <c r="AI204">
        <f t="shared" ref="AI204:AI267" si="106">S204*105.48</f>
        <v>8473865856.8400002</v>
      </c>
    </row>
    <row r="205" spans="2:35" x14ac:dyDescent="0.25">
      <c r="B205" s="4">
        <v>2023</v>
      </c>
      <c r="C205" s="4" t="s">
        <v>241</v>
      </c>
      <c r="D205" s="4" t="s">
        <v>242</v>
      </c>
      <c r="E205" s="4" t="str">
        <f t="shared" si="98"/>
        <v>Xcel-MN</v>
      </c>
      <c r="F205" s="4" t="s">
        <v>146</v>
      </c>
      <c r="G205" s="4"/>
      <c r="H205" s="4" t="s">
        <v>245</v>
      </c>
      <c r="I205" s="11"/>
      <c r="J205" s="4" t="s">
        <v>32</v>
      </c>
      <c r="K205" s="5">
        <v>907069.79999999993</v>
      </c>
      <c r="L205" s="5">
        <f t="shared" ref="L205:L220" si="107">K205</f>
        <v>907069.79999999993</v>
      </c>
      <c r="M205" s="8">
        <v>892879</v>
      </c>
      <c r="N205" s="8">
        <v>432139</v>
      </c>
      <c r="O205" s="8">
        <f>SUMIFS(EIAwtransport!$J$2:$J$675,EIAwtransport!$E$2:$E$675,Program_data!$E205,EIAwtransport!$H$2:$H$675,Program_data!$F205,EIAwtransport!$I$2:$I$675,Program_data!O$2)</f>
        <v>219489723</v>
      </c>
      <c r="P205" s="5">
        <f>SUMIFS(EIAwtransport!$J$2:$J$675,EIAwtransport!$E$2:$E$675,Program_data!$E205,EIAwtransport!$H$2:$H$675,Program_data!$F205,EIAwtransport!$I$2:$I$675,Program_data!P$2)</f>
        <v>45049322</v>
      </c>
      <c r="Q205" s="5">
        <f>SUMIFS(EIAwtransport!$J$2:$J$675,EIAwtransport!$E$2:$E$675,Program_data!$E205,EIAwtransport!$H$2:$H$675,Program_data!$F205,EIAwtransport!$I$2:$I$675,Program_data!Q$2)</f>
        <v>36107</v>
      </c>
      <c r="R205" s="8">
        <f>SUMIFS(EIAwtransport!$J$2:$J$675,EIAwtransport!$E$2:$E$675,Program_data!$E205,EIAwtransport!$I$2:$I$675,Program_data!R$2)</f>
        <v>526109473</v>
      </c>
      <c r="S205" s="5">
        <f>SUMIFS(EIAwtransport!$J$2:$J$675,EIAwtransport!$E$2:$E$675,Program_data!$E205,EIAwtransport!$I$2:$I$675,Program_data!S$2)</f>
        <v>80336233</v>
      </c>
      <c r="T205" s="5">
        <f>SUMIFS(EIAwtransport!$J$2:$J$675,EIAwtransport!$E$2:$E$675,Program_data!$E205,EIAwtransport!$I$2:$I$675,Program_data!T$2)</f>
        <v>474354</v>
      </c>
      <c r="U205" s="24">
        <f t="shared" si="99"/>
        <v>1.0898569266995627E-3</v>
      </c>
      <c r="V205" s="24">
        <f t="shared" si="57"/>
        <v>1.0898569266995627E-3</v>
      </c>
      <c r="W205" s="24">
        <f t="shared" si="100"/>
        <v>1.6971353792749517E-3</v>
      </c>
      <c r="X205" s="25">
        <f t="shared" si="101"/>
        <v>1.0728064839713317E-3</v>
      </c>
      <c r="Y205" s="8">
        <f t="shared" si="95"/>
        <v>0.14823231340551005</v>
      </c>
      <c r="Z205" s="27">
        <f t="shared" si="96"/>
        <v>8.2798603192453898E-2</v>
      </c>
      <c r="AA205" s="30" t="s">
        <v>246</v>
      </c>
      <c r="AB205" s="27"/>
      <c r="AC205" s="56">
        <f t="shared" si="93"/>
        <v>4.550485507467765E-2</v>
      </c>
      <c r="AD205" s="20">
        <f t="shared" si="70"/>
        <v>1205386.6500000001</v>
      </c>
      <c r="AE205" s="20">
        <f t="shared" si="102"/>
        <v>583387.65</v>
      </c>
      <c r="AF205" s="20">
        <f t="shared" si="103"/>
        <v>710247788.55000007</v>
      </c>
      <c r="AG205">
        <f t="shared" si="104"/>
        <v>95677722.503999993</v>
      </c>
      <c r="AH205">
        <f t="shared" si="105"/>
        <v>95677722.503999993</v>
      </c>
      <c r="AI205">
        <f t="shared" si="106"/>
        <v>8473865856.8400002</v>
      </c>
    </row>
    <row r="206" spans="2:35" x14ac:dyDescent="0.25">
      <c r="B206" s="4">
        <v>2023</v>
      </c>
      <c r="C206" s="4" t="s">
        <v>241</v>
      </c>
      <c r="D206" s="4" t="s">
        <v>242</v>
      </c>
      <c r="E206" s="4" t="str">
        <f t="shared" si="98"/>
        <v>Xcel-MN</v>
      </c>
      <c r="F206" s="4" t="s">
        <v>146</v>
      </c>
      <c r="G206" s="4"/>
      <c r="H206" s="4" t="s">
        <v>247</v>
      </c>
      <c r="I206" s="11"/>
      <c r="J206" s="4" t="s">
        <v>142</v>
      </c>
      <c r="K206" s="5">
        <v>447034</v>
      </c>
      <c r="L206" s="5">
        <f t="shared" si="107"/>
        <v>447034</v>
      </c>
      <c r="M206" s="8">
        <v>340754</v>
      </c>
      <c r="N206" s="8">
        <v>150698</v>
      </c>
      <c r="O206" s="8">
        <f>SUMIFS(EIAwtransport!$J$2:$J$675,EIAwtransport!$E$2:$E$675,Program_data!$E206,EIAwtransport!$H$2:$H$675,Program_data!$F206,EIAwtransport!$I$2:$I$675,Program_data!O$2)</f>
        <v>219489723</v>
      </c>
      <c r="P206" s="5">
        <f>SUMIFS(EIAwtransport!$J$2:$J$675,EIAwtransport!$E$2:$E$675,Program_data!$E206,EIAwtransport!$H$2:$H$675,Program_data!$F206,EIAwtransport!$I$2:$I$675,Program_data!P$2)</f>
        <v>45049322</v>
      </c>
      <c r="Q206" s="5">
        <f>SUMIFS(EIAwtransport!$J$2:$J$675,EIAwtransport!$E$2:$E$675,Program_data!$E206,EIAwtransport!$H$2:$H$675,Program_data!$F206,EIAwtransport!$I$2:$I$675,Program_data!Q$2)</f>
        <v>36107</v>
      </c>
      <c r="R206" s="8">
        <f>SUMIFS(EIAwtransport!$J$2:$J$675,EIAwtransport!$E$2:$E$675,Program_data!$E206,EIAwtransport!$I$2:$I$675,Program_data!R$2)</f>
        <v>526109473</v>
      </c>
      <c r="S206" s="5">
        <f>SUMIFS(EIAwtransport!$J$2:$J$675,EIAwtransport!$E$2:$E$675,Program_data!$E206,EIAwtransport!$I$2:$I$675,Program_data!S$2)</f>
        <v>80336233</v>
      </c>
      <c r="T206" s="5">
        <f>SUMIFS(EIAwtransport!$J$2:$J$675,EIAwtransport!$E$2:$E$675,Program_data!$E206,EIAwtransport!$I$2:$I$675,Program_data!T$2)</f>
        <v>474354</v>
      </c>
      <c r="U206" s="24">
        <f t="shared" si="99"/>
        <v>5.3711754196888973E-4</v>
      </c>
      <c r="V206" s="24">
        <f t="shared" si="57"/>
        <v>5.3711754196888973E-4</v>
      </c>
      <c r="W206" s="24">
        <f t="shared" si="100"/>
        <v>6.4768649394761986E-4</v>
      </c>
      <c r="X206" s="25">
        <f t="shared" si="101"/>
        <v>4.0942065009835277E-4</v>
      </c>
      <c r="Y206" s="8">
        <f t="shared" si="95"/>
        <v>5.6570659319102781E-2</v>
      </c>
      <c r="Z206" s="27">
        <f t="shared" si="96"/>
        <v>3.1598856320107692E-2</v>
      </c>
      <c r="AA206" s="27"/>
      <c r="AB206" s="27"/>
      <c r="AC206" s="56">
        <f t="shared" si="93"/>
        <v>2.2426297715405639E-2</v>
      </c>
      <c r="AD206" s="20">
        <f t="shared" si="70"/>
        <v>460017.9</v>
      </c>
      <c r="AE206" s="20">
        <f t="shared" si="102"/>
        <v>203442.30000000002</v>
      </c>
      <c r="AF206" s="20">
        <f t="shared" si="103"/>
        <v>710247788.55000007</v>
      </c>
      <c r="AG206">
        <f t="shared" si="104"/>
        <v>47153146.32</v>
      </c>
      <c r="AH206">
        <f t="shared" si="105"/>
        <v>47153146.32</v>
      </c>
      <c r="AI206">
        <f t="shared" si="106"/>
        <v>8473865856.8400002</v>
      </c>
    </row>
    <row r="207" spans="2:35" x14ac:dyDescent="0.25">
      <c r="B207" s="4">
        <v>2023</v>
      </c>
      <c r="C207" s="4" t="s">
        <v>241</v>
      </c>
      <c r="D207" s="4" t="s">
        <v>242</v>
      </c>
      <c r="E207" s="4" t="str">
        <f t="shared" si="98"/>
        <v>Xcel-MN</v>
      </c>
      <c r="F207" s="4" t="s">
        <v>146</v>
      </c>
      <c r="G207" s="4"/>
      <c r="H207" s="4" t="s">
        <v>248</v>
      </c>
      <c r="I207" s="11"/>
      <c r="J207" s="4" t="s">
        <v>142</v>
      </c>
      <c r="K207" s="5">
        <v>94907.959999999992</v>
      </c>
      <c r="L207" s="5">
        <f t="shared" si="107"/>
        <v>94907.959999999992</v>
      </c>
      <c r="M207" s="8">
        <v>148842</v>
      </c>
      <c r="N207" s="8">
        <v>55886</v>
      </c>
      <c r="O207" s="8">
        <f>SUMIFS(EIAwtransport!$J$2:$J$675,EIAwtransport!$E$2:$E$675,Program_data!$E207,EIAwtransport!$H$2:$H$675,Program_data!$F207,EIAwtransport!$I$2:$I$675,Program_data!O$2)</f>
        <v>219489723</v>
      </c>
      <c r="P207" s="5">
        <f>SUMIFS(EIAwtransport!$J$2:$J$675,EIAwtransport!$E$2:$E$675,Program_data!$E207,EIAwtransport!$H$2:$H$675,Program_data!$F207,EIAwtransport!$I$2:$I$675,Program_data!P$2)</f>
        <v>45049322</v>
      </c>
      <c r="Q207" s="5">
        <f>SUMIFS(EIAwtransport!$J$2:$J$675,EIAwtransport!$E$2:$E$675,Program_data!$E207,EIAwtransport!$H$2:$H$675,Program_data!$F207,EIAwtransport!$I$2:$I$675,Program_data!Q$2)</f>
        <v>36107</v>
      </c>
      <c r="R207" s="8">
        <f>SUMIFS(EIAwtransport!$J$2:$J$675,EIAwtransport!$E$2:$E$675,Program_data!$E207,EIAwtransport!$I$2:$I$675,Program_data!R$2)</f>
        <v>526109473</v>
      </c>
      <c r="S207" s="5">
        <f>SUMIFS(EIAwtransport!$J$2:$J$675,EIAwtransport!$E$2:$E$675,Program_data!$E207,EIAwtransport!$I$2:$I$675,Program_data!S$2)</f>
        <v>80336233</v>
      </c>
      <c r="T207" s="5">
        <f>SUMIFS(EIAwtransport!$J$2:$J$675,EIAwtransport!$E$2:$E$675,Program_data!$E207,EIAwtransport!$I$2:$I$675,Program_data!T$2)</f>
        <v>474354</v>
      </c>
      <c r="U207" s="24">
        <f t="shared" si="99"/>
        <v>1.1403322831928154E-4</v>
      </c>
      <c r="V207" s="24">
        <f t="shared" ref="V207:V270" si="108">IFERROR(L207/10.36/S207,"")</f>
        <v>1.1403322831928154E-4</v>
      </c>
      <c r="W207" s="24">
        <f t="shared" si="100"/>
        <v>2.8291070136271811E-4</v>
      </c>
      <c r="X207" s="25">
        <f t="shared" si="101"/>
        <v>1.7883572431120112E-4</v>
      </c>
      <c r="Y207" s="8">
        <f t="shared" si="95"/>
        <v>2.4710172365911762E-2</v>
      </c>
      <c r="Z207" s="27">
        <f t="shared" si="96"/>
        <v>1.3802440976180674E-2</v>
      </c>
      <c r="AA207" s="27"/>
      <c r="AB207" s="27"/>
      <c r="AC207" s="56">
        <f t="shared" si="93"/>
        <v>4.7612355358245895E-3</v>
      </c>
      <c r="AD207" s="20">
        <f t="shared" si="70"/>
        <v>200936.7</v>
      </c>
      <c r="AE207" s="20">
        <f t="shared" si="102"/>
        <v>75446.100000000006</v>
      </c>
      <c r="AF207" s="20">
        <f t="shared" si="103"/>
        <v>710247788.55000007</v>
      </c>
      <c r="AG207">
        <f t="shared" si="104"/>
        <v>10010891.6208</v>
      </c>
      <c r="AH207">
        <f t="shared" si="105"/>
        <v>10010891.6208</v>
      </c>
      <c r="AI207">
        <f t="shared" si="106"/>
        <v>8473865856.8400002</v>
      </c>
    </row>
    <row r="208" spans="2:35" x14ac:dyDescent="0.25">
      <c r="B208" s="4">
        <v>2023</v>
      </c>
      <c r="C208" s="4" t="s">
        <v>241</v>
      </c>
      <c r="D208" s="4" t="s">
        <v>242</v>
      </c>
      <c r="E208" s="4" t="str">
        <f t="shared" si="98"/>
        <v>Xcel-MN</v>
      </c>
      <c r="F208" s="4" t="s">
        <v>146</v>
      </c>
      <c r="G208" s="4"/>
      <c r="H208" s="4" t="s">
        <v>249</v>
      </c>
      <c r="I208" s="4" t="s">
        <v>167</v>
      </c>
      <c r="J208" s="4" t="s">
        <v>155</v>
      </c>
      <c r="K208" s="5">
        <v>0</v>
      </c>
      <c r="L208" s="5">
        <f t="shared" si="107"/>
        <v>0</v>
      </c>
      <c r="M208" s="8">
        <v>0</v>
      </c>
      <c r="N208" s="8"/>
      <c r="O208" s="8">
        <f>SUMIFS(EIAwtransport!$J$2:$J$675,EIAwtransport!$E$2:$E$675,Program_data!$E208,EIAwtransport!$H$2:$H$675,Program_data!$F208,EIAwtransport!$I$2:$I$675,Program_data!O$2)</f>
        <v>219489723</v>
      </c>
      <c r="P208" s="5">
        <f>SUMIFS(EIAwtransport!$J$2:$J$675,EIAwtransport!$E$2:$E$675,Program_data!$E208,EIAwtransport!$H$2:$H$675,Program_data!$F208,EIAwtransport!$I$2:$I$675,Program_data!P$2)</f>
        <v>45049322</v>
      </c>
      <c r="Q208" s="5">
        <f>SUMIFS(EIAwtransport!$J$2:$J$675,EIAwtransport!$E$2:$E$675,Program_data!$E208,EIAwtransport!$H$2:$H$675,Program_data!$F208,EIAwtransport!$I$2:$I$675,Program_data!Q$2)</f>
        <v>36107</v>
      </c>
      <c r="R208" s="8">
        <f>SUMIFS(EIAwtransport!$J$2:$J$675,EIAwtransport!$E$2:$E$675,Program_data!$E208,EIAwtransport!$I$2:$I$675,Program_data!R$2)</f>
        <v>526109473</v>
      </c>
      <c r="S208" s="5">
        <f>SUMIFS(EIAwtransport!$J$2:$J$675,EIAwtransport!$E$2:$E$675,Program_data!$E208,EIAwtransport!$I$2:$I$675,Program_data!S$2)</f>
        <v>80336233</v>
      </c>
      <c r="T208" s="5">
        <f>SUMIFS(EIAwtransport!$J$2:$J$675,EIAwtransport!$E$2:$E$675,Program_data!$E208,EIAwtransport!$I$2:$I$675,Program_data!T$2)</f>
        <v>474354</v>
      </c>
      <c r="U208" s="24">
        <f t="shared" si="99"/>
        <v>0</v>
      </c>
      <c r="V208" s="24">
        <f t="shared" si="108"/>
        <v>0</v>
      </c>
      <c r="W208" s="24">
        <f t="shared" si="100"/>
        <v>0</v>
      </c>
      <c r="X208" s="25">
        <f t="shared" si="101"/>
        <v>0</v>
      </c>
      <c r="Y208" s="8">
        <f t="shared" si="95"/>
        <v>0</v>
      </c>
      <c r="Z208" s="27">
        <f t="shared" si="96"/>
        <v>0</v>
      </c>
      <c r="AA208" s="27"/>
      <c r="AB208" s="27"/>
      <c r="AC208" s="56">
        <f t="shared" si="93"/>
        <v>0</v>
      </c>
      <c r="AD208" s="20">
        <f t="shared" si="70"/>
        <v>0</v>
      </c>
      <c r="AE208" s="20">
        <f t="shared" si="102"/>
        <v>0</v>
      </c>
      <c r="AF208" s="20">
        <f t="shared" si="103"/>
        <v>710247788.55000007</v>
      </c>
      <c r="AG208">
        <f t="shared" si="104"/>
        <v>0</v>
      </c>
      <c r="AH208">
        <f t="shared" si="105"/>
        <v>0</v>
      </c>
      <c r="AI208">
        <f t="shared" si="106"/>
        <v>8473865856.8400002</v>
      </c>
    </row>
    <row r="209" spans="2:35" x14ac:dyDescent="0.25">
      <c r="B209" s="4">
        <v>2023</v>
      </c>
      <c r="C209" s="4" t="s">
        <v>241</v>
      </c>
      <c r="D209" s="4" t="s">
        <v>242</v>
      </c>
      <c r="E209" s="4" t="str">
        <f t="shared" si="98"/>
        <v>Xcel-MN</v>
      </c>
      <c r="F209" s="4" t="s">
        <v>146</v>
      </c>
      <c r="G209" s="4"/>
      <c r="H209" s="4" t="s">
        <v>250</v>
      </c>
      <c r="I209" s="11"/>
      <c r="J209" s="4" t="s">
        <v>176</v>
      </c>
      <c r="K209" s="5">
        <v>159430.03999999998</v>
      </c>
      <c r="L209" s="5">
        <f t="shared" si="107"/>
        <v>159430.03999999998</v>
      </c>
      <c r="M209" s="8">
        <v>147061</v>
      </c>
      <c r="N209" s="8">
        <v>92596</v>
      </c>
      <c r="O209" s="8">
        <f>SUMIFS(EIAwtransport!$J$2:$J$675,EIAwtransport!$E$2:$E$675,Program_data!$E209,EIAwtransport!$H$2:$H$675,Program_data!$F209,EIAwtransport!$I$2:$I$675,Program_data!O$2)</f>
        <v>219489723</v>
      </c>
      <c r="P209" s="5">
        <f>SUMIFS(EIAwtransport!$J$2:$J$675,EIAwtransport!$E$2:$E$675,Program_data!$E209,EIAwtransport!$H$2:$H$675,Program_data!$F209,EIAwtransport!$I$2:$I$675,Program_data!P$2)</f>
        <v>45049322</v>
      </c>
      <c r="Q209" s="5">
        <f>SUMIFS(EIAwtransport!$J$2:$J$675,EIAwtransport!$E$2:$E$675,Program_data!$E209,EIAwtransport!$H$2:$H$675,Program_data!$F209,EIAwtransport!$I$2:$I$675,Program_data!Q$2)</f>
        <v>36107</v>
      </c>
      <c r="R209" s="8">
        <f>SUMIFS(EIAwtransport!$J$2:$J$675,EIAwtransport!$E$2:$E$675,Program_data!$E209,EIAwtransport!$I$2:$I$675,Program_data!R$2)</f>
        <v>526109473</v>
      </c>
      <c r="S209" s="5">
        <f>SUMIFS(EIAwtransport!$J$2:$J$675,EIAwtransport!$E$2:$E$675,Program_data!$E209,EIAwtransport!$I$2:$I$675,Program_data!S$2)</f>
        <v>80336233</v>
      </c>
      <c r="T209" s="5">
        <f>SUMIFS(EIAwtransport!$J$2:$J$675,EIAwtransport!$E$2:$E$675,Program_data!$E209,EIAwtransport!$I$2:$I$675,Program_data!T$2)</f>
        <v>474354</v>
      </c>
      <c r="U209" s="24">
        <f t="shared" si="99"/>
        <v>1.915574010048492E-4</v>
      </c>
      <c r="V209" s="24">
        <f t="shared" si="108"/>
        <v>1.915574010048492E-4</v>
      </c>
      <c r="W209" s="24">
        <f t="shared" si="100"/>
        <v>2.7952547434932808E-4</v>
      </c>
      <c r="X209" s="25">
        <f t="shared" si="101"/>
        <v>1.7669582814615196E-4</v>
      </c>
      <c r="Y209" s="8">
        <f t="shared" si="95"/>
        <v>2.441449764383272E-2</v>
      </c>
      <c r="Z209" s="27">
        <f t="shared" si="96"/>
        <v>1.3637284989439178E-2</v>
      </c>
      <c r="AA209" s="27"/>
      <c r="AB209" s="27"/>
      <c r="AC209" s="56">
        <f t="shared" si="93"/>
        <v>7.9981065015614673E-3</v>
      </c>
      <c r="AD209" s="20">
        <f t="shared" si="70"/>
        <v>198532.35</v>
      </c>
      <c r="AE209" s="20">
        <f t="shared" si="102"/>
        <v>125004.6</v>
      </c>
      <c r="AF209" s="20">
        <f t="shared" si="103"/>
        <v>710247788.55000007</v>
      </c>
      <c r="AG209">
        <f t="shared" si="104"/>
        <v>16816680.619199999</v>
      </c>
      <c r="AH209">
        <f t="shared" si="105"/>
        <v>16816680.619199999</v>
      </c>
      <c r="AI209">
        <f t="shared" si="106"/>
        <v>8473865856.8400002</v>
      </c>
    </row>
    <row r="210" spans="2:35" x14ac:dyDescent="0.25">
      <c r="B210" s="4">
        <v>2023</v>
      </c>
      <c r="C210" s="4" t="s">
        <v>241</v>
      </c>
      <c r="D210" s="4" t="s">
        <v>242</v>
      </c>
      <c r="E210" s="4" t="str">
        <f t="shared" si="98"/>
        <v>Xcel-MN</v>
      </c>
      <c r="F210" s="4" t="s">
        <v>146</v>
      </c>
      <c r="G210" s="4"/>
      <c r="H210" s="4" t="s">
        <v>251</v>
      </c>
      <c r="I210" s="4" t="s">
        <v>167</v>
      </c>
      <c r="J210" s="4" t="s">
        <v>155</v>
      </c>
      <c r="K210" s="5">
        <v>0</v>
      </c>
      <c r="L210" s="5">
        <f t="shared" si="107"/>
        <v>0</v>
      </c>
      <c r="M210" s="8">
        <v>0</v>
      </c>
      <c r="N210" s="8"/>
      <c r="O210" s="8">
        <f>SUMIFS(EIAwtransport!$J$2:$J$675,EIAwtransport!$E$2:$E$675,Program_data!$E210,EIAwtransport!$H$2:$H$675,Program_data!$F210,EIAwtransport!$I$2:$I$675,Program_data!O$2)</f>
        <v>219489723</v>
      </c>
      <c r="P210" s="5">
        <f>SUMIFS(EIAwtransport!$J$2:$J$675,EIAwtransport!$E$2:$E$675,Program_data!$E210,EIAwtransport!$H$2:$H$675,Program_data!$F210,EIAwtransport!$I$2:$I$675,Program_data!P$2)</f>
        <v>45049322</v>
      </c>
      <c r="Q210" s="5">
        <f>SUMIFS(EIAwtransport!$J$2:$J$675,EIAwtransport!$E$2:$E$675,Program_data!$E210,EIAwtransport!$H$2:$H$675,Program_data!$F210,EIAwtransport!$I$2:$I$675,Program_data!Q$2)</f>
        <v>36107</v>
      </c>
      <c r="R210" s="8">
        <f>SUMIFS(EIAwtransport!$J$2:$J$675,EIAwtransport!$E$2:$E$675,Program_data!$E210,EIAwtransport!$I$2:$I$675,Program_data!R$2)</f>
        <v>526109473</v>
      </c>
      <c r="S210" s="5">
        <f>SUMIFS(EIAwtransport!$J$2:$J$675,EIAwtransport!$E$2:$E$675,Program_data!$E210,EIAwtransport!$I$2:$I$675,Program_data!S$2)</f>
        <v>80336233</v>
      </c>
      <c r="T210" s="5">
        <f>SUMIFS(EIAwtransport!$J$2:$J$675,EIAwtransport!$E$2:$E$675,Program_data!$E210,EIAwtransport!$I$2:$I$675,Program_data!T$2)</f>
        <v>474354</v>
      </c>
      <c r="U210" s="24">
        <f t="shared" si="99"/>
        <v>0</v>
      </c>
      <c r="V210" s="24">
        <f t="shared" si="108"/>
        <v>0</v>
      </c>
      <c r="W210" s="24">
        <f t="shared" si="100"/>
        <v>0</v>
      </c>
      <c r="X210" s="25">
        <f t="shared" si="101"/>
        <v>0</v>
      </c>
      <c r="Y210" s="8">
        <f t="shared" si="95"/>
        <v>0</v>
      </c>
      <c r="Z210" s="27">
        <f t="shared" si="96"/>
        <v>0</v>
      </c>
      <c r="AA210" s="27"/>
      <c r="AB210" s="27"/>
      <c r="AC210" s="56">
        <f t="shared" si="93"/>
        <v>0</v>
      </c>
      <c r="AD210" s="20">
        <f t="shared" si="70"/>
        <v>0</v>
      </c>
      <c r="AE210" s="20">
        <f t="shared" si="102"/>
        <v>0</v>
      </c>
      <c r="AF210" s="20">
        <f t="shared" si="103"/>
        <v>710247788.55000007</v>
      </c>
      <c r="AG210">
        <f t="shared" si="104"/>
        <v>0</v>
      </c>
      <c r="AH210">
        <f t="shared" si="105"/>
        <v>0</v>
      </c>
      <c r="AI210">
        <f t="shared" si="106"/>
        <v>8473865856.8400002</v>
      </c>
    </row>
    <row r="211" spans="2:35" x14ac:dyDescent="0.25">
      <c r="B211" s="4">
        <v>2023</v>
      </c>
      <c r="C211" s="4" t="s">
        <v>241</v>
      </c>
      <c r="D211" s="4" t="s">
        <v>242</v>
      </c>
      <c r="E211" s="4" t="str">
        <f t="shared" si="98"/>
        <v>Xcel-MN</v>
      </c>
      <c r="F211" s="4" t="s">
        <v>146</v>
      </c>
      <c r="G211" s="4"/>
      <c r="H211" s="4" t="s">
        <v>252</v>
      </c>
      <c r="I211" s="11"/>
      <c r="J211" s="4" t="s">
        <v>142</v>
      </c>
      <c r="K211" s="5">
        <v>149391.19999999998</v>
      </c>
      <c r="L211" s="5">
        <f t="shared" si="107"/>
        <v>149391.19999999998</v>
      </c>
      <c r="M211" s="8">
        <v>81541</v>
      </c>
      <c r="N211" s="8">
        <v>72098</v>
      </c>
      <c r="O211" s="8">
        <f>SUMIFS(EIAwtransport!$J$2:$J$675,EIAwtransport!$E$2:$E$675,Program_data!$E211,EIAwtransport!$H$2:$H$675,Program_data!$F211,EIAwtransport!$I$2:$I$675,Program_data!O$2)</f>
        <v>219489723</v>
      </c>
      <c r="P211" s="5">
        <f>SUMIFS(EIAwtransport!$J$2:$J$675,EIAwtransport!$E$2:$E$675,Program_data!$E211,EIAwtransport!$H$2:$H$675,Program_data!$F211,EIAwtransport!$I$2:$I$675,Program_data!P$2)</f>
        <v>45049322</v>
      </c>
      <c r="Q211" s="5">
        <f>SUMIFS(EIAwtransport!$J$2:$J$675,EIAwtransport!$E$2:$E$675,Program_data!$E211,EIAwtransport!$H$2:$H$675,Program_data!$F211,EIAwtransport!$I$2:$I$675,Program_data!Q$2)</f>
        <v>36107</v>
      </c>
      <c r="R211" s="8">
        <f>SUMIFS(EIAwtransport!$J$2:$J$675,EIAwtransport!$E$2:$E$675,Program_data!$E211,EIAwtransport!$I$2:$I$675,Program_data!R$2)</f>
        <v>526109473</v>
      </c>
      <c r="S211" s="5">
        <f>SUMIFS(EIAwtransport!$J$2:$J$675,EIAwtransport!$E$2:$E$675,Program_data!$E211,EIAwtransport!$I$2:$I$675,Program_data!S$2)</f>
        <v>80336233</v>
      </c>
      <c r="T211" s="5">
        <f>SUMIFS(EIAwtransport!$J$2:$J$675,EIAwtransport!$E$2:$E$675,Program_data!$E211,EIAwtransport!$I$2:$I$675,Program_data!T$2)</f>
        <v>474354</v>
      </c>
      <c r="U211" s="24">
        <f t="shared" si="99"/>
        <v>1.7949559571706579E-4</v>
      </c>
      <c r="V211" s="24">
        <f t="shared" si="108"/>
        <v>1.7949559571706579E-4</v>
      </c>
      <c r="W211" s="24">
        <f t="shared" si="100"/>
        <v>1.5498865575454103E-4</v>
      </c>
      <c r="X211" s="25">
        <f t="shared" si="101"/>
        <v>9.7972640760401298E-5</v>
      </c>
      <c r="Y211" s="8">
        <f t="shared" si="95"/>
        <v>1.3537121006764293E-2</v>
      </c>
      <c r="Z211" s="27">
        <f t="shared" si="96"/>
        <v>7.5614735063943535E-3</v>
      </c>
      <c r="AA211" s="27"/>
      <c r="AB211" s="27"/>
      <c r="AC211" s="56">
        <f t="shared" si="93"/>
        <v>7.4944892944646419E-3</v>
      </c>
      <c r="AD211" s="20">
        <f t="shared" si="70"/>
        <v>110080.35</v>
      </c>
      <c r="AE211" s="20">
        <f t="shared" si="102"/>
        <v>97332.3</v>
      </c>
      <c r="AF211" s="20">
        <f t="shared" si="103"/>
        <v>710247788.55000007</v>
      </c>
      <c r="AG211">
        <f t="shared" si="104"/>
        <v>15757783.775999999</v>
      </c>
      <c r="AH211">
        <f t="shared" si="105"/>
        <v>15757783.775999999</v>
      </c>
      <c r="AI211">
        <f t="shared" si="106"/>
        <v>8473865856.8400002</v>
      </c>
    </row>
    <row r="212" spans="2:35" x14ac:dyDescent="0.25">
      <c r="B212" s="4">
        <v>2023</v>
      </c>
      <c r="C212" s="4" t="s">
        <v>241</v>
      </c>
      <c r="D212" s="4" t="s">
        <v>242</v>
      </c>
      <c r="E212" s="4" t="str">
        <f t="shared" si="98"/>
        <v>Xcel-MN</v>
      </c>
      <c r="F212" s="4" t="s">
        <v>146</v>
      </c>
      <c r="G212" s="4"/>
      <c r="H212" s="4" t="s">
        <v>253</v>
      </c>
      <c r="I212" s="11"/>
      <c r="J212" s="4" t="s">
        <v>142</v>
      </c>
      <c r="K212" s="5">
        <v>387546.88</v>
      </c>
      <c r="L212" s="5">
        <f t="shared" si="107"/>
        <v>387546.88</v>
      </c>
      <c r="M212" s="8">
        <v>164805</v>
      </c>
      <c r="N212" s="8">
        <v>133124</v>
      </c>
      <c r="O212" s="8">
        <f>SUMIFS(EIAwtransport!$J$2:$J$675,EIAwtransport!$E$2:$E$675,Program_data!$E212,EIAwtransport!$H$2:$H$675,Program_data!$F212,EIAwtransport!$I$2:$I$675,Program_data!O$2)</f>
        <v>219489723</v>
      </c>
      <c r="P212" s="5">
        <f>SUMIFS(EIAwtransport!$J$2:$J$675,EIAwtransport!$E$2:$E$675,Program_data!$E212,EIAwtransport!$H$2:$H$675,Program_data!$F212,EIAwtransport!$I$2:$I$675,Program_data!P$2)</f>
        <v>45049322</v>
      </c>
      <c r="Q212" s="5">
        <f>SUMIFS(EIAwtransport!$J$2:$J$675,EIAwtransport!$E$2:$E$675,Program_data!$E212,EIAwtransport!$H$2:$H$675,Program_data!$F212,EIAwtransport!$I$2:$I$675,Program_data!Q$2)</f>
        <v>36107</v>
      </c>
      <c r="R212" s="8">
        <f>SUMIFS(EIAwtransport!$J$2:$J$675,EIAwtransport!$E$2:$E$675,Program_data!$E212,EIAwtransport!$I$2:$I$675,Program_data!R$2)</f>
        <v>526109473</v>
      </c>
      <c r="S212" s="5">
        <f>SUMIFS(EIAwtransport!$J$2:$J$675,EIAwtransport!$E$2:$E$675,Program_data!$E212,EIAwtransport!$I$2:$I$675,Program_data!S$2)</f>
        <v>80336233</v>
      </c>
      <c r="T212" s="5">
        <f>SUMIFS(EIAwtransport!$J$2:$J$675,EIAwtransport!$E$2:$E$675,Program_data!$E212,EIAwtransport!$I$2:$I$675,Program_data!T$2)</f>
        <v>474354</v>
      </c>
      <c r="U212" s="24">
        <f t="shared" si="99"/>
        <v>4.6564294345242702E-4</v>
      </c>
      <c r="V212" s="24">
        <f t="shared" si="108"/>
        <v>4.6564294345242702E-4</v>
      </c>
      <c r="W212" s="24">
        <f t="shared" si="100"/>
        <v>3.1325229530698831E-4</v>
      </c>
      <c r="X212" s="25">
        <f t="shared" si="101"/>
        <v>1.9801548988261042E-4</v>
      </c>
      <c r="Y212" s="8">
        <f t="shared" si="95"/>
        <v>2.7360287800245145E-2</v>
      </c>
      <c r="Z212" s="27">
        <f t="shared" si="96"/>
        <v>1.5282724533931659E-2</v>
      </c>
      <c r="AA212" s="27"/>
      <c r="AB212" s="27"/>
      <c r="AC212" s="56">
        <f t="shared" si="93"/>
        <v>1.9442014946417015E-2</v>
      </c>
      <c r="AD212" s="20">
        <f t="shared" si="70"/>
        <v>222486.75000000003</v>
      </c>
      <c r="AE212" s="20">
        <f t="shared" si="102"/>
        <v>179717.40000000002</v>
      </c>
      <c r="AF212" s="20">
        <f t="shared" si="103"/>
        <v>710247788.55000007</v>
      </c>
      <c r="AG212">
        <f t="shared" si="104"/>
        <v>40878444.902400002</v>
      </c>
      <c r="AH212">
        <f t="shared" si="105"/>
        <v>40878444.902400002</v>
      </c>
      <c r="AI212">
        <f t="shared" si="106"/>
        <v>8473865856.8400002</v>
      </c>
    </row>
    <row r="213" spans="2:35" x14ac:dyDescent="0.25">
      <c r="B213" s="4">
        <v>2023</v>
      </c>
      <c r="C213" s="4" t="s">
        <v>241</v>
      </c>
      <c r="D213" s="4" t="s">
        <v>242</v>
      </c>
      <c r="E213" s="4" t="str">
        <f t="shared" si="98"/>
        <v>Xcel-MN</v>
      </c>
      <c r="F213" s="4" t="s">
        <v>146</v>
      </c>
      <c r="G213" s="4"/>
      <c r="H213" s="4" t="s">
        <v>254</v>
      </c>
      <c r="I213" s="4" t="s">
        <v>167</v>
      </c>
      <c r="J213" s="4" t="s">
        <v>155</v>
      </c>
      <c r="K213" s="5">
        <v>0</v>
      </c>
      <c r="L213" s="5">
        <f t="shared" si="107"/>
        <v>0</v>
      </c>
      <c r="M213" s="8">
        <v>0</v>
      </c>
      <c r="N213" s="8"/>
      <c r="O213" s="8">
        <f>SUMIFS(EIAwtransport!$J$2:$J$675,EIAwtransport!$E$2:$E$675,Program_data!$E213,EIAwtransport!$H$2:$H$675,Program_data!$F213,EIAwtransport!$I$2:$I$675,Program_data!O$2)</f>
        <v>219489723</v>
      </c>
      <c r="P213" s="5">
        <f>SUMIFS(EIAwtransport!$J$2:$J$675,EIAwtransport!$E$2:$E$675,Program_data!$E213,EIAwtransport!$H$2:$H$675,Program_data!$F213,EIAwtransport!$I$2:$I$675,Program_data!P$2)</f>
        <v>45049322</v>
      </c>
      <c r="Q213" s="5">
        <f>SUMIFS(EIAwtransport!$J$2:$J$675,EIAwtransport!$E$2:$E$675,Program_data!$E213,EIAwtransport!$H$2:$H$675,Program_data!$F213,EIAwtransport!$I$2:$I$675,Program_data!Q$2)</f>
        <v>36107</v>
      </c>
      <c r="R213" s="8">
        <f>SUMIFS(EIAwtransport!$J$2:$J$675,EIAwtransport!$E$2:$E$675,Program_data!$E213,EIAwtransport!$I$2:$I$675,Program_data!R$2)</f>
        <v>526109473</v>
      </c>
      <c r="S213" s="5">
        <f>SUMIFS(EIAwtransport!$J$2:$J$675,EIAwtransport!$E$2:$E$675,Program_data!$E213,EIAwtransport!$I$2:$I$675,Program_data!S$2)</f>
        <v>80336233</v>
      </c>
      <c r="T213" s="5">
        <f>SUMIFS(EIAwtransport!$J$2:$J$675,EIAwtransport!$E$2:$E$675,Program_data!$E213,EIAwtransport!$I$2:$I$675,Program_data!T$2)</f>
        <v>474354</v>
      </c>
      <c r="U213" s="24">
        <f t="shared" si="99"/>
        <v>0</v>
      </c>
      <c r="V213" s="24">
        <f t="shared" si="108"/>
        <v>0</v>
      </c>
      <c r="W213" s="24">
        <f t="shared" si="100"/>
        <v>0</v>
      </c>
      <c r="X213" s="25">
        <f t="shared" si="101"/>
        <v>0</v>
      </c>
      <c r="Y213" s="8">
        <f t="shared" si="95"/>
        <v>0</v>
      </c>
      <c r="Z213" s="27">
        <f t="shared" si="96"/>
        <v>0</v>
      </c>
      <c r="AA213" s="27"/>
      <c r="AB213" s="27"/>
      <c r="AC213" s="56">
        <f t="shared" si="93"/>
        <v>0</v>
      </c>
      <c r="AD213" s="20">
        <f t="shared" si="70"/>
        <v>0</v>
      </c>
      <c r="AE213" s="20">
        <f t="shared" si="102"/>
        <v>0</v>
      </c>
      <c r="AF213" s="20">
        <f t="shared" si="103"/>
        <v>710247788.55000007</v>
      </c>
      <c r="AG213">
        <f t="shared" si="104"/>
        <v>0</v>
      </c>
      <c r="AH213">
        <f t="shared" si="105"/>
        <v>0</v>
      </c>
      <c r="AI213">
        <f t="shared" si="106"/>
        <v>8473865856.8400002</v>
      </c>
    </row>
    <row r="214" spans="2:35" x14ac:dyDescent="0.25">
      <c r="B214" s="4">
        <v>2023</v>
      </c>
      <c r="C214" s="4" t="s">
        <v>241</v>
      </c>
      <c r="D214" s="4" t="s">
        <v>242</v>
      </c>
      <c r="E214" s="4" t="str">
        <f t="shared" si="98"/>
        <v>Xcel-MN</v>
      </c>
      <c r="F214" s="4" t="s">
        <v>146</v>
      </c>
      <c r="G214" s="4"/>
      <c r="H214" s="4" t="s">
        <v>255</v>
      </c>
      <c r="I214" s="11"/>
      <c r="J214" s="4" t="s">
        <v>142</v>
      </c>
      <c r="K214" s="5">
        <v>120921.92</v>
      </c>
      <c r="L214" s="5">
        <f t="shared" si="107"/>
        <v>120921.92</v>
      </c>
      <c r="M214" s="8">
        <v>129904</v>
      </c>
      <c r="N214" s="8">
        <v>68779</v>
      </c>
      <c r="O214" s="8">
        <f>SUMIFS(EIAwtransport!$J$2:$J$675,EIAwtransport!$E$2:$E$675,Program_data!$E214,EIAwtransport!$H$2:$H$675,Program_data!$F214,EIAwtransport!$I$2:$I$675,Program_data!O$2)</f>
        <v>219489723</v>
      </c>
      <c r="P214" s="5">
        <f>SUMIFS(EIAwtransport!$J$2:$J$675,EIAwtransport!$E$2:$E$675,Program_data!$E214,EIAwtransport!$H$2:$H$675,Program_data!$F214,EIAwtransport!$I$2:$I$675,Program_data!P$2)</f>
        <v>45049322</v>
      </c>
      <c r="Q214" s="5">
        <f>SUMIFS(EIAwtransport!$J$2:$J$675,EIAwtransport!$E$2:$E$675,Program_data!$E214,EIAwtransport!$H$2:$H$675,Program_data!$F214,EIAwtransport!$I$2:$I$675,Program_data!Q$2)</f>
        <v>36107</v>
      </c>
      <c r="R214" s="8">
        <f>SUMIFS(EIAwtransport!$J$2:$J$675,EIAwtransport!$E$2:$E$675,Program_data!$E214,EIAwtransport!$I$2:$I$675,Program_data!R$2)</f>
        <v>526109473</v>
      </c>
      <c r="S214" s="5">
        <f>SUMIFS(EIAwtransport!$J$2:$J$675,EIAwtransport!$E$2:$E$675,Program_data!$E214,EIAwtransport!$I$2:$I$675,Program_data!S$2)</f>
        <v>80336233</v>
      </c>
      <c r="T214" s="5">
        <f>SUMIFS(EIAwtransport!$J$2:$J$675,EIAwtransport!$E$2:$E$675,Program_data!$E214,EIAwtransport!$I$2:$I$675,Program_data!T$2)</f>
        <v>474354</v>
      </c>
      <c r="U214" s="24">
        <f t="shared" si="99"/>
        <v>1.4528936152632398E-4</v>
      </c>
      <c r="V214" s="24">
        <f t="shared" si="108"/>
        <v>1.4528936152632398E-4</v>
      </c>
      <c r="W214" s="24">
        <f t="shared" si="100"/>
        <v>2.4691439076216746E-4</v>
      </c>
      <c r="X214" s="25">
        <f t="shared" si="101"/>
        <v>1.5608145503904992E-4</v>
      </c>
      <c r="Y214" s="8">
        <f t="shared" si="95"/>
        <v>2.1566158953933712E-2</v>
      </c>
      <c r="Z214" s="27">
        <f t="shared" si="96"/>
        <v>1.2046279226090582E-2</v>
      </c>
      <c r="AA214" s="27"/>
      <c r="AB214" s="27"/>
      <c r="AC214" s="56">
        <f t="shared" si="93"/>
        <v>6.0662745523572337E-3</v>
      </c>
      <c r="AD214" s="20">
        <f t="shared" si="70"/>
        <v>175370.40000000002</v>
      </c>
      <c r="AE214" s="20">
        <f t="shared" si="102"/>
        <v>92851.650000000009</v>
      </c>
      <c r="AF214" s="20">
        <f t="shared" si="103"/>
        <v>710247788.55000007</v>
      </c>
      <c r="AG214">
        <f t="shared" si="104"/>
        <v>12754844.1216</v>
      </c>
      <c r="AH214">
        <f t="shared" si="105"/>
        <v>12754844.1216</v>
      </c>
      <c r="AI214">
        <f t="shared" si="106"/>
        <v>8473865856.8400002</v>
      </c>
    </row>
    <row r="215" spans="2:35" x14ac:dyDescent="0.25">
      <c r="B215" s="4">
        <v>2023</v>
      </c>
      <c r="C215" s="4" t="s">
        <v>241</v>
      </c>
      <c r="D215" s="4" t="s">
        <v>242</v>
      </c>
      <c r="E215" s="4" t="str">
        <f t="shared" si="98"/>
        <v>Xcel-MN</v>
      </c>
      <c r="F215" s="4" t="s">
        <v>146</v>
      </c>
      <c r="G215" s="4"/>
      <c r="H215" s="4" t="s">
        <v>256</v>
      </c>
      <c r="I215" s="11"/>
      <c r="J215" s="4" t="s">
        <v>142</v>
      </c>
      <c r="K215" s="5">
        <v>1044764.5599999999</v>
      </c>
      <c r="L215" s="5">
        <f t="shared" si="107"/>
        <v>1044764.5599999999</v>
      </c>
      <c r="M215" s="8">
        <v>1459601</v>
      </c>
      <c r="N215" s="8">
        <v>825518</v>
      </c>
      <c r="O215" s="8">
        <f>SUMIFS(EIAwtransport!$J$2:$J$675,EIAwtransport!$E$2:$E$675,Program_data!$E215,EIAwtransport!$H$2:$H$675,Program_data!$F215,EIAwtransport!$I$2:$I$675,Program_data!O$2)</f>
        <v>219489723</v>
      </c>
      <c r="P215" s="5">
        <f>SUMIFS(EIAwtransport!$J$2:$J$675,EIAwtransport!$E$2:$E$675,Program_data!$E215,EIAwtransport!$H$2:$H$675,Program_data!$F215,EIAwtransport!$I$2:$I$675,Program_data!P$2)</f>
        <v>45049322</v>
      </c>
      <c r="Q215" s="5">
        <f>SUMIFS(EIAwtransport!$J$2:$J$675,EIAwtransport!$E$2:$E$675,Program_data!$E215,EIAwtransport!$H$2:$H$675,Program_data!$F215,EIAwtransport!$I$2:$I$675,Program_data!Q$2)</f>
        <v>36107</v>
      </c>
      <c r="R215" s="8">
        <f>SUMIFS(EIAwtransport!$J$2:$J$675,EIAwtransport!$E$2:$E$675,Program_data!$E215,EIAwtransport!$I$2:$I$675,Program_data!R$2)</f>
        <v>526109473</v>
      </c>
      <c r="S215" s="5">
        <f>SUMIFS(EIAwtransport!$J$2:$J$675,EIAwtransport!$E$2:$E$675,Program_data!$E215,EIAwtransport!$I$2:$I$675,Program_data!S$2)</f>
        <v>80336233</v>
      </c>
      <c r="T215" s="5">
        <f>SUMIFS(EIAwtransport!$J$2:$J$675,EIAwtransport!$E$2:$E$675,Program_data!$E215,EIAwtransport!$I$2:$I$675,Program_data!T$2)</f>
        <v>474354</v>
      </c>
      <c r="U215" s="24">
        <f t="shared" si="99"/>
        <v>1.2552990877727614E-3</v>
      </c>
      <c r="V215" s="24">
        <f t="shared" si="108"/>
        <v>1.2552990877727614E-3</v>
      </c>
      <c r="W215" s="24">
        <f t="shared" si="100"/>
        <v>2.7743294407474011E-3</v>
      </c>
      <c r="X215" s="25">
        <f t="shared" si="101"/>
        <v>1.7537308154980009E-3</v>
      </c>
      <c r="Y215" s="8">
        <f t="shared" si="95"/>
        <v>0.24231730489685152</v>
      </c>
      <c r="Z215" s="27">
        <f t="shared" si="96"/>
        <v>0.13535196148448883</v>
      </c>
      <c r="AA215" s="27"/>
      <c r="AB215" s="27"/>
      <c r="AC215" s="56">
        <f t="shared" si="93"/>
        <v>5.2412570554062503E-2</v>
      </c>
      <c r="AD215" s="20">
        <f t="shared" si="70"/>
        <v>1970461.35</v>
      </c>
      <c r="AE215" s="20">
        <f t="shared" si="102"/>
        <v>1114449.3</v>
      </c>
      <c r="AF215" s="20">
        <f t="shared" si="103"/>
        <v>710247788.55000007</v>
      </c>
      <c r="AG215">
        <f t="shared" si="104"/>
        <v>110201765.7888</v>
      </c>
      <c r="AH215">
        <f t="shared" si="105"/>
        <v>110201765.7888</v>
      </c>
      <c r="AI215">
        <f t="shared" si="106"/>
        <v>8473865856.8400002</v>
      </c>
    </row>
    <row r="216" spans="2:35" x14ac:dyDescent="0.25">
      <c r="B216" s="4">
        <v>2023</v>
      </c>
      <c r="C216" s="4" t="s">
        <v>241</v>
      </c>
      <c r="D216" s="4" t="s">
        <v>242</v>
      </c>
      <c r="E216" s="4" t="str">
        <f t="shared" si="98"/>
        <v>Xcel-MN</v>
      </c>
      <c r="F216" s="4" t="s">
        <v>146</v>
      </c>
      <c r="G216" s="4"/>
      <c r="H216" s="4" t="s">
        <v>257</v>
      </c>
      <c r="I216" s="4" t="s">
        <v>167</v>
      </c>
      <c r="J216" s="4" t="s">
        <v>155</v>
      </c>
      <c r="K216" s="5">
        <v>0</v>
      </c>
      <c r="L216" s="5">
        <f t="shared" si="107"/>
        <v>0</v>
      </c>
      <c r="M216" s="8">
        <v>0</v>
      </c>
      <c r="N216" s="8"/>
      <c r="O216" s="8">
        <f>SUMIFS(EIAwtransport!$J$2:$J$675,EIAwtransport!$E$2:$E$675,Program_data!$E216,EIAwtransport!$H$2:$H$675,Program_data!$F216,EIAwtransport!$I$2:$I$675,Program_data!O$2)</f>
        <v>219489723</v>
      </c>
      <c r="P216" s="5">
        <f>SUMIFS(EIAwtransport!$J$2:$J$675,EIAwtransport!$E$2:$E$675,Program_data!$E216,EIAwtransport!$H$2:$H$675,Program_data!$F216,EIAwtransport!$I$2:$I$675,Program_data!P$2)</f>
        <v>45049322</v>
      </c>
      <c r="Q216" s="5">
        <f>SUMIFS(EIAwtransport!$J$2:$J$675,EIAwtransport!$E$2:$E$675,Program_data!$E216,EIAwtransport!$H$2:$H$675,Program_data!$F216,EIAwtransport!$I$2:$I$675,Program_data!Q$2)</f>
        <v>36107</v>
      </c>
      <c r="R216" s="8">
        <f>SUMIFS(EIAwtransport!$J$2:$J$675,EIAwtransport!$E$2:$E$675,Program_data!$E216,EIAwtransport!$I$2:$I$675,Program_data!R$2)</f>
        <v>526109473</v>
      </c>
      <c r="S216" s="5">
        <f>SUMIFS(EIAwtransport!$J$2:$J$675,EIAwtransport!$E$2:$E$675,Program_data!$E216,EIAwtransport!$I$2:$I$675,Program_data!S$2)</f>
        <v>80336233</v>
      </c>
      <c r="T216" s="5">
        <f>SUMIFS(EIAwtransport!$J$2:$J$675,EIAwtransport!$E$2:$E$675,Program_data!$E216,EIAwtransport!$I$2:$I$675,Program_data!T$2)</f>
        <v>474354</v>
      </c>
      <c r="U216" s="24">
        <f t="shared" si="99"/>
        <v>0</v>
      </c>
      <c r="V216" s="24">
        <f t="shared" si="108"/>
        <v>0</v>
      </c>
      <c r="W216" s="24">
        <f t="shared" si="100"/>
        <v>0</v>
      </c>
      <c r="X216" s="25">
        <f t="shared" si="101"/>
        <v>0</v>
      </c>
      <c r="Y216" s="8">
        <f t="shared" si="95"/>
        <v>0</v>
      </c>
      <c r="Z216" s="27">
        <f t="shared" si="96"/>
        <v>0</v>
      </c>
      <c r="AA216" s="27"/>
      <c r="AB216" s="27"/>
      <c r="AC216" s="56">
        <f t="shared" si="93"/>
        <v>0</v>
      </c>
      <c r="AD216" s="20">
        <f t="shared" si="70"/>
        <v>0</v>
      </c>
      <c r="AE216" s="20">
        <f t="shared" si="102"/>
        <v>0</v>
      </c>
      <c r="AF216" s="20">
        <f t="shared" si="103"/>
        <v>710247788.55000007</v>
      </c>
      <c r="AG216">
        <f t="shared" si="104"/>
        <v>0</v>
      </c>
      <c r="AH216">
        <f t="shared" si="105"/>
        <v>0</v>
      </c>
      <c r="AI216">
        <f t="shared" si="106"/>
        <v>8473865856.8400002</v>
      </c>
    </row>
    <row r="217" spans="2:35" x14ac:dyDescent="0.25">
      <c r="B217" s="4">
        <v>2023</v>
      </c>
      <c r="C217" s="4" t="s">
        <v>241</v>
      </c>
      <c r="D217" s="4" t="s">
        <v>242</v>
      </c>
      <c r="E217" s="4" t="str">
        <f t="shared" si="98"/>
        <v>Xcel-MN</v>
      </c>
      <c r="F217" s="4" t="s">
        <v>146</v>
      </c>
      <c r="G217" s="4"/>
      <c r="H217" s="4" t="s">
        <v>203</v>
      </c>
      <c r="I217" s="11"/>
      <c r="J217" s="4" t="s">
        <v>142</v>
      </c>
      <c r="K217" s="5">
        <v>237098.96</v>
      </c>
      <c r="L217" s="5">
        <f t="shared" si="107"/>
        <v>237098.96</v>
      </c>
      <c r="M217" s="8">
        <v>701958</v>
      </c>
      <c r="N217" s="8">
        <v>252632</v>
      </c>
      <c r="O217" s="8">
        <f>SUMIFS(EIAwtransport!$J$2:$J$675,EIAwtransport!$E$2:$E$675,Program_data!$E217,EIAwtransport!$H$2:$H$675,Program_data!$F217,EIAwtransport!$I$2:$I$675,Program_data!O$2)</f>
        <v>219489723</v>
      </c>
      <c r="P217" s="5">
        <f>SUMIFS(EIAwtransport!$J$2:$J$675,EIAwtransport!$E$2:$E$675,Program_data!$E217,EIAwtransport!$H$2:$H$675,Program_data!$F217,EIAwtransport!$I$2:$I$675,Program_data!P$2)</f>
        <v>45049322</v>
      </c>
      <c r="Q217" s="5">
        <f>SUMIFS(EIAwtransport!$J$2:$J$675,EIAwtransport!$E$2:$E$675,Program_data!$E217,EIAwtransport!$H$2:$H$675,Program_data!$F217,EIAwtransport!$I$2:$I$675,Program_data!Q$2)</f>
        <v>36107</v>
      </c>
      <c r="R217" s="8">
        <f>SUMIFS(EIAwtransport!$J$2:$J$675,EIAwtransport!$E$2:$E$675,Program_data!$E217,EIAwtransport!$I$2:$I$675,Program_data!R$2)</f>
        <v>526109473</v>
      </c>
      <c r="S217" s="5">
        <f>SUMIFS(EIAwtransport!$J$2:$J$675,EIAwtransport!$E$2:$E$675,Program_data!$E217,EIAwtransport!$I$2:$I$675,Program_data!S$2)</f>
        <v>80336233</v>
      </c>
      <c r="T217" s="5">
        <f>SUMIFS(EIAwtransport!$J$2:$J$675,EIAwtransport!$E$2:$E$675,Program_data!$E217,EIAwtransport!$I$2:$I$675,Program_data!T$2)</f>
        <v>474354</v>
      </c>
      <c r="U217" s="24">
        <f t="shared" si="99"/>
        <v>2.848776840208577E-4</v>
      </c>
      <c r="V217" s="24">
        <f t="shared" si="108"/>
        <v>2.848776840208577E-4</v>
      </c>
      <c r="W217" s="24">
        <f t="shared" si="100"/>
        <v>1.334243225078747E-3</v>
      </c>
      <c r="X217" s="25">
        <f t="shared" si="101"/>
        <v>8.4341225840852785E-4</v>
      </c>
      <c r="Y217" s="8">
        <f t="shared" si="95"/>
        <v>0.11653634843411596</v>
      </c>
      <c r="Z217" s="27">
        <f t="shared" si="96"/>
        <v>6.5094085424529588E-2</v>
      </c>
      <c r="AA217" s="27"/>
      <c r="AB217" s="27"/>
      <c r="AC217" s="56">
        <f t="shared" si="93"/>
        <v>1.1894513314363232E-2</v>
      </c>
      <c r="AD217" s="20">
        <f t="shared" si="70"/>
        <v>947643.3</v>
      </c>
      <c r="AE217" s="20">
        <f t="shared" si="102"/>
        <v>341053.2</v>
      </c>
      <c r="AF217" s="20">
        <f t="shared" si="103"/>
        <v>710247788.55000007</v>
      </c>
      <c r="AG217">
        <f t="shared" si="104"/>
        <v>25009198.300799999</v>
      </c>
      <c r="AH217">
        <f t="shared" si="105"/>
        <v>25009198.300799999</v>
      </c>
      <c r="AI217">
        <f t="shared" si="106"/>
        <v>8473865856.8400002</v>
      </c>
    </row>
    <row r="218" spans="2:35" x14ac:dyDescent="0.25">
      <c r="B218" s="4">
        <v>2023</v>
      </c>
      <c r="C218" s="4" t="s">
        <v>241</v>
      </c>
      <c r="D218" s="4" t="s">
        <v>242</v>
      </c>
      <c r="E218" s="4" t="str">
        <f t="shared" si="98"/>
        <v>Xcel-MN</v>
      </c>
      <c r="F218" s="4" t="s">
        <v>146</v>
      </c>
      <c r="G218" s="4"/>
      <c r="H218" s="4" t="s">
        <v>258</v>
      </c>
      <c r="I218" s="4" t="s">
        <v>167</v>
      </c>
      <c r="J218" s="4" t="s">
        <v>155</v>
      </c>
      <c r="K218" s="5">
        <v>0</v>
      </c>
      <c r="L218" s="5">
        <f t="shared" si="107"/>
        <v>0</v>
      </c>
      <c r="M218" s="8">
        <v>0</v>
      </c>
      <c r="N218" s="8"/>
      <c r="O218" s="8">
        <f>SUMIFS(EIAwtransport!$J$2:$J$675,EIAwtransport!$E$2:$E$675,Program_data!$E218,EIAwtransport!$H$2:$H$675,Program_data!$F218,EIAwtransport!$I$2:$I$675,Program_data!O$2)</f>
        <v>219489723</v>
      </c>
      <c r="P218" s="5">
        <f>SUMIFS(EIAwtransport!$J$2:$J$675,EIAwtransport!$E$2:$E$675,Program_data!$E218,EIAwtransport!$H$2:$H$675,Program_data!$F218,EIAwtransport!$I$2:$I$675,Program_data!P$2)</f>
        <v>45049322</v>
      </c>
      <c r="Q218" s="5">
        <f>SUMIFS(EIAwtransport!$J$2:$J$675,EIAwtransport!$E$2:$E$675,Program_data!$E218,EIAwtransport!$H$2:$H$675,Program_data!$F218,EIAwtransport!$I$2:$I$675,Program_data!Q$2)</f>
        <v>36107</v>
      </c>
      <c r="R218" s="8">
        <f>SUMIFS(EIAwtransport!$J$2:$J$675,EIAwtransport!$E$2:$E$675,Program_data!$E218,EIAwtransport!$I$2:$I$675,Program_data!R$2)</f>
        <v>526109473</v>
      </c>
      <c r="S218" s="5">
        <f>SUMIFS(EIAwtransport!$J$2:$J$675,EIAwtransport!$E$2:$E$675,Program_data!$E218,EIAwtransport!$I$2:$I$675,Program_data!S$2)</f>
        <v>80336233</v>
      </c>
      <c r="T218" s="5">
        <f>SUMIFS(EIAwtransport!$J$2:$J$675,EIAwtransport!$E$2:$E$675,Program_data!$E218,EIAwtransport!$I$2:$I$675,Program_data!T$2)</f>
        <v>474354</v>
      </c>
      <c r="U218" s="24">
        <f t="shared" si="99"/>
        <v>0</v>
      </c>
      <c r="V218" s="24">
        <f t="shared" si="108"/>
        <v>0</v>
      </c>
      <c r="W218" s="24">
        <f t="shared" si="100"/>
        <v>0</v>
      </c>
      <c r="X218" s="25">
        <f t="shared" si="101"/>
        <v>0</v>
      </c>
      <c r="Y218" s="8">
        <f t="shared" si="95"/>
        <v>0</v>
      </c>
      <c r="Z218" s="27">
        <f t="shared" si="96"/>
        <v>0</v>
      </c>
      <c r="AA218" s="27"/>
      <c r="AB218" s="27"/>
      <c r="AC218" s="56">
        <f t="shared" si="93"/>
        <v>0</v>
      </c>
      <c r="AD218" s="20">
        <f t="shared" ref="AD218:AD281" si="109">M218*1.35</f>
        <v>0</v>
      </c>
      <c r="AE218" s="20">
        <f t="shared" si="102"/>
        <v>0</v>
      </c>
      <c r="AF218" s="20">
        <f t="shared" si="103"/>
        <v>710247788.55000007</v>
      </c>
      <c r="AG218">
        <f t="shared" si="104"/>
        <v>0</v>
      </c>
      <c r="AH218">
        <f t="shared" si="105"/>
        <v>0</v>
      </c>
      <c r="AI218">
        <f t="shared" si="106"/>
        <v>8473865856.8400002</v>
      </c>
    </row>
    <row r="219" spans="2:35" x14ac:dyDescent="0.25">
      <c r="B219" s="4">
        <v>2023</v>
      </c>
      <c r="C219" s="4" t="s">
        <v>241</v>
      </c>
      <c r="D219" s="4" t="s">
        <v>242</v>
      </c>
      <c r="E219" s="4" t="str">
        <f t="shared" si="98"/>
        <v>Xcel-MN</v>
      </c>
      <c r="F219" s="4" t="s">
        <v>146</v>
      </c>
      <c r="G219" s="4"/>
      <c r="H219" s="4" t="s">
        <v>259</v>
      </c>
      <c r="I219" s="11"/>
      <c r="J219" s="4" t="s">
        <v>142</v>
      </c>
      <c r="K219" s="5">
        <v>2352869.96</v>
      </c>
      <c r="L219" s="5">
        <f t="shared" si="107"/>
        <v>2352869.96</v>
      </c>
      <c r="M219" s="8">
        <v>1065251</v>
      </c>
      <c r="N219" s="8">
        <v>770281</v>
      </c>
      <c r="O219" s="8">
        <f>SUMIFS(EIAwtransport!$J$2:$J$675,EIAwtransport!$E$2:$E$675,Program_data!$E219,EIAwtransport!$H$2:$H$675,Program_data!$F219,EIAwtransport!$I$2:$I$675,Program_data!O$2)</f>
        <v>219489723</v>
      </c>
      <c r="P219" s="5">
        <f>SUMIFS(EIAwtransport!$J$2:$J$675,EIAwtransport!$E$2:$E$675,Program_data!$E219,EIAwtransport!$H$2:$H$675,Program_data!$F219,EIAwtransport!$I$2:$I$675,Program_data!P$2)</f>
        <v>45049322</v>
      </c>
      <c r="Q219" s="5">
        <f>SUMIFS(EIAwtransport!$J$2:$J$675,EIAwtransport!$E$2:$E$675,Program_data!$E219,EIAwtransport!$H$2:$H$675,Program_data!$F219,EIAwtransport!$I$2:$I$675,Program_data!Q$2)</f>
        <v>36107</v>
      </c>
      <c r="R219" s="8">
        <f>SUMIFS(EIAwtransport!$J$2:$J$675,EIAwtransport!$E$2:$E$675,Program_data!$E219,EIAwtransport!$I$2:$I$675,Program_data!R$2)</f>
        <v>526109473</v>
      </c>
      <c r="S219" s="5">
        <f>SUMIFS(EIAwtransport!$J$2:$J$675,EIAwtransport!$E$2:$E$675,Program_data!$E219,EIAwtransport!$I$2:$I$675,Program_data!S$2)</f>
        <v>80336233</v>
      </c>
      <c r="T219" s="5">
        <f>SUMIFS(EIAwtransport!$J$2:$J$675,EIAwtransport!$E$2:$E$675,Program_data!$E219,EIAwtransport!$I$2:$I$675,Program_data!T$2)</f>
        <v>474354</v>
      </c>
      <c r="U219" s="24">
        <f t="shared" si="99"/>
        <v>2.827005841809884E-3</v>
      </c>
      <c r="V219" s="24">
        <f t="shared" si="108"/>
        <v>2.827005841809884E-3</v>
      </c>
      <c r="W219" s="24">
        <f t="shared" si="100"/>
        <v>2.0247706127123851E-3</v>
      </c>
      <c r="X219" s="25">
        <f t="shared" si="101"/>
        <v>1.2799138291492407E-3</v>
      </c>
      <c r="Y219" s="8">
        <f t="shared" si="95"/>
        <v>0.17684884523830552</v>
      </c>
      <c r="Z219" s="27">
        <f t="shared" si="96"/>
        <v>9.8783032022664571E-2</v>
      </c>
      <c r="AA219" s="27"/>
      <c r="AB219" s="27"/>
      <c r="AC219" s="56">
        <f t="shared" si="93"/>
        <v>0.11803612747261855</v>
      </c>
      <c r="AD219" s="20">
        <f t="shared" si="109"/>
        <v>1438088.85</v>
      </c>
      <c r="AE219" s="20">
        <f t="shared" si="102"/>
        <v>1039879.3500000001</v>
      </c>
      <c r="AF219" s="20">
        <f t="shared" si="103"/>
        <v>710247788.55000007</v>
      </c>
      <c r="AG219">
        <f t="shared" si="104"/>
        <v>248180723.38080001</v>
      </c>
      <c r="AH219">
        <f t="shared" si="105"/>
        <v>248180723.38080001</v>
      </c>
      <c r="AI219">
        <f t="shared" si="106"/>
        <v>8473865856.8400002</v>
      </c>
    </row>
    <row r="220" spans="2:35" x14ac:dyDescent="0.25">
      <c r="B220" s="4">
        <v>2023</v>
      </c>
      <c r="C220" s="4" t="s">
        <v>241</v>
      </c>
      <c r="D220" s="4" t="s">
        <v>242</v>
      </c>
      <c r="E220" s="4" t="str">
        <f t="shared" si="98"/>
        <v>Xcel-MN</v>
      </c>
      <c r="F220" s="4" t="s">
        <v>146</v>
      </c>
      <c r="G220" s="4"/>
      <c r="H220" s="4" t="s">
        <v>260</v>
      </c>
      <c r="I220" s="11"/>
      <c r="J220" s="4" t="s">
        <v>142</v>
      </c>
      <c r="K220" s="5">
        <v>11965.8</v>
      </c>
      <c r="L220" s="5">
        <f t="shared" si="107"/>
        <v>11965.8</v>
      </c>
      <c r="M220" s="8">
        <v>40884</v>
      </c>
      <c r="N220" s="8">
        <v>11010</v>
      </c>
      <c r="O220" s="8">
        <f>SUMIFS(EIAwtransport!$J$2:$J$675,EIAwtransport!$E$2:$E$675,Program_data!$E220,EIAwtransport!$H$2:$H$675,Program_data!$F220,EIAwtransport!$I$2:$I$675,Program_data!O$2)</f>
        <v>219489723</v>
      </c>
      <c r="P220" s="5">
        <f>SUMIFS(EIAwtransport!$J$2:$J$675,EIAwtransport!$E$2:$E$675,Program_data!$E220,EIAwtransport!$H$2:$H$675,Program_data!$F220,EIAwtransport!$I$2:$I$675,Program_data!P$2)</f>
        <v>45049322</v>
      </c>
      <c r="Q220" s="5">
        <f>SUMIFS(EIAwtransport!$J$2:$J$675,EIAwtransport!$E$2:$E$675,Program_data!$E220,EIAwtransport!$H$2:$H$675,Program_data!$F220,EIAwtransport!$I$2:$I$675,Program_data!Q$2)</f>
        <v>36107</v>
      </c>
      <c r="R220" s="8">
        <f>SUMIFS(EIAwtransport!$J$2:$J$675,EIAwtransport!$E$2:$E$675,Program_data!$E220,EIAwtransport!$I$2:$I$675,Program_data!R$2)</f>
        <v>526109473</v>
      </c>
      <c r="S220" s="5">
        <f>SUMIFS(EIAwtransport!$J$2:$J$675,EIAwtransport!$E$2:$E$675,Program_data!$E220,EIAwtransport!$I$2:$I$675,Program_data!S$2)</f>
        <v>80336233</v>
      </c>
      <c r="T220" s="5">
        <f>SUMIFS(EIAwtransport!$J$2:$J$675,EIAwtransport!$E$2:$E$675,Program_data!$E220,EIAwtransport!$I$2:$I$675,Program_data!T$2)</f>
        <v>474354</v>
      </c>
      <c r="U220" s="24">
        <f t="shared" si="99"/>
        <v>1.4377074414230999E-5</v>
      </c>
      <c r="V220" s="24">
        <f t="shared" si="108"/>
        <v>1.4377074414230999E-5</v>
      </c>
      <c r="W220" s="24">
        <f t="shared" si="100"/>
        <v>7.7710062445501718E-5</v>
      </c>
      <c r="X220" s="25">
        <f t="shared" si="101"/>
        <v>4.912269220206089E-5</v>
      </c>
      <c r="Y220" s="8">
        <f t="shared" si="95"/>
        <v>6.7874033337897667E-3</v>
      </c>
      <c r="Z220" s="27">
        <f t="shared" si="96"/>
        <v>3.7912618539805345E-3</v>
      </c>
      <c r="AA220" s="27"/>
      <c r="AB220" s="27"/>
      <c r="AC220" s="56">
        <f t="shared" si="93"/>
        <v>6.002867638770223E-4</v>
      </c>
      <c r="AD220" s="20">
        <f t="shared" si="109"/>
        <v>55193.4</v>
      </c>
      <c r="AE220" s="20">
        <f t="shared" si="102"/>
        <v>14863.500000000002</v>
      </c>
      <c r="AF220" s="20">
        <f t="shared" si="103"/>
        <v>710247788.55000007</v>
      </c>
      <c r="AG220">
        <f t="shared" si="104"/>
        <v>1262152.584</v>
      </c>
      <c r="AH220">
        <f t="shared" si="105"/>
        <v>1262152.584</v>
      </c>
      <c r="AI220">
        <f t="shared" si="106"/>
        <v>8473865856.8400002</v>
      </c>
    </row>
    <row r="221" spans="2:35" x14ac:dyDescent="0.25">
      <c r="B221" s="4">
        <v>2023</v>
      </c>
      <c r="C221" s="4" t="s">
        <v>241</v>
      </c>
      <c r="D221" s="4" t="s">
        <v>242</v>
      </c>
      <c r="E221" s="4" t="str">
        <f t="shared" si="98"/>
        <v>Xcel-MN</v>
      </c>
      <c r="F221" s="4" t="s">
        <v>146</v>
      </c>
      <c r="G221" s="4"/>
      <c r="H221" s="4" t="s">
        <v>261</v>
      </c>
      <c r="I221" s="4" t="s">
        <v>167</v>
      </c>
      <c r="J221" s="4" t="s">
        <v>155</v>
      </c>
      <c r="K221" s="5">
        <v>0</v>
      </c>
      <c r="L221" s="5">
        <v>0</v>
      </c>
      <c r="M221" s="8">
        <v>1980</v>
      </c>
      <c r="N221" s="8">
        <v>0</v>
      </c>
      <c r="O221" s="8">
        <f>SUMIFS(EIAwtransport!$J$2:$J$675,EIAwtransport!$E$2:$E$675,Program_data!$E221,EIAwtransport!$H$2:$H$675,Program_data!$F221,EIAwtransport!$I$2:$I$675,Program_data!O$2)</f>
        <v>219489723</v>
      </c>
      <c r="P221" s="5">
        <f>SUMIFS(EIAwtransport!$J$2:$J$675,EIAwtransport!$E$2:$E$675,Program_data!$E221,EIAwtransport!$H$2:$H$675,Program_data!$F221,EIAwtransport!$I$2:$I$675,Program_data!P$2)</f>
        <v>45049322</v>
      </c>
      <c r="Q221" s="5">
        <f>SUMIFS(EIAwtransport!$J$2:$J$675,EIAwtransport!$E$2:$E$675,Program_data!$E221,EIAwtransport!$H$2:$H$675,Program_data!$F221,EIAwtransport!$I$2:$I$675,Program_data!Q$2)</f>
        <v>36107</v>
      </c>
      <c r="R221" s="8">
        <f>SUMIFS(EIAwtransport!$J$2:$J$675,EIAwtransport!$E$2:$E$675,Program_data!$E221,EIAwtransport!$I$2:$I$675,Program_data!R$2)</f>
        <v>526109473</v>
      </c>
      <c r="S221" s="5">
        <f>SUMIFS(EIAwtransport!$J$2:$J$675,EIAwtransport!$E$2:$E$675,Program_data!$E221,EIAwtransport!$I$2:$I$675,Program_data!S$2)</f>
        <v>80336233</v>
      </c>
      <c r="T221" s="5">
        <f>SUMIFS(EIAwtransport!$J$2:$J$675,EIAwtransport!$E$2:$E$675,Program_data!$E221,EIAwtransport!$I$2:$I$675,Program_data!T$2)</f>
        <v>474354</v>
      </c>
      <c r="U221" s="24">
        <f t="shared" si="99"/>
        <v>0</v>
      </c>
      <c r="V221" s="24">
        <f t="shared" si="108"/>
        <v>0</v>
      </c>
      <c r="W221" s="24">
        <f t="shared" si="100"/>
        <v>3.7634752872051021E-6</v>
      </c>
      <c r="X221" s="25">
        <f t="shared" si="101"/>
        <v>2.3789974209979589E-6</v>
      </c>
      <c r="Y221" s="8">
        <f t="shared" si="95"/>
        <v>3.2871193133997989E-4</v>
      </c>
      <c r="Z221" s="27">
        <f t="shared" si="96"/>
        <v>1.836096876744315E-4</v>
      </c>
      <c r="AA221" s="27"/>
      <c r="AB221" s="27"/>
      <c r="AC221" s="56">
        <f t="shared" ref="AC221:AC252" si="110">IFERROR(K221/SUMIFS($M$3:$M$1234,$E$3:$E$1234,E221,$B$3:$B$1234,B221),"")</f>
        <v>0</v>
      </c>
      <c r="AD221" s="20">
        <f t="shared" si="109"/>
        <v>2673</v>
      </c>
      <c r="AE221" s="20">
        <f t="shared" si="102"/>
        <v>0</v>
      </c>
      <c r="AF221" s="20">
        <f t="shared" si="103"/>
        <v>710247788.55000007</v>
      </c>
      <c r="AG221">
        <f t="shared" si="104"/>
        <v>0</v>
      </c>
      <c r="AH221">
        <f t="shared" si="105"/>
        <v>0</v>
      </c>
      <c r="AI221">
        <f t="shared" si="106"/>
        <v>8473865856.8400002</v>
      </c>
    </row>
    <row r="222" spans="2:35" x14ac:dyDescent="0.25">
      <c r="B222" s="37">
        <v>2023</v>
      </c>
      <c r="C222" s="37" t="s">
        <v>241</v>
      </c>
      <c r="D222" s="37" t="s">
        <v>242</v>
      </c>
      <c r="E222" s="37" t="str">
        <f t="shared" si="98"/>
        <v>Xcel-MN</v>
      </c>
      <c r="F222" s="37" t="s">
        <v>146</v>
      </c>
      <c r="G222" s="37"/>
      <c r="H222" s="37" t="s">
        <v>262</v>
      </c>
      <c r="I222" s="37" t="s">
        <v>167</v>
      </c>
      <c r="J222" s="4" t="s">
        <v>155</v>
      </c>
      <c r="K222" s="38">
        <v>0</v>
      </c>
      <c r="L222" s="38">
        <v>0</v>
      </c>
      <c r="M222" s="39">
        <v>34067</v>
      </c>
      <c r="N222" s="39"/>
      <c r="O222" s="8">
        <f>SUMIFS(EIAwtransport!$J$2:$J$675,EIAwtransport!$E$2:$E$675,Program_data!$E222,EIAwtransport!$H$2:$H$675,Program_data!$F222,EIAwtransport!$I$2:$I$675,Program_data!O$2)</f>
        <v>219489723</v>
      </c>
      <c r="P222" s="5">
        <f>SUMIFS(EIAwtransport!$J$2:$J$675,EIAwtransport!$E$2:$E$675,Program_data!$E222,EIAwtransport!$H$2:$H$675,Program_data!$F222,EIAwtransport!$I$2:$I$675,Program_data!P$2)</f>
        <v>45049322</v>
      </c>
      <c r="Q222" s="5">
        <f>SUMIFS(EIAwtransport!$J$2:$J$675,EIAwtransport!$E$2:$E$675,Program_data!$E222,EIAwtransport!$H$2:$H$675,Program_data!$F222,EIAwtransport!$I$2:$I$675,Program_data!Q$2)</f>
        <v>36107</v>
      </c>
      <c r="R222" s="8">
        <f>SUMIFS(EIAwtransport!$J$2:$J$675,EIAwtransport!$E$2:$E$675,Program_data!$E222,EIAwtransport!$I$2:$I$675,Program_data!R$2)</f>
        <v>526109473</v>
      </c>
      <c r="S222" s="5">
        <f>SUMIFS(EIAwtransport!$J$2:$J$675,EIAwtransport!$E$2:$E$675,Program_data!$E222,EIAwtransport!$I$2:$I$675,Program_data!S$2)</f>
        <v>80336233</v>
      </c>
      <c r="T222" s="5">
        <f>SUMIFS(EIAwtransport!$J$2:$J$675,EIAwtransport!$E$2:$E$675,Program_data!$E222,EIAwtransport!$I$2:$I$675,Program_data!T$2)</f>
        <v>474354</v>
      </c>
      <c r="U222" s="24">
        <f t="shared" si="99"/>
        <v>0</v>
      </c>
      <c r="V222" s="24">
        <f t="shared" si="108"/>
        <v>0</v>
      </c>
      <c r="W222" s="24">
        <f t="shared" si="100"/>
        <v>6.475268313596779E-5</v>
      </c>
      <c r="X222" s="25">
        <f t="shared" si="101"/>
        <v>4.0931972293503771E-5</v>
      </c>
      <c r="Y222" s="8">
        <f t="shared" si="95"/>
        <v>5.6556713964439871E-3</v>
      </c>
      <c r="Z222" s="27">
        <f t="shared" si="96"/>
        <v>3.1591066818206356E-3</v>
      </c>
      <c r="AA222" s="27"/>
      <c r="AB222" s="27"/>
      <c r="AC222" s="56">
        <f t="shared" si="110"/>
        <v>0</v>
      </c>
      <c r="AD222" s="20">
        <f t="shared" si="109"/>
        <v>45990.450000000004</v>
      </c>
      <c r="AE222" s="20">
        <f t="shared" si="102"/>
        <v>0</v>
      </c>
      <c r="AF222" s="20">
        <f t="shared" si="103"/>
        <v>710247788.55000007</v>
      </c>
      <c r="AG222">
        <f t="shared" si="104"/>
        <v>0</v>
      </c>
      <c r="AH222">
        <f t="shared" si="105"/>
        <v>0</v>
      </c>
      <c r="AI222">
        <f t="shared" si="106"/>
        <v>8473865856.8400002</v>
      </c>
    </row>
    <row r="223" spans="2:35" x14ac:dyDescent="0.25">
      <c r="B223" s="37">
        <v>2023</v>
      </c>
      <c r="C223" s="37" t="s">
        <v>241</v>
      </c>
      <c r="D223" s="37" t="s">
        <v>242</v>
      </c>
      <c r="E223" s="37" t="str">
        <f t="shared" si="98"/>
        <v>Xcel-MN</v>
      </c>
      <c r="F223" s="37" t="s">
        <v>146</v>
      </c>
      <c r="G223" s="37"/>
      <c r="H223" s="37" t="s">
        <v>263</v>
      </c>
      <c r="I223" s="37" t="s">
        <v>167</v>
      </c>
      <c r="J223" s="4" t="s">
        <v>155</v>
      </c>
      <c r="K223" s="38">
        <v>0</v>
      </c>
      <c r="L223" s="38">
        <v>0</v>
      </c>
      <c r="M223" s="39">
        <v>25000</v>
      </c>
      <c r="N223" s="39"/>
      <c r="O223" s="8">
        <f>SUMIFS(EIAwtransport!$J$2:$J$675,EIAwtransport!$E$2:$E$675,Program_data!$E223,EIAwtransport!$H$2:$H$675,Program_data!$F223,EIAwtransport!$I$2:$I$675,Program_data!O$2)</f>
        <v>219489723</v>
      </c>
      <c r="P223" s="5">
        <f>SUMIFS(EIAwtransport!$J$2:$J$675,EIAwtransport!$E$2:$E$675,Program_data!$E223,EIAwtransport!$H$2:$H$675,Program_data!$F223,EIAwtransport!$I$2:$I$675,Program_data!P$2)</f>
        <v>45049322</v>
      </c>
      <c r="Q223" s="5">
        <f>SUMIFS(EIAwtransport!$J$2:$J$675,EIAwtransport!$E$2:$E$675,Program_data!$E223,EIAwtransport!$H$2:$H$675,Program_data!$F223,EIAwtransport!$I$2:$I$675,Program_data!Q$2)</f>
        <v>36107</v>
      </c>
      <c r="R223" s="8">
        <f>SUMIFS(EIAwtransport!$J$2:$J$675,EIAwtransport!$E$2:$E$675,Program_data!$E223,EIAwtransport!$I$2:$I$675,Program_data!R$2)</f>
        <v>526109473</v>
      </c>
      <c r="S223" s="5">
        <f>SUMIFS(EIAwtransport!$J$2:$J$675,EIAwtransport!$E$2:$E$675,Program_data!$E223,EIAwtransport!$I$2:$I$675,Program_data!S$2)</f>
        <v>80336233</v>
      </c>
      <c r="T223" s="5">
        <f>SUMIFS(EIAwtransport!$J$2:$J$675,EIAwtransport!$E$2:$E$675,Program_data!$E223,EIAwtransport!$I$2:$I$675,Program_data!T$2)</f>
        <v>474354</v>
      </c>
      <c r="U223" s="24">
        <f t="shared" si="99"/>
        <v>0</v>
      </c>
      <c r="V223" s="24">
        <f t="shared" si="108"/>
        <v>0</v>
      </c>
      <c r="W223" s="24">
        <f t="shared" si="100"/>
        <v>4.7518627363700786E-5</v>
      </c>
      <c r="X223" s="25">
        <f t="shared" si="101"/>
        <v>3.0037846224721705E-5</v>
      </c>
      <c r="Y223" s="8">
        <f t="shared" si="95"/>
        <v>4.1504031734845943E-3</v>
      </c>
      <c r="Z223" s="27">
        <f t="shared" si="96"/>
        <v>2.3183041373034284E-3</v>
      </c>
      <c r="AA223" s="27"/>
      <c r="AB223" s="27"/>
      <c r="AC223" s="56">
        <f t="shared" si="110"/>
        <v>0</v>
      </c>
      <c r="AD223" s="20">
        <f t="shared" si="109"/>
        <v>33750</v>
      </c>
      <c r="AE223" s="20">
        <f t="shared" si="102"/>
        <v>0</v>
      </c>
      <c r="AF223" s="20">
        <f t="shared" si="103"/>
        <v>710247788.55000007</v>
      </c>
      <c r="AG223">
        <f t="shared" si="104"/>
        <v>0</v>
      </c>
      <c r="AH223">
        <f t="shared" si="105"/>
        <v>0</v>
      </c>
      <c r="AI223">
        <f t="shared" si="106"/>
        <v>8473865856.8400002</v>
      </c>
    </row>
    <row r="224" spans="2:35" x14ac:dyDescent="0.25">
      <c r="B224" s="4">
        <v>2023</v>
      </c>
      <c r="C224" s="4" t="s">
        <v>241</v>
      </c>
      <c r="D224" s="4" t="s">
        <v>242</v>
      </c>
      <c r="E224" s="4" t="str">
        <f t="shared" si="98"/>
        <v>Xcel-MN</v>
      </c>
      <c r="F224" s="4" t="s">
        <v>146</v>
      </c>
      <c r="G224" s="4"/>
      <c r="H224" s="4" t="s">
        <v>264</v>
      </c>
      <c r="I224" s="4" t="s">
        <v>167</v>
      </c>
      <c r="J224" s="4" t="s">
        <v>155</v>
      </c>
      <c r="K224" s="5">
        <v>0</v>
      </c>
      <c r="L224" s="5">
        <v>0</v>
      </c>
      <c r="M224" s="8">
        <v>0</v>
      </c>
      <c r="N224" s="8"/>
      <c r="O224" s="8">
        <f>SUMIFS(EIAwtransport!$J$2:$J$675,EIAwtransport!$E$2:$E$675,Program_data!$E224,EIAwtransport!$H$2:$H$675,Program_data!$F224,EIAwtransport!$I$2:$I$675,Program_data!O$2)</f>
        <v>219489723</v>
      </c>
      <c r="P224" s="5">
        <f>SUMIFS(EIAwtransport!$J$2:$J$675,EIAwtransport!$E$2:$E$675,Program_data!$E224,EIAwtransport!$H$2:$H$675,Program_data!$F224,EIAwtransport!$I$2:$I$675,Program_data!P$2)</f>
        <v>45049322</v>
      </c>
      <c r="Q224" s="5">
        <f>SUMIFS(EIAwtransport!$J$2:$J$675,EIAwtransport!$E$2:$E$675,Program_data!$E224,EIAwtransport!$H$2:$H$675,Program_data!$F224,EIAwtransport!$I$2:$I$675,Program_data!Q$2)</f>
        <v>36107</v>
      </c>
      <c r="R224" s="8">
        <f>SUMIFS(EIAwtransport!$J$2:$J$675,EIAwtransport!$E$2:$E$675,Program_data!$E224,EIAwtransport!$I$2:$I$675,Program_data!R$2)</f>
        <v>526109473</v>
      </c>
      <c r="S224" s="5">
        <f>SUMIFS(EIAwtransport!$J$2:$J$675,EIAwtransport!$E$2:$E$675,Program_data!$E224,EIAwtransport!$I$2:$I$675,Program_data!S$2)</f>
        <v>80336233</v>
      </c>
      <c r="T224" s="5">
        <f>SUMIFS(EIAwtransport!$J$2:$J$675,EIAwtransport!$E$2:$E$675,Program_data!$E224,EIAwtransport!$I$2:$I$675,Program_data!T$2)</f>
        <v>474354</v>
      </c>
      <c r="U224" s="24">
        <f t="shared" si="99"/>
        <v>0</v>
      </c>
      <c r="V224" s="24">
        <f t="shared" si="108"/>
        <v>0</v>
      </c>
      <c r="W224" s="24">
        <f t="shared" si="100"/>
        <v>0</v>
      </c>
      <c r="X224" s="25">
        <f t="shared" si="101"/>
        <v>0</v>
      </c>
      <c r="Y224" s="8">
        <f t="shared" si="95"/>
        <v>0</v>
      </c>
      <c r="Z224" s="27">
        <f t="shared" si="96"/>
        <v>0</v>
      </c>
      <c r="AA224" s="27"/>
      <c r="AB224" s="27"/>
      <c r="AC224" s="56">
        <f t="shared" si="110"/>
        <v>0</v>
      </c>
      <c r="AD224" s="20">
        <f t="shared" si="109"/>
        <v>0</v>
      </c>
      <c r="AE224" s="20">
        <f t="shared" si="102"/>
        <v>0</v>
      </c>
      <c r="AF224" s="20">
        <f t="shared" si="103"/>
        <v>710247788.55000007</v>
      </c>
      <c r="AG224">
        <f t="shared" si="104"/>
        <v>0</v>
      </c>
      <c r="AH224">
        <f t="shared" si="105"/>
        <v>0</v>
      </c>
      <c r="AI224">
        <f t="shared" si="106"/>
        <v>8473865856.8400002</v>
      </c>
    </row>
    <row r="225" spans="2:35" x14ac:dyDescent="0.25">
      <c r="B225" s="4">
        <v>2023</v>
      </c>
      <c r="C225" s="4" t="s">
        <v>241</v>
      </c>
      <c r="D225" s="4" t="s">
        <v>242</v>
      </c>
      <c r="E225" s="4" t="str">
        <f t="shared" si="98"/>
        <v>Xcel-MN</v>
      </c>
      <c r="F225" s="4" t="s">
        <v>135</v>
      </c>
      <c r="G225" s="4"/>
      <c r="H225" s="4" t="s">
        <v>265</v>
      </c>
      <c r="I225" s="11"/>
      <c r="J225" s="4" t="s">
        <v>142</v>
      </c>
      <c r="K225" s="5">
        <v>511618.24</v>
      </c>
      <c r="L225" s="5">
        <f t="shared" ref="L225:L240" si="111">K225</f>
        <v>511618.24</v>
      </c>
      <c r="M225" s="8">
        <v>1665465</v>
      </c>
      <c r="N225" s="8">
        <v>984954</v>
      </c>
      <c r="O225" s="8">
        <f>SUMIFS(EIAwtransport!$J$2:$J$675,EIAwtransport!$E$2:$E$675,Program_data!$E225,EIAwtransport!$H$2:$H$675,Program_data!$F225,EIAwtransport!$I$2:$I$675,Program_data!O$2)</f>
        <v>306619750</v>
      </c>
      <c r="P225" s="5">
        <f>SUMIFS(EIAwtransport!$J$2:$J$675,EIAwtransport!$E$2:$E$675,Program_data!$E225,EIAwtransport!$H$2:$H$675,Program_data!$F225,EIAwtransport!$I$2:$I$675,Program_data!P$2)</f>
        <v>35286911</v>
      </c>
      <c r="Q225" s="5">
        <f>SUMIFS(EIAwtransport!$J$2:$J$675,EIAwtransport!$E$2:$E$675,Program_data!$E225,EIAwtransport!$H$2:$H$675,Program_data!$F225,EIAwtransport!$I$2:$I$675,Program_data!Q$2)</f>
        <v>438247</v>
      </c>
      <c r="R225" s="8">
        <f>SUMIFS(EIAwtransport!$J$2:$J$675,EIAwtransport!$E$2:$E$675,Program_data!$E225,EIAwtransport!$I$2:$I$675,Program_data!R$2)</f>
        <v>526109473</v>
      </c>
      <c r="S225" s="5">
        <f>SUMIFS(EIAwtransport!$J$2:$J$675,EIAwtransport!$E$2:$E$675,Program_data!$E225,EIAwtransport!$I$2:$I$675,Program_data!S$2)</f>
        <v>80336233</v>
      </c>
      <c r="T225" s="5">
        <f>SUMIFS(EIAwtransport!$J$2:$J$675,EIAwtransport!$E$2:$E$675,Program_data!$E225,EIAwtransport!$I$2:$I$675,Program_data!T$2)</f>
        <v>474354</v>
      </c>
      <c r="U225" s="24">
        <f t="shared" si="99"/>
        <v>6.1471640075531052E-4</v>
      </c>
      <c r="V225" s="24">
        <f t="shared" si="108"/>
        <v>6.1471640075531052E-4</v>
      </c>
      <c r="W225" s="24">
        <f t="shared" si="100"/>
        <v>3.1656244288914373E-3</v>
      </c>
      <c r="X225" s="25">
        <f t="shared" si="101"/>
        <v>2.0010792625062453E-3</v>
      </c>
      <c r="Y225" s="8">
        <f t="shared" si="95"/>
        <v>0.3606123215472804</v>
      </c>
      <c r="Z225" s="27">
        <f t="shared" si="96"/>
        <v>0.15444217600136215</v>
      </c>
      <c r="AA225" s="27"/>
      <c r="AB225" s="27"/>
      <c r="AC225" s="56">
        <f t="shared" si="110"/>
        <v>2.5666287053941878E-2</v>
      </c>
      <c r="AD225" s="20">
        <f t="shared" si="109"/>
        <v>2248377.75</v>
      </c>
      <c r="AE225" s="20">
        <f t="shared" si="102"/>
        <v>1329687.9000000001</v>
      </c>
      <c r="AF225" s="20">
        <f t="shared" si="103"/>
        <v>710247788.55000007</v>
      </c>
      <c r="AG225">
        <f t="shared" si="104"/>
        <v>53965491.955200002</v>
      </c>
      <c r="AH225">
        <f t="shared" si="105"/>
        <v>53965491.955200002</v>
      </c>
      <c r="AI225">
        <f t="shared" si="106"/>
        <v>8473865856.8400002</v>
      </c>
    </row>
    <row r="226" spans="2:35" x14ac:dyDescent="0.25">
      <c r="B226" s="4">
        <v>2023</v>
      </c>
      <c r="C226" s="4" t="s">
        <v>241</v>
      </c>
      <c r="D226" s="4" t="s">
        <v>242</v>
      </c>
      <c r="E226" s="4" t="str">
        <f t="shared" si="98"/>
        <v>Xcel-MN</v>
      </c>
      <c r="F226" s="4" t="s">
        <v>135</v>
      </c>
      <c r="G226" s="4"/>
      <c r="H226" s="4" t="s">
        <v>266</v>
      </c>
      <c r="I226" s="11"/>
      <c r="J226" s="4" t="s">
        <v>142</v>
      </c>
      <c r="K226" s="5">
        <v>277451.15999999997</v>
      </c>
      <c r="L226" s="5">
        <f t="shared" si="111"/>
        <v>277451.15999999997</v>
      </c>
      <c r="M226" s="8">
        <v>275777</v>
      </c>
      <c r="N226" s="8">
        <v>90086</v>
      </c>
      <c r="O226" s="8">
        <f>SUMIFS(EIAwtransport!$J$2:$J$675,EIAwtransport!$E$2:$E$675,Program_data!$E226,EIAwtransport!$H$2:$H$675,Program_data!$F226,EIAwtransport!$I$2:$I$675,Program_data!O$2)</f>
        <v>306619750</v>
      </c>
      <c r="P226" s="5">
        <f>SUMIFS(EIAwtransport!$J$2:$J$675,EIAwtransport!$E$2:$E$675,Program_data!$E226,EIAwtransport!$H$2:$H$675,Program_data!$F226,EIAwtransport!$I$2:$I$675,Program_data!P$2)</f>
        <v>35286911</v>
      </c>
      <c r="Q226" s="5">
        <f>SUMIFS(EIAwtransport!$J$2:$J$675,EIAwtransport!$E$2:$E$675,Program_data!$E226,EIAwtransport!$H$2:$H$675,Program_data!$F226,EIAwtransport!$I$2:$I$675,Program_data!Q$2)</f>
        <v>438247</v>
      </c>
      <c r="R226" s="8">
        <f>SUMIFS(EIAwtransport!$J$2:$J$675,EIAwtransport!$E$2:$E$675,Program_data!$E226,EIAwtransport!$I$2:$I$675,Program_data!R$2)</f>
        <v>526109473</v>
      </c>
      <c r="S226" s="5">
        <f>SUMIFS(EIAwtransport!$J$2:$J$675,EIAwtransport!$E$2:$E$675,Program_data!$E226,EIAwtransport!$I$2:$I$675,Program_data!S$2)</f>
        <v>80336233</v>
      </c>
      <c r="T226" s="5">
        <f>SUMIFS(EIAwtransport!$J$2:$J$675,EIAwtransport!$E$2:$E$675,Program_data!$E226,EIAwtransport!$I$2:$I$675,Program_data!T$2)</f>
        <v>474354</v>
      </c>
      <c r="U226" s="24">
        <f t="shared" si="99"/>
        <v>3.3336141115802631E-4</v>
      </c>
      <c r="V226" s="24">
        <f t="shared" si="108"/>
        <v>3.3336141115802631E-4</v>
      </c>
      <c r="W226" s="24">
        <f t="shared" si="100"/>
        <v>5.2418177993917247E-4</v>
      </c>
      <c r="X226" s="25">
        <f t="shared" si="101"/>
        <v>3.3134988473260309E-4</v>
      </c>
      <c r="Y226" s="8">
        <f t="shared" si="95"/>
        <v>5.9712203017982579E-2</v>
      </c>
      <c r="Z226" s="27">
        <f t="shared" si="96"/>
        <v>2.55733984029251E-2</v>
      </c>
      <c r="AA226" s="27"/>
      <c r="AB226" s="27"/>
      <c r="AC226" s="56">
        <f t="shared" si="110"/>
        <v>1.3918856989948514E-2</v>
      </c>
      <c r="AD226" s="20">
        <f t="shared" si="109"/>
        <v>372298.95</v>
      </c>
      <c r="AE226" s="20">
        <f t="shared" si="102"/>
        <v>121616.1</v>
      </c>
      <c r="AF226" s="20">
        <f t="shared" si="103"/>
        <v>710247788.55000007</v>
      </c>
      <c r="AG226">
        <f t="shared" si="104"/>
        <v>29265548.356799997</v>
      </c>
      <c r="AH226">
        <f t="shared" si="105"/>
        <v>29265548.356799997</v>
      </c>
      <c r="AI226">
        <f t="shared" si="106"/>
        <v>8473865856.8400002</v>
      </c>
    </row>
    <row r="227" spans="2:35" x14ac:dyDescent="0.25">
      <c r="B227" s="4">
        <v>2023</v>
      </c>
      <c r="C227" s="4" t="s">
        <v>241</v>
      </c>
      <c r="D227" s="4" t="s">
        <v>242</v>
      </c>
      <c r="E227" s="4" t="str">
        <f t="shared" si="98"/>
        <v>Xcel-MN</v>
      </c>
      <c r="F227" s="4" t="s">
        <v>135</v>
      </c>
      <c r="G227" s="4"/>
      <c r="H227" s="4" t="s">
        <v>267</v>
      </c>
      <c r="I227" s="11"/>
      <c r="J227" s="4" t="s">
        <v>142</v>
      </c>
      <c r="K227" s="5">
        <v>473224.07999999996</v>
      </c>
      <c r="L227" s="5">
        <f t="shared" si="111"/>
        <v>473224.07999999996</v>
      </c>
      <c r="M227" s="8">
        <v>170920</v>
      </c>
      <c r="N227" s="8">
        <v>0</v>
      </c>
      <c r="O227" s="8">
        <f>SUMIFS(EIAwtransport!$J$2:$J$675,EIAwtransport!$E$2:$E$675,Program_data!$E227,EIAwtransport!$H$2:$H$675,Program_data!$F227,EIAwtransport!$I$2:$I$675,Program_data!O$2)</f>
        <v>306619750</v>
      </c>
      <c r="P227" s="5">
        <f>SUMIFS(EIAwtransport!$J$2:$J$675,EIAwtransport!$E$2:$E$675,Program_data!$E227,EIAwtransport!$H$2:$H$675,Program_data!$F227,EIAwtransport!$I$2:$I$675,Program_data!P$2)</f>
        <v>35286911</v>
      </c>
      <c r="Q227" s="5">
        <f>SUMIFS(EIAwtransport!$J$2:$J$675,EIAwtransport!$E$2:$E$675,Program_data!$E227,EIAwtransport!$H$2:$H$675,Program_data!$F227,EIAwtransport!$I$2:$I$675,Program_data!Q$2)</f>
        <v>438247</v>
      </c>
      <c r="R227" s="8">
        <f>SUMIFS(EIAwtransport!$J$2:$J$675,EIAwtransport!$E$2:$E$675,Program_data!$E227,EIAwtransport!$I$2:$I$675,Program_data!R$2)</f>
        <v>526109473</v>
      </c>
      <c r="S227" s="5">
        <f>SUMIFS(EIAwtransport!$J$2:$J$675,EIAwtransport!$E$2:$E$675,Program_data!$E227,EIAwtransport!$I$2:$I$675,Program_data!S$2)</f>
        <v>80336233</v>
      </c>
      <c r="T227" s="5">
        <f>SUMIFS(EIAwtransport!$J$2:$J$675,EIAwtransport!$E$2:$E$675,Program_data!$E227,EIAwtransport!$I$2:$I$675,Program_data!T$2)</f>
        <v>474354</v>
      </c>
      <c r="U227" s="24">
        <f t="shared" si="99"/>
        <v>5.6858528579501605E-4</v>
      </c>
      <c r="V227" s="24">
        <f t="shared" si="108"/>
        <v>5.6858528579501605E-4</v>
      </c>
      <c r="W227" s="24">
        <f t="shared" si="100"/>
        <v>3.2487535156014956E-4</v>
      </c>
      <c r="X227" s="25">
        <f t="shared" si="101"/>
        <v>2.0536274706917736E-4</v>
      </c>
      <c r="Y227" s="8">
        <f t="shared" si="95"/>
        <v>3.7008197709865513E-2</v>
      </c>
      <c r="Z227" s="27">
        <f t="shared" si="96"/>
        <v>1.5849781725916078E-2</v>
      </c>
      <c r="AA227" s="27"/>
      <c r="AB227" s="27"/>
      <c r="AC227" s="56">
        <f t="shared" si="110"/>
        <v>2.3740172121536472E-2</v>
      </c>
      <c r="AD227" s="20">
        <f t="shared" si="109"/>
        <v>230742.00000000003</v>
      </c>
      <c r="AE227" s="20">
        <f t="shared" si="102"/>
        <v>0</v>
      </c>
      <c r="AF227" s="20">
        <f t="shared" si="103"/>
        <v>710247788.55000007</v>
      </c>
      <c r="AG227">
        <f t="shared" si="104"/>
        <v>49915675.958399996</v>
      </c>
      <c r="AH227">
        <f t="shared" si="105"/>
        <v>49915675.958399996</v>
      </c>
      <c r="AI227">
        <f t="shared" si="106"/>
        <v>8473865856.8400002</v>
      </c>
    </row>
    <row r="228" spans="2:35" x14ac:dyDescent="0.25">
      <c r="B228" s="4">
        <v>2023</v>
      </c>
      <c r="C228" s="4" t="s">
        <v>241</v>
      </c>
      <c r="D228" s="4" t="s">
        <v>242</v>
      </c>
      <c r="E228" s="4" t="str">
        <f t="shared" si="98"/>
        <v>Xcel-MN</v>
      </c>
      <c r="F228" s="4" t="s">
        <v>135</v>
      </c>
      <c r="G228" s="4"/>
      <c r="H228" s="4" t="s">
        <v>268</v>
      </c>
      <c r="I228" s="11"/>
      <c r="J228" s="4" t="s">
        <v>142</v>
      </c>
      <c r="K228" s="5">
        <v>250546.24</v>
      </c>
      <c r="L228" s="5">
        <f t="shared" si="111"/>
        <v>250546.24</v>
      </c>
      <c r="M228" s="8">
        <v>845700</v>
      </c>
      <c r="N228" s="8">
        <v>78535</v>
      </c>
      <c r="O228" s="8">
        <f>SUMIFS(EIAwtransport!$J$2:$J$675,EIAwtransport!$E$2:$E$675,Program_data!$E228,EIAwtransport!$H$2:$H$675,Program_data!$F228,EIAwtransport!$I$2:$I$675,Program_data!O$2)</f>
        <v>306619750</v>
      </c>
      <c r="P228" s="5">
        <f>SUMIFS(EIAwtransport!$J$2:$J$675,EIAwtransport!$E$2:$E$675,Program_data!$E228,EIAwtransport!$H$2:$H$675,Program_data!$F228,EIAwtransport!$I$2:$I$675,Program_data!P$2)</f>
        <v>35286911</v>
      </c>
      <c r="Q228" s="5">
        <f>SUMIFS(EIAwtransport!$J$2:$J$675,EIAwtransport!$E$2:$E$675,Program_data!$E228,EIAwtransport!$H$2:$H$675,Program_data!$F228,EIAwtransport!$I$2:$I$675,Program_data!Q$2)</f>
        <v>438247</v>
      </c>
      <c r="R228" s="8">
        <f>SUMIFS(EIAwtransport!$J$2:$J$675,EIAwtransport!$E$2:$E$675,Program_data!$E228,EIAwtransport!$I$2:$I$675,Program_data!R$2)</f>
        <v>526109473</v>
      </c>
      <c r="S228" s="5">
        <f>SUMIFS(EIAwtransport!$J$2:$J$675,EIAwtransport!$E$2:$E$675,Program_data!$E228,EIAwtransport!$I$2:$I$675,Program_data!S$2)</f>
        <v>80336233</v>
      </c>
      <c r="T228" s="5">
        <f>SUMIFS(EIAwtransport!$J$2:$J$675,EIAwtransport!$E$2:$E$675,Program_data!$E228,EIAwtransport!$I$2:$I$675,Program_data!T$2)</f>
        <v>474354</v>
      </c>
      <c r="U228" s="24">
        <f t="shared" si="99"/>
        <v>3.0103477717208872E-4</v>
      </c>
      <c r="V228" s="24">
        <f t="shared" si="108"/>
        <v>3.0103477717208872E-4</v>
      </c>
      <c r="W228" s="24">
        <f t="shared" si="100"/>
        <v>1.6074601264592701E-3</v>
      </c>
      <c r="X228" s="25">
        <f t="shared" si="101"/>
        <v>1.0161202620898859E-3</v>
      </c>
      <c r="Y228" s="8">
        <f t="shared" si="95"/>
        <v>0.18311392934257703</v>
      </c>
      <c r="Z228" s="27">
        <f t="shared" si="96"/>
        <v>7.8423592356700364E-2</v>
      </c>
      <c r="AA228" s="27"/>
      <c r="AB228" s="27"/>
      <c r="AC228" s="56">
        <f t="shared" si="110"/>
        <v>1.2569121296625027E-2</v>
      </c>
      <c r="AD228" s="20">
        <f t="shared" si="109"/>
        <v>1141695</v>
      </c>
      <c r="AE228" s="20">
        <f t="shared" si="102"/>
        <v>106022.25</v>
      </c>
      <c r="AF228" s="20">
        <f t="shared" si="103"/>
        <v>710247788.55000007</v>
      </c>
      <c r="AG228">
        <f t="shared" si="104"/>
        <v>26427617.395199999</v>
      </c>
      <c r="AH228">
        <f t="shared" si="105"/>
        <v>26427617.395199999</v>
      </c>
      <c r="AI228">
        <f t="shared" si="106"/>
        <v>8473865856.8400002</v>
      </c>
    </row>
    <row r="229" spans="2:35" x14ac:dyDescent="0.25">
      <c r="B229" s="4">
        <v>2023</v>
      </c>
      <c r="C229" s="4" t="s">
        <v>241</v>
      </c>
      <c r="D229" s="4" t="s">
        <v>242</v>
      </c>
      <c r="E229" s="4" t="str">
        <f t="shared" si="98"/>
        <v>Xcel-MN</v>
      </c>
      <c r="F229" s="4" t="s">
        <v>135</v>
      </c>
      <c r="G229" s="4"/>
      <c r="H229" s="4" t="s">
        <v>257</v>
      </c>
      <c r="I229" s="4" t="s">
        <v>167</v>
      </c>
      <c r="J229" s="4" t="s">
        <v>155</v>
      </c>
      <c r="K229" s="5">
        <v>0</v>
      </c>
      <c r="L229" s="5">
        <f t="shared" si="111"/>
        <v>0</v>
      </c>
      <c r="M229" s="8">
        <v>0</v>
      </c>
      <c r="N229" s="8">
        <v>0</v>
      </c>
      <c r="O229" s="8">
        <f>SUMIFS(EIAwtransport!$J$2:$J$675,EIAwtransport!$E$2:$E$675,Program_data!$E229,EIAwtransport!$H$2:$H$675,Program_data!$F229,EIAwtransport!$I$2:$I$675,Program_data!O$2)</f>
        <v>306619750</v>
      </c>
      <c r="P229" s="5">
        <f>SUMIFS(EIAwtransport!$J$2:$J$675,EIAwtransport!$E$2:$E$675,Program_data!$E229,EIAwtransport!$H$2:$H$675,Program_data!$F229,EIAwtransport!$I$2:$I$675,Program_data!P$2)</f>
        <v>35286911</v>
      </c>
      <c r="Q229" s="5">
        <f>SUMIFS(EIAwtransport!$J$2:$J$675,EIAwtransport!$E$2:$E$675,Program_data!$E229,EIAwtransport!$H$2:$H$675,Program_data!$F229,EIAwtransport!$I$2:$I$675,Program_data!Q$2)</f>
        <v>438247</v>
      </c>
      <c r="R229" s="8">
        <f>SUMIFS(EIAwtransport!$J$2:$J$675,EIAwtransport!$E$2:$E$675,Program_data!$E229,EIAwtransport!$I$2:$I$675,Program_data!R$2)</f>
        <v>526109473</v>
      </c>
      <c r="S229" s="5">
        <f>SUMIFS(EIAwtransport!$J$2:$J$675,EIAwtransport!$E$2:$E$675,Program_data!$E229,EIAwtransport!$I$2:$I$675,Program_data!S$2)</f>
        <v>80336233</v>
      </c>
      <c r="T229" s="5">
        <f>SUMIFS(EIAwtransport!$J$2:$J$675,EIAwtransport!$E$2:$E$675,Program_data!$E229,EIAwtransport!$I$2:$I$675,Program_data!T$2)</f>
        <v>474354</v>
      </c>
      <c r="U229" s="24">
        <f t="shared" si="99"/>
        <v>0</v>
      </c>
      <c r="V229" s="24">
        <f t="shared" si="108"/>
        <v>0</v>
      </c>
      <c r="W229" s="24">
        <f t="shared" si="100"/>
        <v>0</v>
      </c>
      <c r="X229" s="25">
        <f t="shared" si="101"/>
        <v>0</v>
      </c>
      <c r="Y229" s="8">
        <f t="shared" si="95"/>
        <v>0</v>
      </c>
      <c r="Z229" s="27">
        <f t="shared" si="96"/>
        <v>0</v>
      </c>
      <c r="AA229" s="27"/>
      <c r="AB229" s="27"/>
      <c r="AC229" s="56">
        <f t="shared" si="110"/>
        <v>0</v>
      </c>
      <c r="AD229" s="20">
        <f t="shared" si="109"/>
        <v>0</v>
      </c>
      <c r="AE229" s="20">
        <f t="shared" si="102"/>
        <v>0</v>
      </c>
      <c r="AF229" s="20">
        <f t="shared" si="103"/>
        <v>710247788.55000007</v>
      </c>
      <c r="AG229">
        <f t="shared" si="104"/>
        <v>0</v>
      </c>
      <c r="AH229">
        <f t="shared" si="105"/>
        <v>0</v>
      </c>
      <c r="AI229">
        <f t="shared" si="106"/>
        <v>8473865856.8400002</v>
      </c>
    </row>
    <row r="230" spans="2:35" x14ac:dyDescent="0.25">
      <c r="B230" s="4">
        <v>2023</v>
      </c>
      <c r="C230" s="4" t="s">
        <v>241</v>
      </c>
      <c r="D230" s="4" t="s">
        <v>242</v>
      </c>
      <c r="E230" s="4" t="str">
        <f t="shared" si="98"/>
        <v>Xcel-MN</v>
      </c>
      <c r="F230" s="4" t="s">
        <v>135</v>
      </c>
      <c r="G230" s="4"/>
      <c r="H230" s="4" t="s">
        <v>269</v>
      </c>
      <c r="I230" s="11"/>
      <c r="J230" s="4" t="s">
        <v>142</v>
      </c>
      <c r="K230" s="5">
        <v>203978.03999999998</v>
      </c>
      <c r="L230" s="5">
        <f t="shared" si="111"/>
        <v>203978.03999999998</v>
      </c>
      <c r="M230" s="8">
        <v>249954</v>
      </c>
      <c r="N230" s="8">
        <v>204486</v>
      </c>
      <c r="O230" s="8">
        <f>SUMIFS(EIAwtransport!$J$2:$J$675,EIAwtransport!$E$2:$E$675,Program_data!$E230,EIAwtransport!$H$2:$H$675,Program_data!$F230,EIAwtransport!$I$2:$I$675,Program_data!O$2)</f>
        <v>306619750</v>
      </c>
      <c r="P230" s="5">
        <f>SUMIFS(EIAwtransport!$J$2:$J$675,EIAwtransport!$E$2:$E$675,Program_data!$E230,EIAwtransport!$H$2:$H$675,Program_data!$F230,EIAwtransport!$I$2:$I$675,Program_data!P$2)</f>
        <v>35286911</v>
      </c>
      <c r="Q230" s="5">
        <f>SUMIFS(EIAwtransport!$J$2:$J$675,EIAwtransport!$E$2:$E$675,Program_data!$E230,EIAwtransport!$H$2:$H$675,Program_data!$F230,EIAwtransport!$I$2:$I$675,Program_data!Q$2)</f>
        <v>438247</v>
      </c>
      <c r="R230" s="8">
        <f>SUMIFS(EIAwtransport!$J$2:$J$675,EIAwtransport!$E$2:$E$675,Program_data!$E230,EIAwtransport!$I$2:$I$675,Program_data!R$2)</f>
        <v>526109473</v>
      </c>
      <c r="S230" s="5">
        <f>SUMIFS(EIAwtransport!$J$2:$J$675,EIAwtransport!$E$2:$E$675,Program_data!$E230,EIAwtransport!$I$2:$I$675,Program_data!S$2)</f>
        <v>80336233</v>
      </c>
      <c r="T230" s="5">
        <f>SUMIFS(EIAwtransport!$J$2:$J$675,EIAwtransport!$E$2:$E$675,Program_data!$E230,EIAwtransport!$I$2:$I$675,Program_data!T$2)</f>
        <v>474354</v>
      </c>
      <c r="U230" s="24">
        <f t="shared" si="99"/>
        <v>2.4508243994960532E-4</v>
      </c>
      <c r="V230" s="24">
        <f t="shared" si="108"/>
        <v>2.4508243994960532E-4</v>
      </c>
      <c r="W230" s="24">
        <f t="shared" si="100"/>
        <v>4.7509883936265867E-4</v>
      </c>
      <c r="X230" s="25">
        <f t="shared" si="101"/>
        <v>3.0032319261016357E-4</v>
      </c>
      <c r="Y230" s="8">
        <f t="shared" si="95"/>
        <v>5.4120916512823102E-2</v>
      </c>
      <c r="Z230" s="27">
        <f t="shared" si="96"/>
        <v>2.3178775693421642E-2</v>
      </c>
      <c r="AA230" s="27"/>
      <c r="AB230" s="27"/>
      <c r="AC230" s="56">
        <f t="shared" si="110"/>
        <v>1.0232940341103629E-2</v>
      </c>
      <c r="AD230" s="20">
        <f t="shared" si="109"/>
        <v>337437.9</v>
      </c>
      <c r="AE230" s="20">
        <f t="shared" si="102"/>
        <v>276056.10000000003</v>
      </c>
      <c r="AF230" s="20">
        <f t="shared" si="103"/>
        <v>710247788.55000007</v>
      </c>
      <c r="AG230">
        <f t="shared" si="104"/>
        <v>21515603.659199998</v>
      </c>
      <c r="AH230">
        <f t="shared" si="105"/>
        <v>21515603.659199998</v>
      </c>
      <c r="AI230">
        <f t="shared" si="106"/>
        <v>8473865856.8400002</v>
      </c>
    </row>
    <row r="231" spans="2:35" x14ac:dyDescent="0.25">
      <c r="B231" s="4">
        <v>2023</v>
      </c>
      <c r="C231" s="4" t="s">
        <v>241</v>
      </c>
      <c r="D231" s="4" t="s">
        <v>242</v>
      </c>
      <c r="E231" s="4" t="str">
        <f t="shared" si="98"/>
        <v>Xcel-MN</v>
      </c>
      <c r="F231" s="4" t="s">
        <v>135</v>
      </c>
      <c r="G231" s="4"/>
      <c r="H231" s="4" t="s">
        <v>270</v>
      </c>
      <c r="I231" s="4" t="s">
        <v>167</v>
      </c>
      <c r="J231" s="4" t="s">
        <v>155</v>
      </c>
      <c r="K231" s="5">
        <v>0</v>
      </c>
      <c r="L231" s="5">
        <f t="shared" si="111"/>
        <v>0</v>
      </c>
      <c r="M231" s="8">
        <v>0</v>
      </c>
      <c r="N231" s="8">
        <v>0</v>
      </c>
      <c r="O231" s="8">
        <f>SUMIFS(EIAwtransport!$J$2:$J$675,EIAwtransport!$E$2:$E$675,Program_data!$E231,EIAwtransport!$H$2:$H$675,Program_data!$F231,EIAwtransport!$I$2:$I$675,Program_data!O$2)</f>
        <v>306619750</v>
      </c>
      <c r="P231" s="5">
        <f>SUMIFS(EIAwtransport!$J$2:$J$675,EIAwtransport!$E$2:$E$675,Program_data!$E231,EIAwtransport!$H$2:$H$675,Program_data!$F231,EIAwtransport!$I$2:$I$675,Program_data!P$2)</f>
        <v>35286911</v>
      </c>
      <c r="Q231" s="5">
        <f>SUMIFS(EIAwtransport!$J$2:$J$675,EIAwtransport!$E$2:$E$675,Program_data!$E231,EIAwtransport!$H$2:$H$675,Program_data!$F231,EIAwtransport!$I$2:$I$675,Program_data!Q$2)</f>
        <v>438247</v>
      </c>
      <c r="R231" s="8">
        <f>SUMIFS(EIAwtransport!$J$2:$J$675,EIAwtransport!$E$2:$E$675,Program_data!$E231,EIAwtransport!$I$2:$I$675,Program_data!R$2)</f>
        <v>526109473</v>
      </c>
      <c r="S231" s="5">
        <f>SUMIFS(EIAwtransport!$J$2:$J$675,EIAwtransport!$E$2:$E$675,Program_data!$E231,EIAwtransport!$I$2:$I$675,Program_data!S$2)</f>
        <v>80336233</v>
      </c>
      <c r="T231" s="5">
        <f>SUMIFS(EIAwtransport!$J$2:$J$675,EIAwtransport!$E$2:$E$675,Program_data!$E231,EIAwtransport!$I$2:$I$675,Program_data!T$2)</f>
        <v>474354</v>
      </c>
      <c r="U231" s="24">
        <f t="shared" si="99"/>
        <v>0</v>
      </c>
      <c r="V231" s="24">
        <f t="shared" si="108"/>
        <v>0</v>
      </c>
      <c r="W231" s="24">
        <f t="shared" si="100"/>
        <v>0</v>
      </c>
      <c r="X231" s="25">
        <f t="shared" si="101"/>
        <v>0</v>
      </c>
      <c r="Y231" s="8">
        <f t="shared" si="95"/>
        <v>0</v>
      </c>
      <c r="Z231" s="27">
        <f t="shared" si="96"/>
        <v>0</v>
      </c>
      <c r="AA231" s="27"/>
      <c r="AB231" s="27"/>
      <c r="AC231" s="56">
        <f t="shared" si="110"/>
        <v>0</v>
      </c>
      <c r="AD231" s="20">
        <f t="shared" si="109"/>
        <v>0</v>
      </c>
      <c r="AE231" s="20">
        <f t="shared" si="102"/>
        <v>0</v>
      </c>
      <c r="AF231" s="20">
        <f t="shared" si="103"/>
        <v>710247788.55000007</v>
      </c>
      <c r="AG231">
        <f t="shared" si="104"/>
        <v>0</v>
      </c>
      <c r="AH231">
        <f t="shared" si="105"/>
        <v>0</v>
      </c>
      <c r="AI231">
        <f t="shared" si="106"/>
        <v>8473865856.8400002</v>
      </c>
    </row>
    <row r="232" spans="2:35" x14ac:dyDescent="0.25">
      <c r="B232" s="37">
        <v>2023</v>
      </c>
      <c r="C232" s="37" t="s">
        <v>241</v>
      </c>
      <c r="D232" s="37" t="s">
        <v>242</v>
      </c>
      <c r="E232" s="37" t="str">
        <f t="shared" si="98"/>
        <v>Xcel-MN</v>
      </c>
      <c r="F232" s="4" t="s">
        <v>135</v>
      </c>
      <c r="G232" s="37"/>
      <c r="H232" s="37" t="s">
        <v>271</v>
      </c>
      <c r="I232" s="33"/>
      <c r="J232" s="4" t="s">
        <v>142</v>
      </c>
      <c r="K232" s="38">
        <v>310789.63999999996</v>
      </c>
      <c r="L232" s="5">
        <f t="shared" si="111"/>
        <v>310789.63999999996</v>
      </c>
      <c r="M232" s="39">
        <v>317978</v>
      </c>
      <c r="N232" s="39"/>
      <c r="O232" s="8">
        <f>SUMIFS(EIAwtransport!$J$2:$J$675,EIAwtransport!$E$2:$E$675,Program_data!$E232,EIAwtransport!$H$2:$H$675,Program_data!$F232,EIAwtransport!$I$2:$I$675,Program_data!O$2)</f>
        <v>306619750</v>
      </c>
      <c r="P232" s="5">
        <f>SUMIFS(EIAwtransport!$J$2:$J$675,EIAwtransport!$E$2:$E$675,Program_data!$E232,EIAwtransport!$H$2:$H$675,Program_data!$F232,EIAwtransport!$I$2:$I$675,Program_data!P$2)</f>
        <v>35286911</v>
      </c>
      <c r="Q232" s="5">
        <f>SUMIFS(EIAwtransport!$J$2:$J$675,EIAwtransport!$E$2:$E$675,Program_data!$E232,EIAwtransport!$H$2:$H$675,Program_data!$F232,EIAwtransport!$I$2:$I$675,Program_data!Q$2)</f>
        <v>438247</v>
      </c>
      <c r="R232" s="8">
        <f>SUMIFS(EIAwtransport!$J$2:$J$675,EIAwtransport!$E$2:$E$675,Program_data!$E232,EIAwtransport!$I$2:$I$675,Program_data!R$2)</f>
        <v>526109473</v>
      </c>
      <c r="S232" s="5">
        <f>SUMIFS(EIAwtransport!$J$2:$J$675,EIAwtransport!$E$2:$E$675,Program_data!$E232,EIAwtransport!$I$2:$I$675,Program_data!S$2)</f>
        <v>80336233</v>
      </c>
      <c r="T232" s="5">
        <f>SUMIFS(EIAwtransport!$J$2:$J$675,EIAwtransport!$E$2:$E$675,Program_data!$E232,EIAwtransport!$I$2:$I$675,Program_data!T$2)</f>
        <v>474354</v>
      </c>
      <c r="U232" s="24">
        <f t="shared" si="99"/>
        <v>3.7341805658226463E-4</v>
      </c>
      <c r="V232" s="24">
        <f t="shared" si="108"/>
        <v>3.7341805658226463E-4</v>
      </c>
      <c r="W232" s="24">
        <f t="shared" si="100"/>
        <v>6.0439512367419391E-4</v>
      </c>
      <c r="X232" s="25">
        <f t="shared" si="101"/>
        <v>3.8205497067378234E-4</v>
      </c>
      <c r="Y232" s="8">
        <f t="shared" si="95"/>
        <v>6.8849711510575812E-2</v>
      </c>
      <c r="Z232" s="27">
        <f t="shared" si="96"/>
        <v>2.9486788518858779E-2</v>
      </c>
      <c r="AA232" s="27"/>
      <c r="AB232" s="27"/>
      <c r="AC232" s="56">
        <f t="shared" si="110"/>
        <v>1.559134426800588E-2</v>
      </c>
      <c r="AD232" s="20">
        <f t="shared" si="109"/>
        <v>429270.30000000005</v>
      </c>
      <c r="AE232" s="20">
        <f t="shared" si="102"/>
        <v>0</v>
      </c>
      <c r="AF232" s="20">
        <f t="shared" si="103"/>
        <v>710247788.55000007</v>
      </c>
      <c r="AG232">
        <f t="shared" si="104"/>
        <v>32782091.227199998</v>
      </c>
      <c r="AH232">
        <f t="shared" si="105"/>
        <v>32782091.227199998</v>
      </c>
      <c r="AI232">
        <f t="shared" si="106"/>
        <v>8473865856.8400002</v>
      </c>
    </row>
    <row r="233" spans="2:35" x14ac:dyDescent="0.25">
      <c r="B233" s="37">
        <v>2023</v>
      </c>
      <c r="C233" s="37" t="s">
        <v>241</v>
      </c>
      <c r="D233" s="37" t="s">
        <v>242</v>
      </c>
      <c r="E233" s="37" t="str">
        <f t="shared" si="98"/>
        <v>Xcel-MN</v>
      </c>
      <c r="F233" s="4" t="s">
        <v>135</v>
      </c>
      <c r="G233" s="37"/>
      <c r="H233" s="37" t="s">
        <v>202</v>
      </c>
      <c r="I233" s="33"/>
      <c r="J233" s="4" t="s">
        <v>142</v>
      </c>
      <c r="K233" s="38">
        <v>1441987.68</v>
      </c>
      <c r="L233" s="5">
        <f t="shared" si="111"/>
        <v>1441987.68</v>
      </c>
      <c r="M233" s="39">
        <v>3213516</v>
      </c>
      <c r="N233" s="39"/>
      <c r="O233" s="8">
        <f>SUMIFS(EIAwtransport!$J$2:$J$675,EIAwtransport!$E$2:$E$675,Program_data!$E233,EIAwtransport!$H$2:$H$675,Program_data!$F233,EIAwtransport!$I$2:$I$675,Program_data!O$2)</f>
        <v>306619750</v>
      </c>
      <c r="P233" s="5">
        <f>SUMIFS(EIAwtransport!$J$2:$J$675,EIAwtransport!$E$2:$E$675,Program_data!$E233,EIAwtransport!$H$2:$H$675,Program_data!$F233,EIAwtransport!$I$2:$I$675,Program_data!P$2)</f>
        <v>35286911</v>
      </c>
      <c r="Q233" s="5">
        <f>SUMIFS(EIAwtransport!$J$2:$J$675,EIAwtransport!$E$2:$E$675,Program_data!$E233,EIAwtransport!$H$2:$H$675,Program_data!$F233,EIAwtransport!$I$2:$I$675,Program_data!Q$2)</f>
        <v>438247</v>
      </c>
      <c r="R233" s="8">
        <f>SUMIFS(EIAwtransport!$J$2:$J$675,EIAwtransport!$E$2:$E$675,Program_data!$E233,EIAwtransport!$I$2:$I$675,Program_data!R$2)</f>
        <v>526109473</v>
      </c>
      <c r="S233" s="5">
        <f>SUMIFS(EIAwtransport!$J$2:$J$675,EIAwtransport!$E$2:$E$675,Program_data!$E233,EIAwtransport!$I$2:$I$675,Program_data!S$2)</f>
        <v>80336233</v>
      </c>
      <c r="T233" s="5">
        <f>SUMIFS(EIAwtransport!$J$2:$J$675,EIAwtransport!$E$2:$E$675,Program_data!$E233,EIAwtransport!$I$2:$I$675,Program_data!T$2)</f>
        <v>474354</v>
      </c>
      <c r="U233" s="24">
        <f t="shared" si="99"/>
        <v>1.7325681675913283E-3</v>
      </c>
      <c r="V233" s="24">
        <f t="shared" si="108"/>
        <v>1.7325681675913283E-3</v>
      </c>
      <c r="W233" s="24">
        <f t="shared" si="100"/>
        <v>6.1080747732516118E-3</v>
      </c>
      <c r="X233" s="25">
        <f t="shared" si="101"/>
        <v>3.8610839779473121E-3</v>
      </c>
      <c r="Y233" s="8">
        <f t="shared" si="95"/>
        <v>0.69580175211687456</v>
      </c>
      <c r="Z233" s="27">
        <f t="shared" si="96"/>
        <v>0.29799629752363055</v>
      </c>
      <c r="AA233" s="27"/>
      <c r="AB233" s="27"/>
      <c r="AC233" s="56">
        <f t="shared" si="110"/>
        <v>7.234001219958007E-2</v>
      </c>
      <c r="AD233" s="20">
        <f t="shared" si="109"/>
        <v>4338246.6000000006</v>
      </c>
      <c r="AE233" s="20">
        <f t="shared" si="102"/>
        <v>0</v>
      </c>
      <c r="AF233" s="20">
        <f t="shared" si="103"/>
        <v>710247788.55000007</v>
      </c>
      <c r="AG233">
        <f t="shared" si="104"/>
        <v>152100860.48640001</v>
      </c>
      <c r="AH233">
        <f t="shared" si="105"/>
        <v>152100860.48640001</v>
      </c>
      <c r="AI233">
        <f t="shared" si="106"/>
        <v>8473865856.8400002</v>
      </c>
    </row>
    <row r="234" spans="2:35" x14ac:dyDescent="0.25">
      <c r="B234" s="4">
        <v>2023</v>
      </c>
      <c r="C234" s="4" t="s">
        <v>241</v>
      </c>
      <c r="D234" s="4" t="s">
        <v>242</v>
      </c>
      <c r="E234" s="4" t="str">
        <f t="shared" si="98"/>
        <v>Xcel-MN</v>
      </c>
      <c r="F234" s="4" t="s">
        <v>135</v>
      </c>
      <c r="G234" s="4"/>
      <c r="H234" s="4" t="s">
        <v>272</v>
      </c>
      <c r="I234" s="11"/>
      <c r="J234" s="4" t="s">
        <v>42</v>
      </c>
      <c r="K234" s="5">
        <v>1032550.12</v>
      </c>
      <c r="L234" s="5">
        <f t="shared" si="111"/>
        <v>1032550.12</v>
      </c>
      <c r="M234" s="8">
        <v>557198</v>
      </c>
      <c r="N234" s="8">
        <v>85034</v>
      </c>
      <c r="O234" s="8">
        <f>SUMIFS(EIAwtransport!$J$2:$J$675,EIAwtransport!$E$2:$E$675,Program_data!$E234,EIAwtransport!$H$2:$H$675,Program_data!$F234,EIAwtransport!$I$2:$I$675,Program_data!O$2)</f>
        <v>306619750</v>
      </c>
      <c r="P234" s="5">
        <f>SUMIFS(EIAwtransport!$J$2:$J$675,EIAwtransport!$E$2:$E$675,Program_data!$E234,EIAwtransport!$H$2:$H$675,Program_data!$F234,EIAwtransport!$I$2:$I$675,Program_data!P$2)</f>
        <v>35286911</v>
      </c>
      <c r="Q234" s="5">
        <f>SUMIFS(EIAwtransport!$J$2:$J$675,EIAwtransport!$E$2:$E$675,Program_data!$E234,EIAwtransport!$H$2:$H$675,Program_data!$F234,EIAwtransport!$I$2:$I$675,Program_data!Q$2)</f>
        <v>438247</v>
      </c>
      <c r="R234" s="8">
        <f>SUMIFS(EIAwtransport!$J$2:$J$675,EIAwtransport!$E$2:$E$675,Program_data!$E234,EIAwtransport!$I$2:$I$675,Program_data!R$2)</f>
        <v>526109473</v>
      </c>
      <c r="S234" s="5">
        <f>SUMIFS(EIAwtransport!$J$2:$J$675,EIAwtransport!$E$2:$E$675,Program_data!$E234,EIAwtransport!$I$2:$I$675,Program_data!S$2)</f>
        <v>80336233</v>
      </c>
      <c r="T234" s="5">
        <f>SUMIFS(EIAwtransport!$J$2:$J$675,EIAwtransport!$E$2:$E$675,Program_data!$E234,EIAwtransport!$I$2:$I$675,Program_data!T$2)</f>
        <v>474354</v>
      </c>
      <c r="U234" s="24">
        <f t="shared" si="99"/>
        <v>1.2406232689551177E-3</v>
      </c>
      <c r="V234" s="24">
        <f t="shared" si="108"/>
        <v>1.2406232689551177E-3</v>
      </c>
      <c r="W234" s="24">
        <f t="shared" si="100"/>
        <v>1.059091365191974E-3</v>
      </c>
      <c r="X234" s="25">
        <f t="shared" si="101"/>
        <v>6.6948111362889946E-4</v>
      </c>
      <c r="Y234" s="8">
        <f t="shared" si="95"/>
        <v>0.12064646470595393</v>
      </c>
      <c r="Z234" s="27">
        <f t="shared" si="96"/>
        <v>5.1670177147887825E-2</v>
      </c>
      <c r="AA234" s="27"/>
      <c r="AB234" s="27"/>
      <c r="AC234" s="56">
        <f t="shared" si="110"/>
        <v>5.1799810298988037E-2</v>
      </c>
      <c r="AD234" s="20">
        <f t="shared" si="109"/>
        <v>752217.3</v>
      </c>
      <c r="AE234" s="20">
        <f t="shared" si="102"/>
        <v>114795.90000000001</v>
      </c>
      <c r="AF234" s="20">
        <f t="shared" si="103"/>
        <v>710247788.55000007</v>
      </c>
      <c r="AG234">
        <f t="shared" si="104"/>
        <v>108913386.6576</v>
      </c>
      <c r="AH234">
        <f t="shared" si="105"/>
        <v>108913386.6576</v>
      </c>
      <c r="AI234">
        <f t="shared" si="106"/>
        <v>8473865856.8400002</v>
      </c>
    </row>
    <row r="235" spans="2:35" x14ac:dyDescent="0.25">
      <c r="B235" s="4">
        <v>2023</v>
      </c>
      <c r="C235" s="4" t="s">
        <v>241</v>
      </c>
      <c r="D235" s="4" t="s">
        <v>242</v>
      </c>
      <c r="E235" s="4" t="str">
        <f t="shared" si="98"/>
        <v>Xcel-MN</v>
      </c>
      <c r="F235" s="4" t="s">
        <v>135</v>
      </c>
      <c r="G235" s="4"/>
      <c r="H235" s="4" t="s">
        <v>273</v>
      </c>
      <c r="I235" s="11"/>
      <c r="J235" s="4" t="s">
        <v>142</v>
      </c>
      <c r="K235" s="5">
        <v>36001</v>
      </c>
      <c r="L235" s="5">
        <f t="shared" si="111"/>
        <v>36001</v>
      </c>
      <c r="M235" s="8">
        <v>131340</v>
      </c>
      <c r="N235" s="8">
        <v>38902</v>
      </c>
      <c r="O235" s="8">
        <f>SUMIFS(EIAwtransport!$J$2:$J$675,EIAwtransport!$E$2:$E$675,Program_data!$E235,EIAwtransport!$H$2:$H$675,Program_data!$F235,EIAwtransport!$I$2:$I$675,Program_data!O$2)</f>
        <v>306619750</v>
      </c>
      <c r="P235" s="5">
        <f>SUMIFS(EIAwtransport!$J$2:$J$675,EIAwtransport!$E$2:$E$675,Program_data!$E235,EIAwtransport!$H$2:$H$675,Program_data!$F235,EIAwtransport!$I$2:$I$675,Program_data!P$2)</f>
        <v>35286911</v>
      </c>
      <c r="Q235" s="5">
        <f>SUMIFS(EIAwtransport!$J$2:$J$675,EIAwtransport!$E$2:$E$675,Program_data!$E235,EIAwtransport!$H$2:$H$675,Program_data!$F235,EIAwtransport!$I$2:$I$675,Program_data!Q$2)</f>
        <v>438247</v>
      </c>
      <c r="R235" s="8">
        <f>SUMIFS(EIAwtransport!$J$2:$J$675,EIAwtransport!$E$2:$E$675,Program_data!$E235,EIAwtransport!$I$2:$I$675,Program_data!R$2)</f>
        <v>526109473</v>
      </c>
      <c r="S235" s="5">
        <f>SUMIFS(EIAwtransport!$J$2:$J$675,EIAwtransport!$E$2:$E$675,Program_data!$E235,EIAwtransport!$I$2:$I$675,Program_data!S$2)</f>
        <v>80336233</v>
      </c>
      <c r="T235" s="5">
        <f>SUMIFS(EIAwtransport!$J$2:$J$675,EIAwtransport!$E$2:$E$675,Program_data!$E235,EIAwtransport!$I$2:$I$675,Program_data!T$2)</f>
        <v>474354</v>
      </c>
      <c r="U235" s="24">
        <f t="shared" si="99"/>
        <v>4.3255700077448241E-5</v>
      </c>
      <c r="V235" s="24">
        <f t="shared" si="108"/>
        <v>4.3255700077448241E-5</v>
      </c>
      <c r="W235" s="24">
        <f t="shared" si="100"/>
        <v>2.4964386071793846E-4</v>
      </c>
      <c r="X235" s="25">
        <f t="shared" si="101"/>
        <v>1.5780682892619795E-4</v>
      </c>
      <c r="Y235" s="8">
        <f t="shared" si="95"/>
        <v>2.8438197327485003E-2</v>
      </c>
      <c r="Z235" s="27">
        <f t="shared" si="96"/>
        <v>1.217944261573729E-2</v>
      </c>
      <c r="AA235" s="27"/>
      <c r="AB235" s="27"/>
      <c r="AC235" s="56">
        <f t="shared" si="110"/>
        <v>1.8060575796300022E-3</v>
      </c>
      <c r="AD235" s="20">
        <f t="shared" si="109"/>
        <v>177309</v>
      </c>
      <c r="AE235" s="20">
        <f t="shared" si="102"/>
        <v>52517.700000000004</v>
      </c>
      <c r="AF235" s="20">
        <f t="shared" si="103"/>
        <v>710247788.55000007</v>
      </c>
      <c r="AG235">
        <f t="shared" si="104"/>
        <v>3797385.48</v>
      </c>
      <c r="AH235">
        <f t="shared" si="105"/>
        <v>3797385.48</v>
      </c>
      <c r="AI235">
        <f t="shared" si="106"/>
        <v>8473865856.8400002</v>
      </c>
    </row>
    <row r="236" spans="2:35" x14ac:dyDescent="0.25">
      <c r="B236" s="37">
        <v>2023</v>
      </c>
      <c r="C236" s="37" t="s">
        <v>241</v>
      </c>
      <c r="D236" s="37" t="s">
        <v>242</v>
      </c>
      <c r="E236" s="37" t="str">
        <f t="shared" ref="E236:E255" si="112">D236&amp;"-"&amp;C236</f>
        <v>Xcel-MN</v>
      </c>
      <c r="F236" s="4" t="s">
        <v>135</v>
      </c>
      <c r="G236" s="37"/>
      <c r="H236" s="37" t="s">
        <v>274</v>
      </c>
      <c r="I236" s="37" t="s">
        <v>167</v>
      </c>
      <c r="J236" s="4" t="s">
        <v>155</v>
      </c>
      <c r="K236" s="38"/>
      <c r="L236" s="5">
        <f t="shared" si="111"/>
        <v>0</v>
      </c>
      <c r="M236" s="39">
        <v>522000</v>
      </c>
      <c r="N236" s="39"/>
      <c r="O236" s="8">
        <f>SUMIFS(EIAwtransport!$J$2:$J$675,EIAwtransport!$E$2:$E$675,Program_data!$E236,EIAwtransport!$H$2:$H$675,Program_data!$F236,EIAwtransport!$I$2:$I$675,Program_data!O$2)</f>
        <v>306619750</v>
      </c>
      <c r="P236" s="5">
        <f>SUMIFS(EIAwtransport!$J$2:$J$675,EIAwtransport!$E$2:$E$675,Program_data!$E236,EIAwtransport!$H$2:$H$675,Program_data!$F236,EIAwtransport!$I$2:$I$675,Program_data!P$2)</f>
        <v>35286911</v>
      </c>
      <c r="Q236" s="5">
        <f>SUMIFS(EIAwtransport!$J$2:$J$675,EIAwtransport!$E$2:$E$675,Program_data!$E236,EIAwtransport!$H$2:$H$675,Program_data!$F236,EIAwtransport!$I$2:$I$675,Program_data!Q$2)</f>
        <v>438247</v>
      </c>
      <c r="R236" s="8">
        <f>SUMIFS(EIAwtransport!$J$2:$J$675,EIAwtransport!$E$2:$E$675,Program_data!$E236,EIAwtransport!$I$2:$I$675,Program_data!R$2)</f>
        <v>526109473</v>
      </c>
      <c r="S236" s="5">
        <f>SUMIFS(EIAwtransport!$J$2:$J$675,EIAwtransport!$E$2:$E$675,Program_data!$E236,EIAwtransport!$I$2:$I$675,Program_data!S$2)</f>
        <v>80336233</v>
      </c>
      <c r="T236" s="5">
        <f>SUMIFS(EIAwtransport!$J$2:$J$675,EIAwtransport!$E$2:$E$675,Program_data!$E236,EIAwtransport!$I$2:$I$675,Program_data!T$2)</f>
        <v>474354</v>
      </c>
      <c r="U236" s="24">
        <f t="shared" ref="U236:U255" si="113">IFERROR(K236/10.36/S236,"")</f>
        <v>0</v>
      </c>
      <c r="V236" s="24">
        <f t="shared" si="108"/>
        <v>0</v>
      </c>
      <c r="W236" s="24">
        <f t="shared" ref="W236:W255" si="114">IFERROR(M236/R236,"")</f>
        <v>9.9218893935407236E-4</v>
      </c>
      <c r="X236" s="25">
        <f t="shared" ref="X236:X255" si="115">IFERROR(M236/S236/10.36,"")</f>
        <v>6.2719022917218916E-4</v>
      </c>
      <c r="Y236" s="8">
        <f t="shared" si="95"/>
        <v>0.11302527032851509</v>
      </c>
      <c r="Z236" s="27">
        <f t="shared" si="96"/>
        <v>4.840619038689558E-2</v>
      </c>
      <c r="AA236" s="27"/>
      <c r="AB236" s="27"/>
      <c r="AC236" s="56">
        <f t="shared" si="110"/>
        <v>0</v>
      </c>
      <c r="AD236" s="20">
        <f t="shared" si="109"/>
        <v>704700</v>
      </c>
      <c r="AE236" s="20">
        <f t="shared" si="102"/>
        <v>0</v>
      </c>
      <c r="AF236" s="20">
        <f t="shared" si="103"/>
        <v>710247788.55000007</v>
      </c>
      <c r="AG236">
        <f t="shared" si="104"/>
        <v>0</v>
      </c>
      <c r="AH236">
        <f t="shared" si="105"/>
        <v>0</v>
      </c>
      <c r="AI236">
        <f t="shared" si="106"/>
        <v>8473865856.8400002</v>
      </c>
    </row>
    <row r="237" spans="2:35" x14ac:dyDescent="0.25">
      <c r="B237" s="37">
        <v>2023</v>
      </c>
      <c r="C237" s="37" t="s">
        <v>241</v>
      </c>
      <c r="D237" s="37" t="s">
        <v>242</v>
      </c>
      <c r="E237" s="37" t="str">
        <f t="shared" si="112"/>
        <v>Xcel-MN</v>
      </c>
      <c r="F237" s="4" t="s">
        <v>135</v>
      </c>
      <c r="G237" s="37"/>
      <c r="H237" s="37" t="s">
        <v>275</v>
      </c>
      <c r="I237" s="37" t="s">
        <v>167</v>
      </c>
      <c r="J237" s="4" t="s">
        <v>155</v>
      </c>
      <c r="K237" s="38"/>
      <c r="L237" s="5">
        <f t="shared" si="111"/>
        <v>0</v>
      </c>
      <c r="M237" s="39">
        <v>606040</v>
      </c>
      <c r="N237" s="39"/>
      <c r="O237" s="8">
        <f>SUMIFS(EIAwtransport!$J$2:$J$675,EIAwtransport!$E$2:$E$675,Program_data!$E237,EIAwtransport!$H$2:$H$675,Program_data!$F237,EIAwtransport!$I$2:$I$675,Program_data!O$2)</f>
        <v>306619750</v>
      </c>
      <c r="P237" s="5">
        <f>SUMIFS(EIAwtransport!$J$2:$J$675,EIAwtransport!$E$2:$E$675,Program_data!$E237,EIAwtransport!$H$2:$H$675,Program_data!$F237,EIAwtransport!$I$2:$I$675,Program_data!P$2)</f>
        <v>35286911</v>
      </c>
      <c r="Q237" s="5">
        <f>SUMIFS(EIAwtransport!$J$2:$J$675,EIAwtransport!$E$2:$E$675,Program_data!$E237,EIAwtransport!$H$2:$H$675,Program_data!$F237,EIAwtransport!$I$2:$I$675,Program_data!Q$2)</f>
        <v>438247</v>
      </c>
      <c r="R237" s="8">
        <f>SUMIFS(EIAwtransport!$J$2:$J$675,EIAwtransport!$E$2:$E$675,Program_data!$E237,EIAwtransport!$I$2:$I$675,Program_data!R$2)</f>
        <v>526109473</v>
      </c>
      <c r="S237" s="5">
        <f>SUMIFS(EIAwtransport!$J$2:$J$675,EIAwtransport!$E$2:$E$675,Program_data!$E237,EIAwtransport!$I$2:$I$675,Program_data!S$2)</f>
        <v>80336233</v>
      </c>
      <c r="T237" s="5">
        <f>SUMIFS(EIAwtransport!$J$2:$J$675,EIAwtransport!$E$2:$E$675,Program_data!$E237,EIAwtransport!$I$2:$I$675,Program_data!T$2)</f>
        <v>474354</v>
      </c>
      <c r="U237" s="24">
        <f t="shared" si="113"/>
        <v>0</v>
      </c>
      <c r="V237" s="24">
        <f t="shared" si="108"/>
        <v>0</v>
      </c>
      <c r="W237" s="24">
        <f t="shared" si="114"/>
        <v>1.1519275570998891E-3</v>
      </c>
      <c r="X237" s="25">
        <f t="shared" si="115"/>
        <v>7.2816545304121372E-4</v>
      </c>
      <c r="Y237" s="8">
        <f t="shared" si="95"/>
        <v>0.13122190580439327</v>
      </c>
      <c r="Z237" s="27">
        <f t="shared" si="96"/>
        <v>5.6199401574854785E-2</v>
      </c>
      <c r="AA237" s="27"/>
      <c r="AB237" s="27"/>
      <c r="AC237" s="56">
        <f t="shared" si="110"/>
        <v>0</v>
      </c>
      <c r="AD237" s="20">
        <f t="shared" si="109"/>
        <v>818154</v>
      </c>
      <c r="AE237" s="20">
        <f t="shared" si="102"/>
        <v>0</v>
      </c>
      <c r="AF237" s="20">
        <f t="shared" si="103"/>
        <v>710247788.55000007</v>
      </c>
      <c r="AG237">
        <f t="shared" si="104"/>
        <v>0</v>
      </c>
      <c r="AH237">
        <f t="shared" si="105"/>
        <v>0</v>
      </c>
      <c r="AI237">
        <f t="shared" si="106"/>
        <v>8473865856.8400002</v>
      </c>
    </row>
    <row r="238" spans="2:35" x14ac:dyDescent="0.25">
      <c r="B238" s="4">
        <v>2023</v>
      </c>
      <c r="C238" s="4" t="s">
        <v>241</v>
      </c>
      <c r="D238" s="4" t="s">
        <v>242</v>
      </c>
      <c r="E238" s="4" t="str">
        <f t="shared" si="112"/>
        <v>Xcel-MN</v>
      </c>
      <c r="F238" s="4" t="s">
        <v>135</v>
      </c>
      <c r="G238" s="4"/>
      <c r="H238" s="4" t="s">
        <v>276</v>
      </c>
      <c r="I238" s="4" t="s">
        <v>167</v>
      </c>
      <c r="J238" s="4" t="s">
        <v>155</v>
      </c>
      <c r="K238" s="5">
        <v>0</v>
      </c>
      <c r="L238" s="5">
        <f t="shared" si="111"/>
        <v>0</v>
      </c>
      <c r="M238" s="8">
        <v>0</v>
      </c>
      <c r="N238" s="8"/>
      <c r="O238" s="8">
        <f>SUMIFS(EIAwtransport!$J$2:$J$675,EIAwtransport!$E$2:$E$675,Program_data!$E238,EIAwtransport!$H$2:$H$675,Program_data!$F238,EIAwtransport!$I$2:$I$675,Program_data!O$2)</f>
        <v>306619750</v>
      </c>
      <c r="P238" s="5">
        <f>SUMIFS(EIAwtransport!$J$2:$J$675,EIAwtransport!$E$2:$E$675,Program_data!$E238,EIAwtransport!$H$2:$H$675,Program_data!$F238,EIAwtransport!$I$2:$I$675,Program_data!P$2)</f>
        <v>35286911</v>
      </c>
      <c r="Q238" s="5">
        <f>SUMIFS(EIAwtransport!$J$2:$J$675,EIAwtransport!$E$2:$E$675,Program_data!$E238,EIAwtransport!$H$2:$H$675,Program_data!$F238,EIAwtransport!$I$2:$I$675,Program_data!Q$2)</f>
        <v>438247</v>
      </c>
      <c r="R238" s="8">
        <f>SUMIFS(EIAwtransport!$J$2:$J$675,EIAwtransport!$E$2:$E$675,Program_data!$E238,EIAwtransport!$I$2:$I$675,Program_data!R$2)</f>
        <v>526109473</v>
      </c>
      <c r="S238" s="5">
        <f>SUMIFS(EIAwtransport!$J$2:$J$675,EIAwtransport!$E$2:$E$675,Program_data!$E238,EIAwtransport!$I$2:$I$675,Program_data!S$2)</f>
        <v>80336233</v>
      </c>
      <c r="T238" s="5">
        <f>SUMIFS(EIAwtransport!$J$2:$J$675,EIAwtransport!$E$2:$E$675,Program_data!$E238,EIAwtransport!$I$2:$I$675,Program_data!T$2)</f>
        <v>474354</v>
      </c>
      <c r="U238" s="24">
        <f t="shared" si="113"/>
        <v>0</v>
      </c>
      <c r="V238" s="24">
        <f t="shared" si="108"/>
        <v>0</v>
      </c>
      <c r="W238" s="24">
        <f t="shared" si="114"/>
        <v>0</v>
      </c>
      <c r="X238" s="25">
        <f t="shared" si="115"/>
        <v>0</v>
      </c>
      <c r="Y238" s="8">
        <f t="shared" si="95"/>
        <v>0</v>
      </c>
      <c r="Z238" s="27">
        <f t="shared" si="96"/>
        <v>0</v>
      </c>
      <c r="AA238" s="27"/>
      <c r="AB238" s="27"/>
      <c r="AC238" s="56">
        <f t="shared" si="110"/>
        <v>0</v>
      </c>
      <c r="AD238" s="20">
        <f t="shared" si="109"/>
        <v>0</v>
      </c>
      <c r="AE238" s="20">
        <f t="shared" si="102"/>
        <v>0</v>
      </c>
      <c r="AF238" s="20">
        <f t="shared" si="103"/>
        <v>710247788.55000007</v>
      </c>
      <c r="AG238">
        <f t="shared" si="104"/>
        <v>0</v>
      </c>
      <c r="AH238">
        <f t="shared" si="105"/>
        <v>0</v>
      </c>
      <c r="AI238">
        <f t="shared" si="106"/>
        <v>8473865856.8400002</v>
      </c>
    </row>
    <row r="239" spans="2:35" x14ac:dyDescent="0.25">
      <c r="B239" s="4">
        <v>2023</v>
      </c>
      <c r="C239" s="4" t="s">
        <v>241</v>
      </c>
      <c r="D239" s="4" t="s">
        <v>242</v>
      </c>
      <c r="E239" s="4" t="str">
        <f t="shared" si="112"/>
        <v>Xcel-MN</v>
      </c>
      <c r="F239" s="4" t="s">
        <v>143</v>
      </c>
      <c r="G239" s="4">
        <v>1</v>
      </c>
      <c r="H239" s="4" t="s">
        <v>277</v>
      </c>
      <c r="I239" s="11"/>
      <c r="J239" s="4" t="s">
        <v>108</v>
      </c>
      <c r="K239" s="5">
        <v>73587.08</v>
      </c>
      <c r="L239" s="5">
        <f t="shared" si="111"/>
        <v>73587.08</v>
      </c>
      <c r="M239" s="8">
        <v>1528377</v>
      </c>
      <c r="N239" s="8">
        <v>1251199</v>
      </c>
      <c r="O239" s="8">
        <f>SUMIFS(EIAwtransport!$J$2:$J$675,EIAwtransport!$E$2:$E$675,Program_data!$E239,EIAwtransport!$H$2:$H$675,Program_data!$F239,EIAwtransport!$I$2:$I$675,Program_data!O$2)</f>
        <v>0</v>
      </c>
      <c r="P239" s="5">
        <f>SUMIFS(EIAwtransport!$J$2:$J$675,EIAwtransport!$E$2:$E$675,Program_data!$E239,EIAwtransport!$H$2:$H$675,Program_data!$F239,EIAwtransport!$I$2:$I$675,Program_data!P$2)</f>
        <v>0</v>
      </c>
      <c r="Q239" s="5">
        <f>SUMIFS(EIAwtransport!$J$2:$J$675,EIAwtransport!$E$2:$E$675,Program_data!$E239,EIAwtransport!$H$2:$H$675,Program_data!$F239,EIAwtransport!$I$2:$I$675,Program_data!Q$2)</f>
        <v>0</v>
      </c>
      <c r="R239" s="8">
        <f>SUMIFS(EIAwtransport!$J$2:$J$675,EIAwtransport!$E$2:$E$675,Program_data!$E239,EIAwtransport!$I$2:$I$675,Program_data!R$2)</f>
        <v>526109473</v>
      </c>
      <c r="S239" s="5">
        <f>SUMIFS(EIAwtransport!$J$2:$J$675,EIAwtransport!$E$2:$E$675,Program_data!$E239,EIAwtransport!$I$2:$I$675,Program_data!S$2)</f>
        <v>80336233</v>
      </c>
      <c r="T239" s="5">
        <f>SUMIFS(EIAwtransport!$J$2:$J$675,EIAwtransport!$E$2:$E$675,Program_data!$E239,EIAwtransport!$I$2:$I$675,Program_data!T$2)</f>
        <v>474354</v>
      </c>
      <c r="U239" s="24">
        <f t="shared" si="113"/>
        <v>8.8415895726651772E-5</v>
      </c>
      <c r="V239" s="24">
        <f t="shared" si="108"/>
        <v>8.8415895726651772E-5</v>
      </c>
      <c r="W239" s="24">
        <f t="shared" si="114"/>
        <v>2.9050550853700367E-3</v>
      </c>
      <c r="X239" s="25">
        <f t="shared" si="115"/>
        <v>1.8363661319760595E-3</v>
      </c>
      <c r="Y239" s="8">
        <f t="shared" si="95"/>
        <v>10.778602867811605</v>
      </c>
      <c r="Z239" s="27">
        <f t="shared" si="96"/>
        <v>0.14172970889837608</v>
      </c>
      <c r="AA239" s="27"/>
      <c r="AB239" s="27"/>
      <c r="AC239" s="56">
        <f t="shared" si="110"/>
        <v>3.6916336656437139E-3</v>
      </c>
      <c r="AD239" s="20">
        <f t="shared" si="109"/>
        <v>2063308.9500000002</v>
      </c>
      <c r="AE239" s="20">
        <f t="shared" si="102"/>
        <v>1689118.6500000001</v>
      </c>
      <c r="AF239" s="20">
        <f t="shared" si="103"/>
        <v>710247788.55000007</v>
      </c>
      <c r="AG239">
        <f t="shared" si="104"/>
        <v>7761965.1984000001</v>
      </c>
      <c r="AH239">
        <f t="shared" si="105"/>
        <v>7761965.1984000001</v>
      </c>
      <c r="AI239">
        <f t="shared" si="106"/>
        <v>8473865856.8400002</v>
      </c>
    </row>
    <row r="240" spans="2:35" x14ac:dyDescent="0.25">
      <c r="B240" s="4">
        <v>2023</v>
      </c>
      <c r="C240" s="4" t="s">
        <v>241</v>
      </c>
      <c r="D240" s="4" t="s">
        <v>242</v>
      </c>
      <c r="E240" s="4" t="str">
        <f t="shared" si="112"/>
        <v>Xcel-MN</v>
      </c>
      <c r="F240" s="4" t="s">
        <v>143</v>
      </c>
      <c r="G240" s="4">
        <v>1</v>
      </c>
      <c r="H240" s="4" t="s">
        <v>278</v>
      </c>
      <c r="I240" s="11"/>
      <c r="J240" s="4" t="s">
        <v>108</v>
      </c>
      <c r="K240" s="5">
        <v>68210.239999999991</v>
      </c>
      <c r="L240" s="5">
        <f t="shared" si="111"/>
        <v>68210.239999999991</v>
      </c>
      <c r="M240" s="8">
        <v>393848</v>
      </c>
      <c r="N240" s="8">
        <v>35909</v>
      </c>
      <c r="O240" s="8">
        <f>SUMIFS(EIAwtransport!$J$2:$J$675,EIAwtransport!$E$2:$E$675,Program_data!$E240,EIAwtransport!$H$2:$H$675,Program_data!$F240,EIAwtransport!$I$2:$I$675,Program_data!O$2)</f>
        <v>0</v>
      </c>
      <c r="P240" s="5">
        <f>SUMIFS(EIAwtransport!$J$2:$J$675,EIAwtransport!$E$2:$E$675,Program_data!$E240,EIAwtransport!$H$2:$H$675,Program_data!$F240,EIAwtransport!$I$2:$I$675,Program_data!P$2)</f>
        <v>0</v>
      </c>
      <c r="Q240" s="5">
        <f>SUMIFS(EIAwtransport!$J$2:$J$675,EIAwtransport!$E$2:$E$675,Program_data!$E240,EIAwtransport!$H$2:$H$675,Program_data!$F240,EIAwtransport!$I$2:$I$675,Program_data!Q$2)</f>
        <v>0</v>
      </c>
      <c r="R240" s="8">
        <f>SUMIFS(EIAwtransport!$J$2:$J$675,EIAwtransport!$E$2:$E$675,Program_data!$E240,EIAwtransport!$I$2:$I$675,Program_data!R$2)</f>
        <v>526109473</v>
      </c>
      <c r="S240" s="5">
        <f>SUMIFS(EIAwtransport!$J$2:$J$675,EIAwtransport!$E$2:$E$675,Program_data!$E240,EIAwtransport!$I$2:$I$675,Program_data!S$2)</f>
        <v>80336233</v>
      </c>
      <c r="T240" s="5">
        <f>SUMIFS(EIAwtransport!$J$2:$J$675,EIAwtransport!$E$2:$E$675,Program_data!$E240,EIAwtransport!$I$2:$I$675,Program_data!T$2)</f>
        <v>474354</v>
      </c>
      <c r="U240" s="24">
        <f t="shared" si="113"/>
        <v>8.1955548002854436E-5</v>
      </c>
      <c r="V240" s="24">
        <f t="shared" si="108"/>
        <v>8.1955548002854436E-5</v>
      </c>
      <c r="W240" s="24">
        <f t="shared" si="114"/>
        <v>7.486046539975531E-4</v>
      </c>
      <c r="X240" s="25">
        <f t="shared" si="115"/>
        <v>4.7321382639656771E-4</v>
      </c>
      <c r="Y240" s="8">
        <f t="shared" si="95"/>
        <v>2.7775419168712072</v>
      </c>
      <c r="Z240" s="27">
        <f t="shared" si="96"/>
        <v>3.6522377914747224E-2</v>
      </c>
      <c r="AA240" s="27"/>
      <c r="AB240" s="27"/>
      <c r="AC240" s="56">
        <f t="shared" si="110"/>
        <v>3.4218944184989737E-3</v>
      </c>
      <c r="AD240" s="20">
        <f t="shared" si="109"/>
        <v>531694.80000000005</v>
      </c>
      <c r="AE240" s="20">
        <f t="shared" si="102"/>
        <v>48477.15</v>
      </c>
      <c r="AF240" s="20">
        <f t="shared" si="103"/>
        <v>710247788.55000007</v>
      </c>
      <c r="AG240">
        <f t="shared" si="104"/>
        <v>7194816.115199999</v>
      </c>
      <c r="AH240">
        <f t="shared" si="105"/>
        <v>7194816.115199999</v>
      </c>
      <c r="AI240">
        <f t="shared" si="106"/>
        <v>8473865856.8400002</v>
      </c>
    </row>
    <row r="241" spans="2:35" x14ac:dyDescent="0.25">
      <c r="B241" s="4">
        <v>2023</v>
      </c>
      <c r="C241" s="4" t="s">
        <v>241</v>
      </c>
      <c r="D241" s="4" t="s">
        <v>242</v>
      </c>
      <c r="E241" s="4" t="str">
        <f t="shared" si="112"/>
        <v>Xcel-MN</v>
      </c>
      <c r="F241" s="4" t="s">
        <v>143</v>
      </c>
      <c r="G241" s="4">
        <v>1</v>
      </c>
      <c r="H241" s="4" t="s">
        <v>203</v>
      </c>
      <c r="I241" s="4" t="s">
        <v>167</v>
      </c>
      <c r="J241" s="4" t="s">
        <v>155</v>
      </c>
      <c r="K241" s="5">
        <v>0</v>
      </c>
      <c r="L241" s="5"/>
      <c r="M241" s="8">
        <v>0</v>
      </c>
      <c r="N241" s="8"/>
      <c r="O241" s="8">
        <f>SUMIFS(EIAwtransport!$J$2:$J$675,EIAwtransport!$E$2:$E$675,Program_data!$E241,EIAwtransport!$H$2:$H$675,Program_data!$F241,EIAwtransport!$I$2:$I$675,Program_data!O$2)</f>
        <v>0</v>
      </c>
      <c r="P241" s="5">
        <f>SUMIFS(EIAwtransport!$J$2:$J$675,EIAwtransport!$E$2:$E$675,Program_data!$E241,EIAwtransport!$H$2:$H$675,Program_data!$F241,EIAwtransport!$I$2:$I$675,Program_data!P$2)</f>
        <v>0</v>
      </c>
      <c r="Q241" s="5">
        <f>SUMIFS(EIAwtransport!$J$2:$J$675,EIAwtransport!$E$2:$E$675,Program_data!$E241,EIAwtransport!$H$2:$H$675,Program_data!$F241,EIAwtransport!$I$2:$I$675,Program_data!Q$2)</f>
        <v>0</v>
      </c>
      <c r="R241" s="8">
        <f>SUMIFS(EIAwtransport!$J$2:$J$675,EIAwtransport!$E$2:$E$675,Program_data!$E241,EIAwtransport!$I$2:$I$675,Program_data!R$2)</f>
        <v>526109473</v>
      </c>
      <c r="S241" s="5">
        <f>SUMIFS(EIAwtransport!$J$2:$J$675,EIAwtransport!$E$2:$E$675,Program_data!$E241,EIAwtransport!$I$2:$I$675,Program_data!S$2)</f>
        <v>80336233</v>
      </c>
      <c r="T241" s="5">
        <f>SUMIFS(EIAwtransport!$J$2:$J$675,EIAwtransport!$E$2:$E$675,Program_data!$E241,EIAwtransport!$I$2:$I$675,Program_data!T$2)</f>
        <v>474354</v>
      </c>
      <c r="U241" s="24">
        <f t="shared" si="113"/>
        <v>0</v>
      </c>
      <c r="V241" s="24">
        <f t="shared" si="108"/>
        <v>0</v>
      </c>
      <c r="W241" s="24">
        <f t="shared" si="114"/>
        <v>0</v>
      </c>
      <c r="X241" s="25">
        <f t="shared" si="115"/>
        <v>0</v>
      </c>
      <c r="Y241" s="8">
        <f t="shared" si="95"/>
        <v>0</v>
      </c>
      <c r="Z241" s="27">
        <f t="shared" si="96"/>
        <v>0</v>
      </c>
      <c r="AA241" s="27"/>
      <c r="AB241" s="27"/>
      <c r="AC241" s="56">
        <f t="shared" si="110"/>
        <v>0</v>
      </c>
      <c r="AD241" s="20">
        <f t="shared" si="109"/>
        <v>0</v>
      </c>
      <c r="AE241" s="20">
        <f t="shared" si="102"/>
        <v>0</v>
      </c>
      <c r="AF241" s="20">
        <f t="shared" si="103"/>
        <v>710247788.55000007</v>
      </c>
      <c r="AG241">
        <f t="shared" si="104"/>
        <v>0</v>
      </c>
      <c r="AH241">
        <f t="shared" si="105"/>
        <v>0</v>
      </c>
      <c r="AI241">
        <f t="shared" si="106"/>
        <v>8473865856.8400002</v>
      </c>
    </row>
    <row r="242" spans="2:35" x14ac:dyDescent="0.25">
      <c r="B242" s="4">
        <v>2023</v>
      </c>
      <c r="C242" s="4" t="s">
        <v>241</v>
      </c>
      <c r="D242" s="4" t="s">
        <v>242</v>
      </c>
      <c r="E242" s="4" t="str">
        <f t="shared" si="112"/>
        <v>Xcel-MN</v>
      </c>
      <c r="F242" s="4" t="s">
        <v>155</v>
      </c>
      <c r="G242" s="4"/>
      <c r="H242" s="4" t="s">
        <v>279</v>
      </c>
      <c r="I242" s="4" t="s">
        <v>167</v>
      </c>
      <c r="J242" s="4" t="s">
        <v>155</v>
      </c>
      <c r="K242" s="5"/>
      <c r="L242" s="5"/>
      <c r="M242" s="8">
        <v>1584264</v>
      </c>
      <c r="N242" s="8"/>
      <c r="O242" s="8">
        <f>SUMIFS(EIAwtransport!$J$2:$J$675,EIAwtransport!$E$2:$E$675,Program_data!$E242,EIAwtransport!$H$2:$H$675,Program_data!$F242,EIAwtransport!$I$2:$I$675,Program_data!O$2)</f>
        <v>0</v>
      </c>
      <c r="P242" s="5">
        <f>SUMIFS(EIAwtransport!$J$2:$J$675,EIAwtransport!$E$2:$E$675,Program_data!$E242,EIAwtransport!$H$2:$H$675,Program_data!$F242,EIAwtransport!$I$2:$I$675,Program_data!P$2)</f>
        <v>0</v>
      </c>
      <c r="Q242" s="5">
        <f>SUMIFS(EIAwtransport!$J$2:$J$675,EIAwtransport!$E$2:$E$675,Program_data!$E242,EIAwtransport!$H$2:$H$675,Program_data!$F242,EIAwtransport!$I$2:$I$675,Program_data!Q$2)</f>
        <v>0</v>
      </c>
      <c r="R242" s="8">
        <f>SUMIFS(EIAwtransport!$J$2:$J$675,EIAwtransport!$E$2:$E$675,Program_data!$E242,EIAwtransport!$I$2:$I$675,Program_data!R$2)</f>
        <v>526109473</v>
      </c>
      <c r="S242" s="5">
        <f>SUMIFS(EIAwtransport!$J$2:$J$675,EIAwtransport!$E$2:$E$675,Program_data!$E242,EIAwtransport!$I$2:$I$675,Program_data!S$2)</f>
        <v>80336233</v>
      </c>
      <c r="T242" s="5">
        <f>SUMIFS(EIAwtransport!$J$2:$J$675,EIAwtransport!$E$2:$E$675,Program_data!$E242,EIAwtransport!$I$2:$I$675,Program_data!T$2)</f>
        <v>474354</v>
      </c>
      <c r="U242" s="24">
        <f t="shared" si="113"/>
        <v>0</v>
      </c>
      <c r="V242" s="24">
        <f t="shared" si="108"/>
        <v>0</v>
      </c>
      <c r="W242" s="24">
        <f t="shared" si="114"/>
        <v>3.0112820264690423E-3</v>
      </c>
      <c r="X242" s="25">
        <f t="shared" si="115"/>
        <v>1.9035151364545004E-3</v>
      </c>
      <c r="Y242" s="8" t="str">
        <f t="shared" si="95"/>
        <v/>
      </c>
      <c r="Z242" s="27">
        <f t="shared" si="96"/>
        <v>0.14691223143123514</v>
      </c>
      <c r="AA242" s="27"/>
      <c r="AB242" s="27"/>
      <c r="AC242" s="56">
        <f t="shared" si="110"/>
        <v>0</v>
      </c>
      <c r="AD242" s="20">
        <f t="shared" si="109"/>
        <v>2138756.4000000004</v>
      </c>
      <c r="AE242" s="20">
        <f t="shared" si="102"/>
        <v>0</v>
      </c>
      <c r="AF242" s="20">
        <f t="shared" si="103"/>
        <v>710247788.55000007</v>
      </c>
      <c r="AG242">
        <f t="shared" si="104"/>
        <v>0</v>
      </c>
      <c r="AH242">
        <f t="shared" si="105"/>
        <v>0</v>
      </c>
      <c r="AI242">
        <f t="shared" si="106"/>
        <v>8473865856.8400002</v>
      </c>
    </row>
    <row r="243" spans="2:35" x14ac:dyDescent="0.25">
      <c r="B243" s="4">
        <v>2023</v>
      </c>
      <c r="C243" s="4" t="s">
        <v>241</v>
      </c>
      <c r="D243" s="4" t="s">
        <v>242</v>
      </c>
      <c r="E243" s="4" t="str">
        <f t="shared" si="112"/>
        <v>Xcel-MN</v>
      </c>
      <c r="F243" s="4" t="s">
        <v>155</v>
      </c>
      <c r="G243" s="4"/>
      <c r="H243" s="4" t="s">
        <v>280</v>
      </c>
      <c r="I243" s="4" t="s">
        <v>167</v>
      </c>
      <c r="J243" s="4" t="s">
        <v>155</v>
      </c>
      <c r="K243" s="5"/>
      <c r="L243" s="5"/>
      <c r="M243" s="8">
        <v>802781</v>
      </c>
      <c r="N243" s="8"/>
      <c r="O243" s="8">
        <f>SUMIFS(EIAwtransport!$J$2:$J$675,EIAwtransport!$E$2:$E$675,Program_data!$E243,EIAwtransport!$H$2:$H$675,Program_data!$F243,EIAwtransport!$I$2:$I$675,Program_data!O$2)</f>
        <v>0</v>
      </c>
      <c r="P243" s="5">
        <f>SUMIFS(EIAwtransport!$J$2:$J$675,EIAwtransport!$E$2:$E$675,Program_data!$E243,EIAwtransport!$H$2:$H$675,Program_data!$F243,EIAwtransport!$I$2:$I$675,Program_data!P$2)</f>
        <v>0</v>
      </c>
      <c r="Q243" s="5">
        <f>SUMIFS(EIAwtransport!$J$2:$J$675,EIAwtransport!$E$2:$E$675,Program_data!$E243,EIAwtransport!$H$2:$H$675,Program_data!$F243,EIAwtransport!$I$2:$I$675,Program_data!Q$2)</f>
        <v>0</v>
      </c>
      <c r="R243" s="8">
        <f>SUMIFS(EIAwtransport!$J$2:$J$675,EIAwtransport!$E$2:$E$675,Program_data!$E243,EIAwtransport!$I$2:$I$675,Program_data!R$2)</f>
        <v>526109473</v>
      </c>
      <c r="S243" s="5">
        <f>SUMIFS(EIAwtransport!$J$2:$J$675,EIAwtransport!$E$2:$E$675,Program_data!$E243,EIAwtransport!$I$2:$I$675,Program_data!S$2)</f>
        <v>80336233</v>
      </c>
      <c r="T243" s="5">
        <f>SUMIFS(EIAwtransport!$J$2:$J$675,EIAwtransport!$E$2:$E$675,Program_data!$E243,EIAwtransport!$I$2:$I$675,Program_data!T$2)</f>
        <v>474354</v>
      </c>
      <c r="U243" s="24">
        <f t="shared" si="113"/>
        <v>0</v>
      </c>
      <c r="V243" s="24">
        <f t="shared" si="108"/>
        <v>0</v>
      </c>
      <c r="W243" s="24">
        <f t="shared" si="114"/>
        <v>1.5258820477463632E-3</v>
      </c>
      <c r="X243" s="25">
        <f t="shared" si="115"/>
        <v>9.6455248920513271E-4</v>
      </c>
      <c r="Y243" s="8" t="str">
        <f t="shared" si="95"/>
        <v/>
      </c>
      <c r="Z243" s="27">
        <f t="shared" si="96"/>
        <v>7.4443620545943334E-2</v>
      </c>
      <c r="AA243" s="27"/>
      <c r="AB243" s="27"/>
      <c r="AC243" s="56">
        <f t="shared" si="110"/>
        <v>0</v>
      </c>
      <c r="AD243" s="20">
        <f t="shared" si="109"/>
        <v>1083754.3500000001</v>
      </c>
      <c r="AE243" s="20">
        <f t="shared" si="102"/>
        <v>0</v>
      </c>
      <c r="AF243" s="20">
        <f t="shared" si="103"/>
        <v>710247788.55000007</v>
      </c>
      <c r="AG243">
        <f t="shared" si="104"/>
        <v>0</v>
      </c>
      <c r="AH243">
        <f t="shared" si="105"/>
        <v>0</v>
      </c>
      <c r="AI243">
        <f t="shared" si="106"/>
        <v>8473865856.8400002</v>
      </c>
    </row>
    <row r="244" spans="2:35" x14ac:dyDescent="0.25">
      <c r="B244" s="4">
        <v>2023</v>
      </c>
      <c r="C244" s="4" t="s">
        <v>241</v>
      </c>
      <c r="D244" s="4" t="s">
        <v>242</v>
      </c>
      <c r="E244" s="4" t="str">
        <f t="shared" si="112"/>
        <v>Xcel-MN</v>
      </c>
      <c r="F244" s="4" t="s">
        <v>155</v>
      </c>
      <c r="G244" s="4"/>
      <c r="H244" s="4" t="s">
        <v>281</v>
      </c>
      <c r="I244" s="4" t="s">
        <v>167</v>
      </c>
      <c r="J244" s="4" t="s">
        <v>155</v>
      </c>
      <c r="K244" s="5"/>
      <c r="L244" s="5"/>
      <c r="M244" s="8">
        <v>115277</v>
      </c>
      <c r="N244" s="8"/>
      <c r="O244" s="8">
        <f>SUMIFS(EIAwtransport!$J$2:$J$675,EIAwtransport!$E$2:$E$675,Program_data!$E244,EIAwtransport!$H$2:$H$675,Program_data!$F244,EIAwtransport!$I$2:$I$675,Program_data!O$2)</f>
        <v>0</v>
      </c>
      <c r="P244" s="5">
        <f>SUMIFS(EIAwtransport!$J$2:$J$675,EIAwtransport!$E$2:$E$675,Program_data!$E244,EIAwtransport!$H$2:$H$675,Program_data!$F244,EIAwtransport!$I$2:$I$675,Program_data!P$2)</f>
        <v>0</v>
      </c>
      <c r="Q244" s="5">
        <f>SUMIFS(EIAwtransport!$J$2:$J$675,EIAwtransport!$E$2:$E$675,Program_data!$E244,EIAwtransport!$H$2:$H$675,Program_data!$F244,EIAwtransport!$I$2:$I$675,Program_data!Q$2)</f>
        <v>0</v>
      </c>
      <c r="R244" s="8">
        <f>SUMIFS(EIAwtransport!$J$2:$J$675,EIAwtransport!$E$2:$E$675,Program_data!$E244,EIAwtransport!$I$2:$I$675,Program_data!R$2)</f>
        <v>526109473</v>
      </c>
      <c r="S244" s="5">
        <f>SUMIFS(EIAwtransport!$J$2:$J$675,EIAwtransport!$E$2:$E$675,Program_data!$E244,EIAwtransport!$I$2:$I$675,Program_data!S$2)</f>
        <v>80336233</v>
      </c>
      <c r="T244" s="5">
        <f>SUMIFS(EIAwtransport!$J$2:$J$675,EIAwtransport!$E$2:$E$675,Program_data!$E244,EIAwtransport!$I$2:$I$675,Program_data!T$2)</f>
        <v>474354</v>
      </c>
      <c r="U244" s="24">
        <f t="shared" si="113"/>
        <v>0</v>
      </c>
      <c r="V244" s="24">
        <f t="shared" si="108"/>
        <v>0</v>
      </c>
      <c r="W244" s="24">
        <f t="shared" si="114"/>
        <v>2.1911219226421343E-4</v>
      </c>
      <c r="X244" s="25">
        <f t="shared" si="115"/>
        <v>1.3850691196988976E-4</v>
      </c>
      <c r="Y244" s="8" t="str">
        <f t="shared" si="95"/>
        <v/>
      </c>
      <c r="Z244" s="27">
        <f t="shared" si="96"/>
        <v>1.0689885841437092E-2</v>
      </c>
      <c r="AA244" s="27"/>
      <c r="AB244" s="27"/>
      <c r="AC244" s="56">
        <f t="shared" si="110"/>
        <v>0</v>
      </c>
      <c r="AD244" s="20">
        <f t="shared" si="109"/>
        <v>155623.95000000001</v>
      </c>
      <c r="AE244" s="20">
        <f t="shared" si="102"/>
        <v>0</v>
      </c>
      <c r="AF244" s="20">
        <f t="shared" si="103"/>
        <v>710247788.55000007</v>
      </c>
      <c r="AG244">
        <f t="shared" si="104"/>
        <v>0</v>
      </c>
      <c r="AH244">
        <f t="shared" si="105"/>
        <v>0</v>
      </c>
      <c r="AI244">
        <f t="shared" si="106"/>
        <v>8473865856.8400002</v>
      </c>
    </row>
    <row r="245" spans="2:35" x14ac:dyDescent="0.25">
      <c r="B245" s="4">
        <v>2023</v>
      </c>
      <c r="C245" s="4" t="s">
        <v>241</v>
      </c>
      <c r="D245" s="4" t="s">
        <v>242</v>
      </c>
      <c r="E245" s="4" t="str">
        <f t="shared" si="112"/>
        <v>Xcel-MN</v>
      </c>
      <c r="F245" s="4" t="s">
        <v>155</v>
      </c>
      <c r="G245" s="4"/>
      <c r="H245" s="4" t="s">
        <v>282</v>
      </c>
      <c r="I245" s="4" t="s">
        <v>167</v>
      </c>
      <c r="J245" s="4" t="s">
        <v>155</v>
      </c>
      <c r="K245" s="5"/>
      <c r="L245" s="5"/>
      <c r="M245" s="8">
        <v>236412</v>
      </c>
      <c r="N245" s="8"/>
      <c r="O245" s="8">
        <f>SUMIFS(EIAwtransport!$J$2:$J$675,EIAwtransport!$E$2:$E$675,Program_data!$E245,EIAwtransport!$H$2:$H$675,Program_data!$F245,EIAwtransport!$I$2:$I$675,Program_data!O$2)</f>
        <v>0</v>
      </c>
      <c r="P245" s="5">
        <f>SUMIFS(EIAwtransport!$J$2:$J$675,EIAwtransport!$E$2:$E$675,Program_data!$E245,EIAwtransport!$H$2:$H$675,Program_data!$F245,EIAwtransport!$I$2:$I$675,Program_data!P$2)</f>
        <v>0</v>
      </c>
      <c r="Q245" s="5">
        <f>SUMIFS(EIAwtransport!$J$2:$J$675,EIAwtransport!$E$2:$E$675,Program_data!$E245,EIAwtransport!$H$2:$H$675,Program_data!$F245,EIAwtransport!$I$2:$I$675,Program_data!Q$2)</f>
        <v>0</v>
      </c>
      <c r="R245" s="8">
        <f>SUMIFS(EIAwtransport!$J$2:$J$675,EIAwtransport!$E$2:$E$675,Program_data!$E245,EIAwtransport!$I$2:$I$675,Program_data!R$2)</f>
        <v>526109473</v>
      </c>
      <c r="S245" s="5">
        <f>SUMIFS(EIAwtransport!$J$2:$J$675,EIAwtransport!$E$2:$E$675,Program_data!$E245,EIAwtransport!$I$2:$I$675,Program_data!S$2)</f>
        <v>80336233</v>
      </c>
      <c r="T245" s="5">
        <f>SUMIFS(EIAwtransport!$J$2:$J$675,EIAwtransport!$E$2:$E$675,Program_data!$E245,EIAwtransport!$I$2:$I$675,Program_data!T$2)</f>
        <v>474354</v>
      </c>
      <c r="U245" s="24">
        <f t="shared" si="113"/>
        <v>0</v>
      </c>
      <c r="V245" s="24">
        <f t="shared" si="108"/>
        <v>0</v>
      </c>
      <c r="W245" s="24">
        <f t="shared" si="114"/>
        <v>4.4935894929228922E-4</v>
      </c>
      <c r="X245" s="25">
        <f t="shared" si="115"/>
        <v>2.8405229206715629E-4</v>
      </c>
      <c r="Y245" s="8" t="str">
        <f t="shared" si="95"/>
        <v/>
      </c>
      <c r="Z245" s="27">
        <f t="shared" si="96"/>
        <v>2.1922996708327123E-2</v>
      </c>
      <c r="AA245" s="27"/>
      <c r="AB245" s="27"/>
      <c r="AC245" s="56">
        <f t="shared" si="110"/>
        <v>0</v>
      </c>
      <c r="AD245" s="20">
        <f t="shared" si="109"/>
        <v>319156.2</v>
      </c>
      <c r="AE245" s="20">
        <f t="shared" si="102"/>
        <v>0</v>
      </c>
      <c r="AF245" s="20">
        <f t="shared" si="103"/>
        <v>710247788.55000007</v>
      </c>
      <c r="AG245">
        <f t="shared" si="104"/>
        <v>0</v>
      </c>
      <c r="AH245">
        <f t="shared" si="105"/>
        <v>0</v>
      </c>
      <c r="AI245">
        <f t="shared" si="106"/>
        <v>8473865856.8400002</v>
      </c>
    </row>
    <row r="246" spans="2:35" x14ac:dyDescent="0.25">
      <c r="B246" s="4">
        <v>2023</v>
      </c>
      <c r="C246" s="4" t="s">
        <v>241</v>
      </c>
      <c r="D246" s="4" t="s">
        <v>242</v>
      </c>
      <c r="E246" s="4" t="str">
        <f t="shared" si="112"/>
        <v>Xcel-MN</v>
      </c>
      <c r="F246" s="4" t="s">
        <v>155</v>
      </c>
      <c r="G246" s="4"/>
      <c r="H246" s="4" t="s">
        <v>283</v>
      </c>
      <c r="I246" s="4" t="s">
        <v>167</v>
      </c>
      <c r="J246" s="4" t="s">
        <v>155</v>
      </c>
      <c r="K246" s="5"/>
      <c r="L246" s="5"/>
      <c r="M246" s="8">
        <v>154967</v>
      </c>
      <c r="N246" s="8"/>
      <c r="O246" s="8">
        <f>SUMIFS(EIAwtransport!$J$2:$J$675,EIAwtransport!$E$2:$E$675,Program_data!$E246,EIAwtransport!$H$2:$H$675,Program_data!$F246,EIAwtransport!$I$2:$I$675,Program_data!O$2)</f>
        <v>0</v>
      </c>
      <c r="P246" s="5">
        <f>SUMIFS(EIAwtransport!$J$2:$J$675,EIAwtransport!$E$2:$E$675,Program_data!$E246,EIAwtransport!$H$2:$H$675,Program_data!$F246,EIAwtransport!$I$2:$I$675,Program_data!P$2)</f>
        <v>0</v>
      </c>
      <c r="Q246" s="5">
        <f>SUMIFS(EIAwtransport!$J$2:$J$675,EIAwtransport!$E$2:$E$675,Program_data!$E246,EIAwtransport!$H$2:$H$675,Program_data!$F246,EIAwtransport!$I$2:$I$675,Program_data!Q$2)</f>
        <v>0</v>
      </c>
      <c r="R246" s="8">
        <f>SUMIFS(EIAwtransport!$J$2:$J$675,EIAwtransport!$E$2:$E$675,Program_data!$E246,EIAwtransport!$I$2:$I$675,Program_data!R$2)</f>
        <v>526109473</v>
      </c>
      <c r="S246" s="5">
        <f>SUMIFS(EIAwtransport!$J$2:$J$675,EIAwtransport!$E$2:$E$675,Program_data!$E246,EIAwtransport!$I$2:$I$675,Program_data!S$2)</f>
        <v>80336233</v>
      </c>
      <c r="T246" s="5">
        <f>SUMIFS(EIAwtransport!$J$2:$J$675,EIAwtransport!$E$2:$E$675,Program_data!$E246,EIAwtransport!$I$2:$I$675,Program_data!T$2)</f>
        <v>474354</v>
      </c>
      <c r="U246" s="24">
        <f t="shared" si="113"/>
        <v>0</v>
      </c>
      <c r="V246" s="24">
        <f t="shared" si="108"/>
        <v>0</v>
      </c>
      <c r="W246" s="24">
        <f t="shared" si="114"/>
        <v>2.9455276506682479E-4</v>
      </c>
      <c r="X246" s="25">
        <f t="shared" si="115"/>
        <v>1.8619499663625794E-4</v>
      </c>
      <c r="Y246" s="8" t="str">
        <f t="shared" si="95"/>
        <v/>
      </c>
      <c r="Z246" s="27">
        <f t="shared" si="96"/>
        <v>1.4370425489820014E-2</v>
      </c>
      <c r="AA246" s="27"/>
      <c r="AB246" s="27"/>
      <c r="AC246" s="56">
        <f t="shared" si="110"/>
        <v>0</v>
      </c>
      <c r="AD246" s="20">
        <f t="shared" si="109"/>
        <v>209205.45</v>
      </c>
      <c r="AE246" s="20">
        <f t="shared" si="102"/>
        <v>0</v>
      </c>
      <c r="AF246" s="20">
        <f t="shared" si="103"/>
        <v>710247788.55000007</v>
      </c>
      <c r="AG246">
        <f t="shared" si="104"/>
        <v>0</v>
      </c>
      <c r="AH246">
        <f t="shared" si="105"/>
        <v>0</v>
      </c>
      <c r="AI246">
        <f t="shared" si="106"/>
        <v>8473865856.8400002</v>
      </c>
    </row>
    <row r="247" spans="2:35" x14ac:dyDescent="0.25">
      <c r="B247" s="4">
        <v>2023</v>
      </c>
      <c r="C247" s="4" t="s">
        <v>241</v>
      </c>
      <c r="D247" s="4" t="s">
        <v>242</v>
      </c>
      <c r="E247" s="4" t="str">
        <f t="shared" si="112"/>
        <v>Xcel-MN</v>
      </c>
      <c r="F247" s="4" t="s">
        <v>155</v>
      </c>
      <c r="G247" s="4"/>
      <c r="H247" s="4" t="s">
        <v>284</v>
      </c>
      <c r="I247" s="4" t="s">
        <v>167</v>
      </c>
      <c r="J247" s="4" t="s">
        <v>155</v>
      </c>
      <c r="K247" s="5"/>
      <c r="L247" s="5"/>
      <c r="M247" s="8">
        <v>20000</v>
      </c>
      <c r="N247" s="8"/>
      <c r="O247" s="8">
        <f>SUMIFS(EIAwtransport!$J$2:$J$675,EIAwtransport!$E$2:$E$675,Program_data!$E247,EIAwtransport!$H$2:$H$675,Program_data!$F247,EIAwtransport!$I$2:$I$675,Program_data!O$2)</f>
        <v>0</v>
      </c>
      <c r="P247" s="5">
        <f>SUMIFS(EIAwtransport!$J$2:$J$675,EIAwtransport!$E$2:$E$675,Program_data!$E247,EIAwtransport!$H$2:$H$675,Program_data!$F247,EIAwtransport!$I$2:$I$675,Program_data!P$2)</f>
        <v>0</v>
      </c>
      <c r="Q247" s="5">
        <f>SUMIFS(EIAwtransport!$J$2:$J$675,EIAwtransport!$E$2:$E$675,Program_data!$E247,EIAwtransport!$H$2:$H$675,Program_data!$F247,EIAwtransport!$I$2:$I$675,Program_data!Q$2)</f>
        <v>0</v>
      </c>
      <c r="R247" s="8">
        <f>SUMIFS(EIAwtransport!$J$2:$J$675,EIAwtransport!$E$2:$E$675,Program_data!$E247,EIAwtransport!$I$2:$I$675,Program_data!R$2)</f>
        <v>526109473</v>
      </c>
      <c r="S247" s="5">
        <f>SUMIFS(EIAwtransport!$J$2:$J$675,EIAwtransport!$E$2:$E$675,Program_data!$E247,EIAwtransport!$I$2:$I$675,Program_data!S$2)</f>
        <v>80336233</v>
      </c>
      <c r="T247" s="5">
        <f>SUMIFS(EIAwtransport!$J$2:$J$675,EIAwtransport!$E$2:$E$675,Program_data!$E247,EIAwtransport!$I$2:$I$675,Program_data!T$2)</f>
        <v>474354</v>
      </c>
      <c r="U247" s="24">
        <f t="shared" si="113"/>
        <v>0</v>
      </c>
      <c r="V247" s="24">
        <f t="shared" si="108"/>
        <v>0</v>
      </c>
      <c r="W247" s="24">
        <f t="shared" si="114"/>
        <v>3.8014901890960628E-5</v>
      </c>
      <c r="X247" s="25">
        <f t="shared" si="115"/>
        <v>2.4030276979777366E-5</v>
      </c>
      <c r="Y247" s="8" t="str">
        <f t="shared" si="95"/>
        <v/>
      </c>
      <c r="Z247" s="27">
        <f t="shared" si="96"/>
        <v>1.8546433098427426E-3</v>
      </c>
      <c r="AA247" s="27"/>
      <c r="AB247" s="27"/>
      <c r="AC247" s="56">
        <f t="shared" si="110"/>
        <v>0</v>
      </c>
      <c r="AD247" s="20">
        <f t="shared" si="109"/>
        <v>27000</v>
      </c>
      <c r="AE247" s="20">
        <f t="shared" si="102"/>
        <v>0</v>
      </c>
      <c r="AF247" s="20">
        <f t="shared" si="103"/>
        <v>710247788.55000007</v>
      </c>
      <c r="AG247">
        <f t="shared" si="104"/>
        <v>0</v>
      </c>
      <c r="AH247">
        <f t="shared" si="105"/>
        <v>0</v>
      </c>
      <c r="AI247">
        <f t="shared" si="106"/>
        <v>8473865856.8400002</v>
      </c>
    </row>
    <row r="248" spans="2:35" x14ac:dyDescent="0.25">
      <c r="B248" s="4">
        <v>2023</v>
      </c>
      <c r="C248" s="4" t="s">
        <v>241</v>
      </c>
      <c r="D248" s="4" t="s">
        <v>242</v>
      </c>
      <c r="E248" s="4" t="str">
        <f t="shared" si="112"/>
        <v>Xcel-MN</v>
      </c>
      <c r="F248" s="4" t="s">
        <v>155</v>
      </c>
      <c r="G248" s="4"/>
      <c r="H248" s="4" t="s">
        <v>285</v>
      </c>
      <c r="I248" s="4" t="s">
        <v>167</v>
      </c>
      <c r="J248" s="4" t="s">
        <v>155</v>
      </c>
      <c r="K248" s="5"/>
      <c r="L248" s="5"/>
      <c r="M248" s="8">
        <v>331560</v>
      </c>
      <c r="N248" s="8"/>
      <c r="O248" s="8">
        <f>SUMIFS(EIAwtransport!$J$2:$J$675,EIAwtransport!$E$2:$E$675,Program_data!$E248,EIAwtransport!$H$2:$H$675,Program_data!$F248,EIAwtransport!$I$2:$I$675,Program_data!O$2)</f>
        <v>0</v>
      </c>
      <c r="P248" s="5">
        <f>SUMIFS(EIAwtransport!$J$2:$J$675,EIAwtransport!$E$2:$E$675,Program_data!$E248,EIAwtransport!$H$2:$H$675,Program_data!$F248,EIAwtransport!$I$2:$I$675,Program_data!P$2)</f>
        <v>0</v>
      </c>
      <c r="Q248" s="5">
        <f>SUMIFS(EIAwtransport!$J$2:$J$675,EIAwtransport!$E$2:$E$675,Program_data!$E248,EIAwtransport!$H$2:$H$675,Program_data!$F248,EIAwtransport!$I$2:$I$675,Program_data!Q$2)</f>
        <v>0</v>
      </c>
      <c r="R248" s="8">
        <f>SUMIFS(EIAwtransport!$J$2:$J$675,EIAwtransport!$E$2:$E$675,Program_data!$E248,EIAwtransport!$I$2:$I$675,Program_data!R$2)</f>
        <v>526109473</v>
      </c>
      <c r="S248" s="5">
        <f>SUMIFS(EIAwtransport!$J$2:$J$675,EIAwtransport!$E$2:$E$675,Program_data!$E248,EIAwtransport!$I$2:$I$675,Program_data!S$2)</f>
        <v>80336233</v>
      </c>
      <c r="T248" s="5">
        <f>SUMIFS(EIAwtransport!$J$2:$J$675,EIAwtransport!$E$2:$E$675,Program_data!$E248,EIAwtransport!$I$2:$I$675,Program_data!T$2)</f>
        <v>474354</v>
      </c>
      <c r="U248" s="24">
        <f t="shared" si="113"/>
        <v>0</v>
      </c>
      <c r="V248" s="24">
        <f t="shared" si="108"/>
        <v>0</v>
      </c>
      <c r="W248" s="24">
        <f t="shared" si="114"/>
        <v>6.3021104354834526E-4</v>
      </c>
      <c r="X248" s="25">
        <f t="shared" si="115"/>
        <v>3.983739317707492E-4</v>
      </c>
      <c r="Y248" s="8" t="str">
        <f t="shared" si="95"/>
        <v/>
      </c>
      <c r="Z248" s="27">
        <f t="shared" si="96"/>
        <v>3.0746276790572985E-2</v>
      </c>
      <c r="AA248" s="27"/>
      <c r="AB248" s="27"/>
      <c r="AC248" s="56">
        <f t="shared" si="110"/>
        <v>0</v>
      </c>
      <c r="AD248" s="20">
        <f t="shared" si="109"/>
        <v>447606.00000000006</v>
      </c>
      <c r="AE248" s="20">
        <f t="shared" si="102"/>
        <v>0</v>
      </c>
      <c r="AF248" s="20">
        <f t="shared" si="103"/>
        <v>710247788.55000007</v>
      </c>
      <c r="AG248">
        <f t="shared" si="104"/>
        <v>0</v>
      </c>
      <c r="AH248">
        <f t="shared" si="105"/>
        <v>0</v>
      </c>
      <c r="AI248">
        <f t="shared" si="106"/>
        <v>8473865856.8400002</v>
      </c>
    </row>
    <row r="249" spans="2:35" x14ac:dyDescent="0.25">
      <c r="B249" s="4">
        <v>2023</v>
      </c>
      <c r="C249" s="4" t="s">
        <v>241</v>
      </c>
      <c r="D249" s="4" t="s">
        <v>242</v>
      </c>
      <c r="E249" s="4" t="str">
        <f t="shared" si="112"/>
        <v>Xcel-MN</v>
      </c>
      <c r="F249" s="4" t="s">
        <v>155</v>
      </c>
      <c r="G249" s="4"/>
      <c r="H249" s="4" t="s">
        <v>286</v>
      </c>
      <c r="I249" s="4" t="s">
        <v>167</v>
      </c>
      <c r="J249" s="4" t="s">
        <v>155</v>
      </c>
      <c r="K249" s="5"/>
      <c r="L249" s="5"/>
      <c r="M249" s="8">
        <v>150061</v>
      </c>
      <c r="N249" s="8"/>
      <c r="O249" s="8">
        <f>SUMIFS(EIAwtransport!$J$2:$J$675,EIAwtransport!$E$2:$E$675,Program_data!$E249,EIAwtransport!$H$2:$H$675,Program_data!$F249,EIAwtransport!$I$2:$I$675,Program_data!O$2)</f>
        <v>0</v>
      </c>
      <c r="P249" s="5">
        <f>SUMIFS(EIAwtransport!$J$2:$J$675,EIAwtransport!$E$2:$E$675,Program_data!$E249,EIAwtransport!$H$2:$H$675,Program_data!$F249,EIAwtransport!$I$2:$I$675,Program_data!P$2)</f>
        <v>0</v>
      </c>
      <c r="Q249" s="5">
        <f>SUMIFS(EIAwtransport!$J$2:$J$675,EIAwtransport!$E$2:$E$675,Program_data!$E249,EIAwtransport!$H$2:$H$675,Program_data!$F249,EIAwtransport!$I$2:$I$675,Program_data!Q$2)</f>
        <v>0</v>
      </c>
      <c r="R249" s="8">
        <f>SUMIFS(EIAwtransport!$J$2:$J$675,EIAwtransport!$E$2:$E$675,Program_data!$E249,EIAwtransport!$I$2:$I$675,Program_data!R$2)</f>
        <v>526109473</v>
      </c>
      <c r="S249" s="5">
        <f>SUMIFS(EIAwtransport!$J$2:$J$675,EIAwtransport!$E$2:$E$675,Program_data!$E249,EIAwtransport!$I$2:$I$675,Program_data!S$2)</f>
        <v>80336233</v>
      </c>
      <c r="T249" s="5">
        <f>SUMIFS(EIAwtransport!$J$2:$J$675,EIAwtransport!$E$2:$E$675,Program_data!$E249,EIAwtransport!$I$2:$I$675,Program_data!T$2)</f>
        <v>474354</v>
      </c>
      <c r="U249" s="24">
        <f t="shared" si="113"/>
        <v>0</v>
      </c>
      <c r="V249" s="24">
        <f t="shared" si="108"/>
        <v>0</v>
      </c>
      <c r="W249" s="24">
        <f t="shared" si="114"/>
        <v>2.8522770963297216E-4</v>
      </c>
      <c r="X249" s="25">
        <f t="shared" si="115"/>
        <v>1.8030036969311856E-4</v>
      </c>
      <c r="Y249" s="8" t="str">
        <f t="shared" si="95"/>
        <v/>
      </c>
      <c r="Z249" s="27">
        <f t="shared" si="96"/>
        <v>1.3915481485915589E-2</v>
      </c>
      <c r="AA249" s="27"/>
      <c r="AB249" s="27"/>
      <c r="AC249" s="56">
        <f t="shared" si="110"/>
        <v>0</v>
      </c>
      <c r="AD249" s="20">
        <f t="shared" si="109"/>
        <v>202582.35</v>
      </c>
      <c r="AE249" s="20">
        <f t="shared" si="102"/>
        <v>0</v>
      </c>
      <c r="AF249" s="20">
        <f t="shared" si="103"/>
        <v>710247788.55000007</v>
      </c>
      <c r="AG249">
        <f t="shared" si="104"/>
        <v>0</v>
      </c>
      <c r="AH249">
        <f t="shared" si="105"/>
        <v>0</v>
      </c>
      <c r="AI249">
        <f t="shared" si="106"/>
        <v>8473865856.8400002</v>
      </c>
    </row>
    <row r="250" spans="2:35" x14ac:dyDescent="0.25">
      <c r="B250" s="37">
        <v>2023</v>
      </c>
      <c r="C250" s="37" t="s">
        <v>241</v>
      </c>
      <c r="D250" s="37" t="s">
        <v>242</v>
      </c>
      <c r="E250" s="37" t="str">
        <f t="shared" si="112"/>
        <v>Xcel-MN</v>
      </c>
      <c r="F250" s="4" t="s">
        <v>135</v>
      </c>
      <c r="G250" s="37"/>
      <c r="H250" s="37" t="s">
        <v>287</v>
      </c>
      <c r="I250" s="37" t="s">
        <v>167</v>
      </c>
      <c r="J250" s="4" t="s">
        <v>155</v>
      </c>
      <c r="K250" s="38"/>
      <c r="L250" s="5">
        <f t="shared" ref="L250:L253" si="116">K250</f>
        <v>0</v>
      </c>
      <c r="M250" s="39">
        <v>46500</v>
      </c>
      <c r="N250" s="39"/>
      <c r="O250" s="8">
        <f>SUMIFS(EIAwtransport!$J$2:$J$675,EIAwtransport!$E$2:$E$675,Program_data!$E250,EIAwtransport!$H$2:$H$675,Program_data!$F250,EIAwtransport!$I$2:$I$675,Program_data!O$2)</f>
        <v>306619750</v>
      </c>
      <c r="P250" s="5">
        <f>SUMIFS(EIAwtransport!$J$2:$J$675,EIAwtransport!$E$2:$E$675,Program_data!$E250,EIAwtransport!$H$2:$H$675,Program_data!$F250,EIAwtransport!$I$2:$I$675,Program_data!P$2)</f>
        <v>35286911</v>
      </c>
      <c r="Q250" s="5">
        <f>SUMIFS(EIAwtransport!$J$2:$J$675,EIAwtransport!$E$2:$E$675,Program_data!$E250,EIAwtransport!$H$2:$H$675,Program_data!$F250,EIAwtransport!$I$2:$I$675,Program_data!Q$2)</f>
        <v>438247</v>
      </c>
      <c r="R250" s="8">
        <f>SUMIFS(EIAwtransport!$J$2:$J$675,EIAwtransport!$E$2:$E$675,Program_data!$E250,EIAwtransport!$I$2:$I$675,Program_data!R$2)</f>
        <v>526109473</v>
      </c>
      <c r="S250" s="5">
        <f>SUMIFS(EIAwtransport!$J$2:$J$675,EIAwtransport!$E$2:$E$675,Program_data!$E250,EIAwtransport!$I$2:$I$675,Program_data!S$2)</f>
        <v>80336233</v>
      </c>
      <c r="T250" s="5">
        <f>SUMIFS(EIAwtransport!$J$2:$J$675,EIAwtransport!$E$2:$E$675,Program_data!$E250,EIAwtransport!$I$2:$I$675,Program_data!T$2)</f>
        <v>474354</v>
      </c>
      <c r="U250" s="24">
        <f t="shared" si="113"/>
        <v>0</v>
      </c>
      <c r="V250" s="24">
        <f t="shared" si="108"/>
        <v>0</v>
      </c>
      <c r="W250" s="24">
        <f t="shared" si="114"/>
        <v>8.8384646896483469E-5</v>
      </c>
      <c r="X250" s="25">
        <f t="shared" si="115"/>
        <v>5.5870393977982371E-5</v>
      </c>
      <c r="Y250" s="8">
        <f t="shared" si="95"/>
        <v>1.0068343046505654E-2</v>
      </c>
      <c r="Z250" s="27">
        <f t="shared" si="96"/>
        <v>4.3120456953843764E-3</v>
      </c>
      <c r="AA250" s="27"/>
      <c r="AB250" s="27"/>
      <c r="AC250" s="56">
        <f t="shared" si="110"/>
        <v>0</v>
      </c>
      <c r="AD250" s="20">
        <f t="shared" si="109"/>
        <v>62775.000000000007</v>
      </c>
      <c r="AE250" s="20">
        <f t="shared" si="102"/>
        <v>0</v>
      </c>
      <c r="AF250" s="20">
        <f t="shared" si="103"/>
        <v>710247788.55000007</v>
      </c>
      <c r="AG250">
        <f t="shared" si="104"/>
        <v>0</v>
      </c>
      <c r="AH250">
        <f t="shared" si="105"/>
        <v>0</v>
      </c>
      <c r="AI250">
        <f t="shared" si="106"/>
        <v>8473865856.8400002</v>
      </c>
    </row>
    <row r="251" spans="2:35" x14ac:dyDescent="0.25">
      <c r="B251" s="37">
        <v>2023</v>
      </c>
      <c r="C251" s="37" t="s">
        <v>241</v>
      </c>
      <c r="D251" s="37" t="s">
        <v>242</v>
      </c>
      <c r="E251" s="37" t="str">
        <f t="shared" si="112"/>
        <v>Xcel-MN</v>
      </c>
      <c r="F251" s="4" t="s">
        <v>135</v>
      </c>
      <c r="G251" s="37"/>
      <c r="H251" s="37" t="s">
        <v>288</v>
      </c>
      <c r="I251" s="37" t="s">
        <v>167</v>
      </c>
      <c r="J251" s="4" t="s">
        <v>155</v>
      </c>
      <c r="K251" s="38"/>
      <c r="L251" s="5">
        <f t="shared" si="116"/>
        <v>0</v>
      </c>
      <c r="M251" s="39">
        <v>24929</v>
      </c>
      <c r="N251" s="39"/>
      <c r="O251" s="8">
        <f>SUMIFS(EIAwtransport!$J$2:$J$675,EIAwtransport!$E$2:$E$675,Program_data!$E251,EIAwtransport!$H$2:$H$675,Program_data!$F251,EIAwtransport!$I$2:$I$675,Program_data!O$2)</f>
        <v>306619750</v>
      </c>
      <c r="P251" s="5">
        <f>SUMIFS(EIAwtransport!$J$2:$J$675,EIAwtransport!$E$2:$E$675,Program_data!$E251,EIAwtransport!$H$2:$H$675,Program_data!$F251,EIAwtransport!$I$2:$I$675,Program_data!P$2)</f>
        <v>35286911</v>
      </c>
      <c r="Q251" s="5">
        <f>SUMIFS(EIAwtransport!$J$2:$J$675,EIAwtransport!$E$2:$E$675,Program_data!$E251,EIAwtransport!$H$2:$H$675,Program_data!$F251,EIAwtransport!$I$2:$I$675,Program_data!Q$2)</f>
        <v>438247</v>
      </c>
      <c r="R251" s="8">
        <f>SUMIFS(EIAwtransport!$J$2:$J$675,EIAwtransport!$E$2:$E$675,Program_data!$E251,EIAwtransport!$I$2:$I$675,Program_data!R$2)</f>
        <v>526109473</v>
      </c>
      <c r="S251" s="5">
        <f>SUMIFS(EIAwtransport!$J$2:$J$675,EIAwtransport!$E$2:$E$675,Program_data!$E251,EIAwtransport!$I$2:$I$675,Program_data!S$2)</f>
        <v>80336233</v>
      </c>
      <c r="T251" s="5">
        <f>SUMIFS(EIAwtransport!$J$2:$J$675,EIAwtransport!$E$2:$E$675,Program_data!$E251,EIAwtransport!$I$2:$I$675,Program_data!T$2)</f>
        <v>474354</v>
      </c>
      <c r="U251" s="24">
        <f t="shared" si="113"/>
        <v>0</v>
      </c>
      <c r="V251" s="24">
        <f t="shared" si="108"/>
        <v>0</v>
      </c>
      <c r="W251" s="24">
        <f t="shared" si="114"/>
        <v>4.7383674461987877E-5</v>
      </c>
      <c r="X251" s="25">
        <f t="shared" si="115"/>
        <v>2.9952538741443493E-5</v>
      </c>
      <c r="Y251" s="8">
        <f t="shared" si="95"/>
        <v>5.3977144904589127E-3</v>
      </c>
      <c r="Z251" s="27">
        <f t="shared" si="96"/>
        <v>2.3117201535534865E-3</v>
      </c>
      <c r="AA251" s="27"/>
      <c r="AB251" s="27"/>
      <c r="AC251" s="56">
        <f t="shared" si="110"/>
        <v>0</v>
      </c>
      <c r="AD251" s="20">
        <f t="shared" si="109"/>
        <v>33654.15</v>
      </c>
      <c r="AE251" s="20">
        <f t="shared" si="102"/>
        <v>0</v>
      </c>
      <c r="AF251" s="20">
        <f t="shared" si="103"/>
        <v>710247788.55000007</v>
      </c>
      <c r="AG251">
        <f t="shared" si="104"/>
        <v>0</v>
      </c>
      <c r="AH251">
        <f t="shared" si="105"/>
        <v>0</v>
      </c>
      <c r="AI251">
        <f t="shared" si="106"/>
        <v>8473865856.8400002</v>
      </c>
    </row>
    <row r="252" spans="2:35" x14ac:dyDescent="0.25">
      <c r="B252" s="37">
        <v>2023</v>
      </c>
      <c r="C252" s="37" t="s">
        <v>241</v>
      </c>
      <c r="D252" s="37" t="s">
        <v>242</v>
      </c>
      <c r="E252" s="37" t="str">
        <f t="shared" si="112"/>
        <v>Xcel-MN</v>
      </c>
      <c r="F252" s="4" t="s">
        <v>135</v>
      </c>
      <c r="G252" s="37"/>
      <c r="H252" s="37" t="s">
        <v>289</v>
      </c>
      <c r="I252" s="33"/>
      <c r="J252" s="4" t="s">
        <v>142</v>
      </c>
      <c r="K252" s="38">
        <v>80290</v>
      </c>
      <c r="L252" s="5">
        <f t="shared" si="116"/>
        <v>80290</v>
      </c>
      <c r="M252" s="39">
        <v>100915</v>
      </c>
      <c r="N252" s="39"/>
      <c r="O252" s="8">
        <f>SUMIFS(EIAwtransport!$J$2:$J$675,EIAwtransport!$E$2:$E$675,Program_data!$E252,EIAwtransport!$H$2:$H$675,Program_data!$F252,EIAwtransport!$I$2:$I$675,Program_data!O$2)</f>
        <v>306619750</v>
      </c>
      <c r="P252" s="5">
        <f>SUMIFS(EIAwtransport!$J$2:$J$675,EIAwtransport!$E$2:$E$675,Program_data!$E252,EIAwtransport!$H$2:$H$675,Program_data!$F252,EIAwtransport!$I$2:$I$675,Program_data!P$2)</f>
        <v>35286911</v>
      </c>
      <c r="Q252" s="5">
        <f>SUMIFS(EIAwtransport!$J$2:$J$675,EIAwtransport!$E$2:$E$675,Program_data!$E252,EIAwtransport!$H$2:$H$675,Program_data!$F252,EIAwtransport!$I$2:$I$675,Program_data!Q$2)</f>
        <v>438247</v>
      </c>
      <c r="R252" s="8">
        <f>SUMIFS(EIAwtransport!$J$2:$J$675,EIAwtransport!$E$2:$E$675,Program_data!$E252,EIAwtransport!$I$2:$I$675,Program_data!R$2)</f>
        <v>526109473</v>
      </c>
      <c r="S252" s="5">
        <f>SUMIFS(EIAwtransport!$J$2:$J$675,EIAwtransport!$E$2:$E$675,Program_data!$E252,EIAwtransport!$I$2:$I$675,Program_data!S$2)</f>
        <v>80336233</v>
      </c>
      <c r="T252" s="5">
        <f>SUMIFS(EIAwtransport!$J$2:$J$675,EIAwtransport!$E$2:$E$675,Program_data!$E252,EIAwtransport!$I$2:$I$675,Program_data!T$2)</f>
        <v>474354</v>
      </c>
      <c r="U252" s="24">
        <f t="shared" si="113"/>
        <v>9.6469546935316224E-5</v>
      </c>
      <c r="V252" s="24">
        <f t="shared" si="108"/>
        <v>9.6469546935316224E-5</v>
      </c>
      <c r="W252" s="24">
        <f t="shared" si="114"/>
        <v>1.9181369121631459E-4</v>
      </c>
      <c r="X252" s="25">
        <f t="shared" si="115"/>
        <v>1.2125077007071164E-4</v>
      </c>
      <c r="Y252" s="8">
        <f t="shared" si="95"/>
        <v>2.1850469645981033E-2</v>
      </c>
      <c r="Z252" s="27">
        <f t="shared" si="96"/>
        <v>9.3580664806390181E-3</v>
      </c>
      <c r="AA252" s="27"/>
      <c r="AB252" s="27"/>
      <c r="AC252" s="56">
        <f t="shared" si="110"/>
        <v>4.0278981991748253E-3</v>
      </c>
      <c r="AD252" s="20">
        <f t="shared" si="109"/>
        <v>136235.25</v>
      </c>
      <c r="AE252" s="20">
        <f t="shared" si="102"/>
        <v>0</v>
      </c>
      <c r="AF252" s="20">
        <f t="shared" si="103"/>
        <v>710247788.55000007</v>
      </c>
      <c r="AG252">
        <f t="shared" si="104"/>
        <v>8468989.2000000011</v>
      </c>
      <c r="AH252">
        <f t="shared" si="105"/>
        <v>8468989.2000000011</v>
      </c>
      <c r="AI252">
        <f t="shared" si="106"/>
        <v>8473865856.8400002</v>
      </c>
    </row>
    <row r="253" spans="2:35" x14ac:dyDescent="0.25">
      <c r="B253" s="37">
        <v>2023</v>
      </c>
      <c r="C253" s="37" t="s">
        <v>241</v>
      </c>
      <c r="D253" s="37" t="s">
        <v>242</v>
      </c>
      <c r="E253" s="37" t="str">
        <f t="shared" si="112"/>
        <v>Xcel-MN</v>
      </c>
      <c r="F253" s="4" t="s">
        <v>135</v>
      </c>
      <c r="G253" s="37"/>
      <c r="H253" s="37" t="s">
        <v>290</v>
      </c>
      <c r="I253" s="37" t="s">
        <v>167</v>
      </c>
      <c r="J253" s="4" t="s">
        <v>155</v>
      </c>
      <c r="K253" s="38"/>
      <c r="L253" s="5">
        <f t="shared" si="116"/>
        <v>0</v>
      </c>
      <c r="M253" s="39">
        <v>20040</v>
      </c>
      <c r="N253" s="39"/>
      <c r="O253" s="8">
        <f>SUMIFS(EIAwtransport!$J$2:$J$675,EIAwtransport!$E$2:$E$675,Program_data!$E253,EIAwtransport!$H$2:$H$675,Program_data!$F253,EIAwtransport!$I$2:$I$675,Program_data!O$2)</f>
        <v>306619750</v>
      </c>
      <c r="P253" s="5">
        <f>SUMIFS(EIAwtransport!$J$2:$J$675,EIAwtransport!$E$2:$E$675,Program_data!$E253,EIAwtransport!$H$2:$H$675,Program_data!$F253,EIAwtransport!$I$2:$I$675,Program_data!P$2)</f>
        <v>35286911</v>
      </c>
      <c r="Q253" s="5">
        <f>SUMIFS(EIAwtransport!$J$2:$J$675,EIAwtransport!$E$2:$E$675,Program_data!$E253,EIAwtransport!$H$2:$H$675,Program_data!$F253,EIAwtransport!$I$2:$I$675,Program_data!Q$2)</f>
        <v>438247</v>
      </c>
      <c r="R253" s="8">
        <f>SUMIFS(EIAwtransport!$J$2:$J$675,EIAwtransport!$E$2:$E$675,Program_data!$E253,EIAwtransport!$I$2:$I$675,Program_data!R$2)</f>
        <v>526109473</v>
      </c>
      <c r="S253" s="5">
        <f>SUMIFS(EIAwtransport!$J$2:$J$675,EIAwtransport!$E$2:$E$675,Program_data!$E253,EIAwtransport!$I$2:$I$675,Program_data!S$2)</f>
        <v>80336233</v>
      </c>
      <c r="T253" s="5">
        <f>SUMIFS(EIAwtransport!$J$2:$J$675,EIAwtransport!$E$2:$E$675,Program_data!$E253,EIAwtransport!$I$2:$I$675,Program_data!T$2)</f>
        <v>474354</v>
      </c>
      <c r="U253" s="24">
        <f t="shared" si="113"/>
        <v>0</v>
      </c>
      <c r="V253" s="24">
        <f t="shared" si="108"/>
        <v>0</v>
      </c>
      <c r="W253" s="24">
        <f t="shared" si="114"/>
        <v>3.8090931694742552E-5</v>
      </c>
      <c r="X253" s="25">
        <f t="shared" si="115"/>
        <v>2.4078337533736921E-5</v>
      </c>
      <c r="Y253" s="8">
        <f t="shared" si="95"/>
        <v>4.3391310677843723E-3</v>
      </c>
      <c r="Z253" s="27">
        <f t="shared" si="96"/>
        <v>1.858352596462428E-3</v>
      </c>
      <c r="AA253" s="27"/>
      <c r="AB253" s="27"/>
      <c r="AC253" s="56">
        <f t="shared" ref="AC253:AC284" si="117">IFERROR(K253/SUMIFS($M$3:$M$1234,$E$3:$E$1234,E253,$B$3:$B$1234,B253),"")</f>
        <v>0</v>
      </c>
      <c r="AD253" s="20">
        <f t="shared" si="109"/>
        <v>27054</v>
      </c>
      <c r="AE253" s="20">
        <f t="shared" si="102"/>
        <v>0</v>
      </c>
      <c r="AF253" s="20">
        <f t="shared" si="103"/>
        <v>710247788.55000007</v>
      </c>
      <c r="AG253">
        <f t="shared" si="104"/>
        <v>0</v>
      </c>
      <c r="AH253">
        <f t="shared" si="105"/>
        <v>0</v>
      </c>
      <c r="AI253">
        <f t="shared" si="106"/>
        <v>8473865856.8400002</v>
      </c>
    </row>
    <row r="254" spans="2:35" x14ac:dyDescent="0.25">
      <c r="B254" s="4">
        <v>2023</v>
      </c>
      <c r="C254" s="4" t="s">
        <v>241</v>
      </c>
      <c r="D254" s="4" t="s">
        <v>242</v>
      </c>
      <c r="E254" s="4" t="str">
        <f t="shared" si="112"/>
        <v>Xcel-MN</v>
      </c>
      <c r="F254" s="4" t="s">
        <v>155</v>
      </c>
      <c r="G254" s="4"/>
      <c r="H254" s="4" t="s">
        <v>291</v>
      </c>
      <c r="I254" s="4" t="s">
        <v>167</v>
      </c>
      <c r="J254" s="4" t="s">
        <v>155</v>
      </c>
      <c r="K254" s="5"/>
      <c r="L254" s="5"/>
      <c r="M254" s="8">
        <v>345600</v>
      </c>
      <c r="N254" s="8"/>
      <c r="O254" s="8">
        <f>SUMIFS(EIAwtransport!$J$2:$J$675,EIAwtransport!$E$2:$E$675,Program_data!$E254,EIAwtransport!$H$2:$H$675,Program_data!$F254,EIAwtransport!$I$2:$I$675,Program_data!O$2)</f>
        <v>0</v>
      </c>
      <c r="P254" s="5">
        <f>SUMIFS(EIAwtransport!$J$2:$J$675,EIAwtransport!$E$2:$E$675,Program_data!$E254,EIAwtransport!$H$2:$H$675,Program_data!$F254,EIAwtransport!$I$2:$I$675,Program_data!P$2)</f>
        <v>0</v>
      </c>
      <c r="Q254" s="5">
        <f>SUMIFS(EIAwtransport!$J$2:$J$675,EIAwtransport!$E$2:$E$675,Program_data!$E254,EIAwtransport!$H$2:$H$675,Program_data!$F254,EIAwtransport!$I$2:$I$675,Program_data!Q$2)</f>
        <v>0</v>
      </c>
      <c r="R254" s="8">
        <f>SUMIFS(EIAwtransport!$J$2:$J$675,EIAwtransport!$E$2:$E$675,Program_data!$E254,EIAwtransport!$I$2:$I$675,Program_data!R$2)</f>
        <v>526109473</v>
      </c>
      <c r="S254" s="5">
        <f>SUMIFS(EIAwtransport!$J$2:$J$675,EIAwtransport!$E$2:$E$675,Program_data!$E254,EIAwtransport!$I$2:$I$675,Program_data!S$2)</f>
        <v>80336233</v>
      </c>
      <c r="T254" s="5">
        <f>SUMIFS(EIAwtransport!$J$2:$J$675,EIAwtransport!$E$2:$E$675,Program_data!$E254,EIAwtransport!$I$2:$I$675,Program_data!T$2)</f>
        <v>474354</v>
      </c>
      <c r="U254" s="24">
        <f t="shared" si="113"/>
        <v>0</v>
      </c>
      <c r="V254" s="24">
        <f t="shared" si="108"/>
        <v>0</v>
      </c>
      <c r="W254" s="24">
        <f t="shared" si="114"/>
        <v>6.5689750467579967E-4</v>
      </c>
      <c r="X254" s="25">
        <f t="shared" si="115"/>
        <v>4.1524318621055282E-4</v>
      </c>
      <c r="Y254" s="8" t="str">
        <f t="shared" si="95"/>
        <v/>
      </c>
      <c r="Z254" s="27">
        <f t="shared" si="96"/>
        <v>3.2048236394082594E-2</v>
      </c>
      <c r="AA254" s="27"/>
      <c r="AB254" s="27"/>
      <c r="AC254" s="56">
        <f t="shared" si="117"/>
        <v>0</v>
      </c>
      <c r="AD254" s="20">
        <f t="shared" si="109"/>
        <v>466560.00000000006</v>
      </c>
      <c r="AE254" s="20">
        <f t="shared" si="102"/>
        <v>0</v>
      </c>
      <c r="AF254" s="20">
        <f t="shared" si="103"/>
        <v>710247788.55000007</v>
      </c>
      <c r="AG254">
        <f t="shared" si="104"/>
        <v>0</v>
      </c>
      <c r="AH254">
        <f t="shared" si="105"/>
        <v>0</v>
      </c>
      <c r="AI254">
        <f t="shared" si="106"/>
        <v>8473865856.8400002</v>
      </c>
    </row>
    <row r="255" spans="2:35" x14ac:dyDescent="0.25">
      <c r="B255" s="4">
        <v>2023</v>
      </c>
      <c r="C255" s="4" t="s">
        <v>241</v>
      </c>
      <c r="D255" s="4" t="s">
        <v>242</v>
      </c>
      <c r="E255" s="4" t="str">
        <f t="shared" si="112"/>
        <v>Xcel-MN</v>
      </c>
      <c r="F255" s="4" t="s">
        <v>155</v>
      </c>
      <c r="G255" s="4"/>
      <c r="H255" s="4" t="s">
        <v>292</v>
      </c>
      <c r="I255" s="4" t="s">
        <v>167</v>
      </c>
      <c r="J255" s="4" t="s">
        <v>155</v>
      </c>
      <c r="K255" s="5">
        <v>0</v>
      </c>
      <c r="L255" s="5"/>
      <c r="M255" s="8">
        <v>0</v>
      </c>
      <c r="N255" s="8"/>
      <c r="O255" s="8">
        <f>SUMIFS(EIAwtransport!$J$2:$J$675,EIAwtransport!$E$2:$E$675,Program_data!$E255,EIAwtransport!$H$2:$H$675,Program_data!$F255,EIAwtransport!$I$2:$I$675,Program_data!O$2)</f>
        <v>0</v>
      </c>
      <c r="P255" s="5">
        <f>SUMIFS(EIAwtransport!$J$2:$J$675,EIAwtransport!$E$2:$E$675,Program_data!$E255,EIAwtransport!$H$2:$H$675,Program_data!$F255,EIAwtransport!$I$2:$I$675,Program_data!P$2)</f>
        <v>0</v>
      </c>
      <c r="Q255" s="5">
        <f>SUMIFS(EIAwtransport!$J$2:$J$675,EIAwtransport!$E$2:$E$675,Program_data!$E255,EIAwtransport!$H$2:$H$675,Program_data!$F255,EIAwtransport!$I$2:$I$675,Program_data!Q$2)</f>
        <v>0</v>
      </c>
      <c r="R255" s="8">
        <f>SUMIFS(EIAwtransport!$J$2:$J$675,EIAwtransport!$E$2:$E$675,Program_data!$E255,EIAwtransport!$I$2:$I$675,Program_data!R$2)</f>
        <v>526109473</v>
      </c>
      <c r="S255" s="5">
        <f>SUMIFS(EIAwtransport!$J$2:$J$675,EIAwtransport!$E$2:$E$675,Program_data!$E255,EIAwtransport!$I$2:$I$675,Program_data!S$2)</f>
        <v>80336233</v>
      </c>
      <c r="T255" s="5">
        <f>SUMIFS(EIAwtransport!$J$2:$J$675,EIAwtransport!$E$2:$E$675,Program_data!$E255,EIAwtransport!$I$2:$I$675,Program_data!T$2)</f>
        <v>474354</v>
      </c>
      <c r="U255" s="24">
        <f t="shared" si="113"/>
        <v>0</v>
      </c>
      <c r="V255" s="24">
        <f t="shared" si="108"/>
        <v>0</v>
      </c>
      <c r="W255" s="24">
        <f t="shared" si="114"/>
        <v>0</v>
      </c>
      <c r="X255" s="25">
        <f t="shared" si="115"/>
        <v>0</v>
      </c>
      <c r="Y255" s="8" t="str">
        <f t="shared" si="95"/>
        <v/>
      </c>
      <c r="Z255" s="27">
        <f t="shared" si="96"/>
        <v>0</v>
      </c>
      <c r="AA255" s="27"/>
      <c r="AB255" s="27"/>
      <c r="AC255" s="56">
        <f t="shared" si="117"/>
        <v>0</v>
      </c>
      <c r="AD255" s="20">
        <f t="shared" si="109"/>
        <v>0</v>
      </c>
      <c r="AE255" s="20">
        <f t="shared" si="102"/>
        <v>0</v>
      </c>
      <c r="AF255" s="20">
        <f t="shared" si="103"/>
        <v>710247788.55000007</v>
      </c>
      <c r="AG255">
        <f t="shared" si="104"/>
        <v>0</v>
      </c>
      <c r="AH255">
        <f t="shared" si="105"/>
        <v>0</v>
      </c>
      <c r="AI255">
        <f t="shared" si="106"/>
        <v>8473865856.8400002</v>
      </c>
    </row>
    <row r="256" spans="2:35" x14ac:dyDescent="0.25">
      <c r="B256" s="4">
        <v>2023</v>
      </c>
      <c r="C256" s="4" t="s">
        <v>17</v>
      </c>
      <c r="D256" s="4" t="s">
        <v>18</v>
      </c>
      <c r="E256" s="4" t="str">
        <f t="shared" ref="E256:E274" si="118">D256&amp;"-"&amp;C256</f>
        <v>Eversource-CT</v>
      </c>
      <c r="F256" s="4" t="s">
        <v>135</v>
      </c>
      <c r="G256" s="4"/>
      <c r="H256" s="4" t="s">
        <v>265</v>
      </c>
      <c r="I256" s="4"/>
      <c r="J256" s="4" t="s">
        <v>32</v>
      </c>
      <c r="K256" s="5">
        <f>167786*1.36</f>
        <v>228188.96000000002</v>
      </c>
      <c r="L256" s="5">
        <f>K256/_xlfn.XLOOKUP(C256,'Utility target list'!$K$2:$K$8,'Utility target list'!$L$2:$L$8,1,0,1)</f>
        <v>253543.2888888889</v>
      </c>
      <c r="M256" s="8">
        <v>317701</v>
      </c>
      <c r="N256" s="8">
        <v>244601</v>
      </c>
      <c r="O256" s="8">
        <f>SUMIFS(EIAwtransport!$J$2:$J$675,EIAwtransport!$E$2:$E$675,Program_data!$E256,EIAwtransport!$H$2:$H$675,Program_data!$F256,EIAwtransport!$I$2:$I$675,Program_data!O$2)</f>
        <v>287812625</v>
      </c>
      <c r="P256" s="5">
        <f>SUMIFS(EIAwtransport!$J$2:$J$675,EIAwtransport!$E$2:$E$675,Program_data!$E256,EIAwtransport!$H$2:$H$675,Program_data!$F256,EIAwtransport!$I$2:$I$675,Program_data!P$2)</f>
        <v>15853849</v>
      </c>
      <c r="Q256" s="5">
        <f>SUMIFS(EIAwtransport!$J$2:$J$675,EIAwtransport!$E$2:$E$675,Program_data!$E256,EIAwtransport!$H$2:$H$675,Program_data!$F256,EIAwtransport!$I$2:$I$675,Program_data!Q$2)</f>
        <v>219542</v>
      </c>
      <c r="R256" s="8">
        <f>SUMIFS(EIAwtransport!$J$2:$J$675,EIAwtransport!$E$2:$E$675,Program_data!$E256,EIAwtransport!$I$2:$I$675,Program_data!R$2)</f>
        <v>592601359</v>
      </c>
      <c r="S256" s="5">
        <f>SUMIFS(EIAwtransport!$J$2:$J$675,EIAwtransport!$E$2:$E$675,Program_data!$E256,EIAwtransport!$I$2:$I$675,Program_data!S$2)</f>
        <v>54590052</v>
      </c>
      <c r="T256" s="5">
        <f>SUMIFS(EIAwtransport!$J$2:$J$675,EIAwtransport!$E$2:$E$675,Program_data!$E256,EIAwtransport!$I$2:$I$675,Program_data!T$2)</f>
        <v>248834</v>
      </c>
      <c r="U256" s="24"/>
      <c r="V256" s="24">
        <f t="shared" si="108"/>
        <v>4.4831044369201986E-4</v>
      </c>
      <c r="W256" s="24"/>
      <c r="X256" s="25"/>
      <c r="Y256" s="8">
        <f t="shared" si="95"/>
        <v>0.14056853328466559</v>
      </c>
      <c r="Z256" s="27">
        <f t="shared" si="96"/>
        <v>4.8447993467626779E-2</v>
      </c>
      <c r="AA256" s="27"/>
      <c r="AB256" s="27"/>
      <c r="AC256" s="56">
        <f t="shared" si="117"/>
        <v>9.6918760225912347E-3</v>
      </c>
      <c r="AD256" s="20">
        <f t="shared" si="109"/>
        <v>428896.35000000003</v>
      </c>
      <c r="AE256" s="20">
        <f t="shared" si="102"/>
        <v>330211.35000000003</v>
      </c>
      <c r="AF256" s="20">
        <f t="shared" si="103"/>
        <v>800011834.6500001</v>
      </c>
      <c r="AG256">
        <f t="shared" si="104"/>
        <v>24069371.500800002</v>
      </c>
      <c r="AH256">
        <f t="shared" si="105"/>
        <v>26743746.112000003</v>
      </c>
      <c r="AI256">
        <f t="shared" si="106"/>
        <v>5758158684.96</v>
      </c>
    </row>
    <row r="257" spans="2:35" x14ac:dyDescent="0.25">
      <c r="B257" s="4">
        <v>2023</v>
      </c>
      <c r="C257" s="4" t="s">
        <v>17</v>
      </c>
      <c r="D257" s="4" t="s">
        <v>18</v>
      </c>
      <c r="E257" s="4" t="str">
        <f t="shared" si="118"/>
        <v>Eversource-CT</v>
      </c>
      <c r="F257" s="4" t="s">
        <v>135</v>
      </c>
      <c r="G257" s="4"/>
      <c r="H257" s="4" t="s">
        <v>277</v>
      </c>
      <c r="I257" s="4"/>
      <c r="J257" s="4" t="s">
        <v>142</v>
      </c>
      <c r="K257" s="5">
        <f>432281*1.36</f>
        <v>587902.16</v>
      </c>
      <c r="L257" s="5">
        <f>K257/_xlfn.XLOOKUP(C257,'Utility target list'!$K$2:$K$8,'Utility target list'!$L$2:$L$8,1,0,1)</f>
        <v>653224.62222222227</v>
      </c>
      <c r="M257" s="8">
        <v>3266170</v>
      </c>
      <c r="N257" s="8">
        <v>2393817</v>
      </c>
      <c r="O257" s="8">
        <f>SUMIFS(EIAwtransport!$J$2:$J$675,EIAwtransport!$E$2:$E$675,Program_data!$E257,EIAwtransport!$H$2:$H$675,Program_data!$F257,EIAwtransport!$I$2:$I$675,Program_data!O$2)</f>
        <v>287812625</v>
      </c>
      <c r="P257" s="5">
        <f>SUMIFS(EIAwtransport!$J$2:$J$675,EIAwtransport!$E$2:$E$675,Program_data!$E257,EIAwtransport!$H$2:$H$675,Program_data!$F257,EIAwtransport!$I$2:$I$675,Program_data!P$2)</f>
        <v>15853849</v>
      </c>
      <c r="Q257" s="5">
        <f>SUMIFS(EIAwtransport!$J$2:$J$675,EIAwtransport!$E$2:$E$675,Program_data!$E257,EIAwtransport!$H$2:$H$675,Program_data!$F257,EIAwtransport!$I$2:$I$675,Program_data!Q$2)</f>
        <v>219542</v>
      </c>
      <c r="R257" s="8">
        <f>SUMIFS(EIAwtransport!$J$2:$J$675,EIAwtransport!$E$2:$E$675,Program_data!$E257,EIAwtransport!$I$2:$I$675,Program_data!R$2)</f>
        <v>592601359</v>
      </c>
      <c r="S257" s="5">
        <f>SUMIFS(EIAwtransport!$J$2:$J$675,EIAwtransport!$E$2:$E$675,Program_data!$E257,EIAwtransport!$I$2:$I$675,Program_data!S$2)</f>
        <v>54590052</v>
      </c>
      <c r="T257" s="5">
        <f>SUMIFS(EIAwtransport!$J$2:$J$675,EIAwtransport!$E$2:$E$675,Program_data!$E257,EIAwtransport!$I$2:$I$675,Program_data!T$2)</f>
        <v>248834</v>
      </c>
      <c r="U257" s="24"/>
      <c r="V257" s="24">
        <f t="shared" si="108"/>
        <v>1.1550194110928804E-3</v>
      </c>
      <c r="W257" s="24"/>
      <c r="X257" s="25"/>
      <c r="Y257" s="8">
        <f t="shared" si="95"/>
        <v>1.4451346591870224</v>
      </c>
      <c r="Z257" s="27">
        <f t="shared" si="96"/>
        <v>0.49807643924368683</v>
      </c>
      <c r="AA257" s="27"/>
      <c r="AB257" s="27"/>
      <c r="AC257" s="56">
        <f t="shared" si="117"/>
        <v>2.49699847360433E-2</v>
      </c>
      <c r="AD257" s="20">
        <f t="shared" si="109"/>
        <v>4409329.5</v>
      </c>
      <c r="AE257" s="20">
        <f t="shared" si="102"/>
        <v>3231652.95</v>
      </c>
      <c r="AF257" s="20">
        <f t="shared" si="103"/>
        <v>800011834.6500001</v>
      </c>
      <c r="AG257">
        <f t="shared" si="104"/>
        <v>62011919.836800009</v>
      </c>
      <c r="AH257">
        <f t="shared" si="105"/>
        <v>68902133.15200001</v>
      </c>
      <c r="AI257">
        <f t="shared" si="106"/>
        <v>5758158684.96</v>
      </c>
    </row>
    <row r="258" spans="2:35" x14ac:dyDescent="0.25">
      <c r="B258" s="4">
        <v>2023</v>
      </c>
      <c r="C258" s="4" t="s">
        <v>17</v>
      </c>
      <c r="D258" s="4" t="s">
        <v>18</v>
      </c>
      <c r="E258" s="4" t="str">
        <f t="shared" si="118"/>
        <v>Eversource-CT</v>
      </c>
      <c r="F258" s="4" t="s">
        <v>135</v>
      </c>
      <c r="G258" s="4"/>
      <c r="H258" s="4" t="s">
        <v>202</v>
      </c>
      <c r="I258" s="4"/>
      <c r="J258" s="4" t="s">
        <v>142</v>
      </c>
      <c r="K258" s="5">
        <f>781686*1.36</f>
        <v>1063092.96</v>
      </c>
      <c r="L258" s="5">
        <f>K258/_xlfn.XLOOKUP(C258,'Utility target list'!$K$2:$K$8,'Utility target list'!$L$2:$L$8,1,0,1)</f>
        <v>1181214.3999999999</v>
      </c>
      <c r="M258" s="8">
        <v>3041653</v>
      </c>
      <c r="N258" s="8">
        <v>2538713</v>
      </c>
      <c r="O258" s="8">
        <f>SUMIFS(EIAwtransport!$J$2:$J$675,EIAwtransport!$E$2:$E$675,Program_data!$E258,EIAwtransport!$H$2:$H$675,Program_data!$F258,EIAwtransport!$I$2:$I$675,Program_data!O$2)</f>
        <v>287812625</v>
      </c>
      <c r="P258" s="5">
        <f>SUMIFS(EIAwtransport!$J$2:$J$675,EIAwtransport!$E$2:$E$675,Program_data!$E258,EIAwtransport!$H$2:$H$675,Program_data!$F258,EIAwtransport!$I$2:$I$675,Program_data!P$2)</f>
        <v>15853849</v>
      </c>
      <c r="Q258" s="5">
        <f>SUMIFS(EIAwtransport!$J$2:$J$675,EIAwtransport!$E$2:$E$675,Program_data!$E258,EIAwtransport!$H$2:$H$675,Program_data!$F258,EIAwtransport!$I$2:$I$675,Program_data!Q$2)</f>
        <v>219542</v>
      </c>
      <c r="R258" s="8">
        <f>SUMIFS(EIAwtransport!$J$2:$J$675,EIAwtransport!$E$2:$E$675,Program_data!$E258,EIAwtransport!$I$2:$I$675,Program_data!R$2)</f>
        <v>592601359</v>
      </c>
      <c r="S258" s="5">
        <f>SUMIFS(EIAwtransport!$J$2:$J$675,EIAwtransport!$E$2:$E$675,Program_data!$E258,EIAwtransport!$I$2:$I$675,Program_data!S$2)</f>
        <v>54590052</v>
      </c>
      <c r="T258" s="5">
        <f>SUMIFS(EIAwtransport!$J$2:$J$675,EIAwtransport!$E$2:$E$675,Program_data!$E258,EIAwtransport!$I$2:$I$675,Program_data!T$2)</f>
        <v>248834</v>
      </c>
      <c r="U258" s="24"/>
      <c r="V258" s="24">
        <f t="shared" si="108"/>
        <v>2.0886009410072365E-3</v>
      </c>
      <c r="W258" s="24"/>
      <c r="X258" s="25"/>
      <c r="Y258" s="8">
        <f t="shared" si="95"/>
        <v>1.3457958929021405</v>
      </c>
      <c r="Z258" s="27">
        <f t="shared" si="96"/>
        <v>0.46383859249667891</v>
      </c>
      <c r="AA258" s="27"/>
      <c r="AB258" s="27"/>
      <c r="AC258" s="56">
        <f t="shared" si="117"/>
        <v>4.5152776754885694E-2</v>
      </c>
      <c r="AD258" s="20">
        <f t="shared" si="109"/>
        <v>4106231.5500000003</v>
      </c>
      <c r="AE258" s="20">
        <f t="shared" si="102"/>
        <v>3427262.5500000003</v>
      </c>
      <c r="AF258" s="20">
        <f t="shared" si="103"/>
        <v>800011834.6500001</v>
      </c>
      <c r="AG258">
        <f t="shared" si="104"/>
        <v>112135045.4208</v>
      </c>
      <c r="AH258">
        <f t="shared" si="105"/>
        <v>124594494.912</v>
      </c>
      <c r="AI258">
        <f t="shared" si="106"/>
        <v>5758158684.96</v>
      </c>
    </row>
    <row r="259" spans="2:35" x14ac:dyDescent="0.25">
      <c r="B259" s="4">
        <v>2023</v>
      </c>
      <c r="C259" s="4" t="s">
        <v>17</v>
      </c>
      <c r="D259" s="4" t="s">
        <v>18</v>
      </c>
      <c r="E259" s="4" t="str">
        <f t="shared" si="118"/>
        <v>Eversource-CT</v>
      </c>
      <c r="F259" s="4" t="s">
        <v>143</v>
      </c>
      <c r="G259" s="4">
        <v>1</v>
      </c>
      <c r="H259" s="4" t="s">
        <v>293</v>
      </c>
      <c r="I259" s="4"/>
      <c r="J259" s="4" t="s">
        <v>108</v>
      </c>
      <c r="K259" s="5">
        <f>572977*1.36</f>
        <v>779248.72000000009</v>
      </c>
      <c r="L259" s="5">
        <f>K259/_xlfn.XLOOKUP(C259,'Utility target list'!$K$2:$K$8,'Utility target list'!$L$2:$L$8,1,0,1)</f>
        <v>865831.91111111117</v>
      </c>
      <c r="M259" s="8">
        <v>5046221</v>
      </c>
      <c r="N259" s="8">
        <v>4114002</v>
      </c>
      <c r="O259" s="8">
        <f>SUMIFS(EIAwtransport!$J$2:$J$675,EIAwtransport!$E$2:$E$675,Program_data!$E259,EIAwtransport!$H$2:$H$675,Program_data!$F259,EIAwtransport!$I$2:$I$675,Program_data!O$2)</f>
        <v>0</v>
      </c>
      <c r="P259" s="5">
        <f>SUMIFS(EIAwtransport!$J$2:$J$675,EIAwtransport!$E$2:$E$675,Program_data!$E259,EIAwtransport!$H$2:$H$675,Program_data!$F259,EIAwtransport!$I$2:$I$675,Program_data!P$2)</f>
        <v>0</v>
      </c>
      <c r="Q259" s="5">
        <f>SUMIFS(EIAwtransport!$J$2:$J$675,EIAwtransport!$E$2:$E$675,Program_data!$E259,EIAwtransport!$H$2:$H$675,Program_data!$F259,EIAwtransport!$I$2:$I$675,Program_data!Q$2)</f>
        <v>0</v>
      </c>
      <c r="R259" s="8">
        <f>SUMIFS(EIAwtransport!$J$2:$J$675,EIAwtransport!$E$2:$E$675,Program_data!$E259,EIAwtransport!$I$2:$I$675,Program_data!R$2)</f>
        <v>592601359</v>
      </c>
      <c r="S259" s="5">
        <f>SUMIFS(EIAwtransport!$J$2:$J$675,EIAwtransport!$E$2:$E$675,Program_data!$E259,EIAwtransport!$I$2:$I$675,Program_data!S$2)</f>
        <v>54590052</v>
      </c>
      <c r="T259" s="5">
        <f>SUMIFS(EIAwtransport!$J$2:$J$675,EIAwtransport!$E$2:$E$675,Program_data!$E259,EIAwtransport!$I$2:$I$675,Program_data!T$2)</f>
        <v>248834</v>
      </c>
      <c r="U259" s="24"/>
      <c r="V259" s="24">
        <f t="shared" si="108"/>
        <v>1.5309475945270907E-3</v>
      </c>
      <c r="W259" s="24"/>
      <c r="X259" s="25"/>
      <c r="Y259" s="8">
        <f t="shared" si="95"/>
        <v>6.4757514134896486</v>
      </c>
      <c r="Z259" s="27">
        <f t="shared" si="96"/>
        <v>0.76952632205816496</v>
      </c>
      <c r="AA259" s="27"/>
      <c r="AB259" s="27"/>
      <c r="AC259" s="56">
        <f t="shared" si="117"/>
        <v>3.3097052482306377E-2</v>
      </c>
      <c r="AD259" s="20">
        <f t="shared" si="109"/>
        <v>6812398.3500000006</v>
      </c>
      <c r="AE259" s="20">
        <f t="shared" si="102"/>
        <v>5553902.7000000002</v>
      </c>
      <c r="AF259" s="20">
        <f t="shared" si="103"/>
        <v>800011834.6500001</v>
      </c>
      <c r="AG259">
        <f t="shared" si="104"/>
        <v>82195154.98560001</v>
      </c>
      <c r="AH259">
        <f t="shared" si="105"/>
        <v>91327949.984000012</v>
      </c>
      <c r="AI259">
        <f t="shared" si="106"/>
        <v>5758158684.96</v>
      </c>
    </row>
    <row r="260" spans="2:35" x14ac:dyDescent="0.25">
      <c r="B260" s="4">
        <v>2023</v>
      </c>
      <c r="C260" s="4" t="s">
        <v>17</v>
      </c>
      <c r="D260" s="4" t="s">
        <v>18</v>
      </c>
      <c r="E260" s="4" t="str">
        <f t="shared" si="118"/>
        <v>Eversource-CT</v>
      </c>
      <c r="F260" s="4" t="s">
        <v>135</v>
      </c>
      <c r="G260" s="4"/>
      <c r="H260" s="4" t="s">
        <v>294</v>
      </c>
      <c r="I260" s="4"/>
      <c r="J260" s="4" t="s">
        <v>142</v>
      </c>
      <c r="K260" s="5">
        <f>280096*1.36</f>
        <v>380930.56000000006</v>
      </c>
      <c r="L260" s="5">
        <f>K260/_xlfn.XLOOKUP(C260,'Utility target list'!$K$2:$K$8,'Utility target list'!$L$2:$L$8,1,0,1)</f>
        <v>423256.17777777783</v>
      </c>
      <c r="M260" s="8">
        <v>10000</v>
      </c>
      <c r="N260" s="8">
        <v>0</v>
      </c>
      <c r="O260" s="8">
        <f>SUMIFS(EIAwtransport!$J$2:$J$675,EIAwtransport!$E$2:$E$675,Program_data!$E260,EIAwtransport!$H$2:$H$675,Program_data!$F260,EIAwtransport!$I$2:$I$675,Program_data!O$2)</f>
        <v>287812625</v>
      </c>
      <c r="P260" s="5">
        <f>SUMIFS(EIAwtransport!$J$2:$J$675,EIAwtransport!$E$2:$E$675,Program_data!$E260,EIAwtransport!$H$2:$H$675,Program_data!$F260,EIAwtransport!$I$2:$I$675,Program_data!P$2)</f>
        <v>15853849</v>
      </c>
      <c r="Q260" s="5">
        <f>SUMIFS(EIAwtransport!$J$2:$J$675,EIAwtransport!$E$2:$E$675,Program_data!$E260,EIAwtransport!$H$2:$H$675,Program_data!$F260,EIAwtransport!$I$2:$I$675,Program_data!Q$2)</f>
        <v>219542</v>
      </c>
      <c r="R260" s="8">
        <f>SUMIFS(EIAwtransport!$J$2:$J$675,EIAwtransport!$E$2:$E$675,Program_data!$E260,EIAwtransport!$I$2:$I$675,Program_data!R$2)</f>
        <v>592601359</v>
      </c>
      <c r="S260" s="5">
        <f>SUMIFS(EIAwtransport!$J$2:$J$675,EIAwtransport!$E$2:$E$675,Program_data!$E260,EIAwtransport!$I$2:$I$675,Program_data!S$2)</f>
        <v>54590052</v>
      </c>
      <c r="T260" s="5">
        <f>SUMIFS(EIAwtransport!$J$2:$J$675,EIAwtransport!$E$2:$E$675,Program_data!$E260,EIAwtransport!$I$2:$I$675,Program_data!T$2)</f>
        <v>248834</v>
      </c>
      <c r="U260" s="24"/>
      <c r="V260" s="24">
        <f t="shared" si="108"/>
        <v>7.4839356106206722E-4</v>
      </c>
      <c r="W260" s="24"/>
      <c r="X260" s="25"/>
      <c r="Y260" s="8">
        <f t="shared" ref="Y260:Y323" si="119">IFERROR(M260/SUMIFS($K$3:$K$1492,$E$3:$E$1492,E260,$B$3:$B$1492,B260,$F$3:$F$1492,F260,$A$3:$A$1492,""),"")</f>
        <v>4.424554322607281E-3</v>
      </c>
      <c r="Z260" s="27">
        <f t="shared" ref="Z260:Z323" si="120">IFERROR(M260/SUMIFS($K$3:$K$1492,$E$3:$E$1492,E260,$B$3:$B$1492,B260,$A$3:$A$1492,""),"")</f>
        <v>1.5249556491048746E-3</v>
      </c>
      <c r="AA260" s="27"/>
      <c r="AB260" s="27"/>
      <c r="AC260" s="56">
        <f t="shared" si="117"/>
        <v>1.6179274232794836E-2</v>
      </c>
      <c r="AD260" s="20">
        <f t="shared" si="109"/>
        <v>13500</v>
      </c>
      <c r="AE260" s="20">
        <f t="shared" si="102"/>
        <v>0</v>
      </c>
      <c r="AF260" s="20">
        <f t="shared" si="103"/>
        <v>800011834.6500001</v>
      </c>
      <c r="AG260">
        <f t="shared" si="104"/>
        <v>40180555.468800008</v>
      </c>
      <c r="AH260">
        <f t="shared" si="105"/>
        <v>44645061.632000007</v>
      </c>
      <c r="AI260">
        <f t="shared" si="106"/>
        <v>5758158684.96</v>
      </c>
    </row>
    <row r="261" spans="2:35" x14ac:dyDescent="0.25">
      <c r="B261" s="4">
        <v>2023</v>
      </c>
      <c r="C261" s="4" t="s">
        <v>17</v>
      </c>
      <c r="D261" s="4" t="s">
        <v>18</v>
      </c>
      <c r="E261" s="4" t="str">
        <f t="shared" si="118"/>
        <v>Eversource-CT</v>
      </c>
      <c r="F261" s="4" t="s">
        <v>146</v>
      </c>
      <c r="G261" s="4"/>
      <c r="H261" s="4" t="s">
        <v>295</v>
      </c>
      <c r="I261" s="4"/>
      <c r="J261" s="4" t="s">
        <v>142</v>
      </c>
      <c r="K261" s="5">
        <f>759555*1.36</f>
        <v>1032994.8</v>
      </c>
      <c r="L261" s="5">
        <f>K261/_xlfn.XLOOKUP(C261,'Utility target list'!$K$2:$K$8,'Utility target list'!$L$2:$L$8,1,0,1)</f>
        <v>1147772</v>
      </c>
      <c r="M261" s="8">
        <v>4160543</v>
      </c>
      <c r="N261" s="8">
        <v>3337281</v>
      </c>
      <c r="O261" s="8">
        <f>SUMIFS(EIAwtransport!$J$2:$J$675,EIAwtransport!$E$2:$E$675,Program_data!$E261,EIAwtransport!$H$2:$H$675,Program_data!$F261,EIAwtransport!$I$2:$I$675,Program_data!O$2)</f>
        <v>304788734</v>
      </c>
      <c r="P261" s="5">
        <f>SUMIFS(EIAwtransport!$J$2:$J$675,EIAwtransport!$E$2:$E$675,Program_data!$E261,EIAwtransport!$H$2:$H$675,Program_data!$F261,EIAwtransport!$I$2:$I$675,Program_data!P$2)</f>
        <v>38736203</v>
      </c>
      <c r="Q261" s="5">
        <f>SUMIFS(EIAwtransport!$J$2:$J$675,EIAwtransport!$E$2:$E$675,Program_data!$E261,EIAwtransport!$H$2:$H$675,Program_data!$F261,EIAwtransport!$I$2:$I$675,Program_data!Q$2)</f>
        <v>29292</v>
      </c>
      <c r="R261" s="8">
        <f>SUMIFS(EIAwtransport!$J$2:$J$675,EIAwtransport!$E$2:$E$675,Program_data!$E261,EIAwtransport!$I$2:$I$675,Program_data!R$2)</f>
        <v>592601359</v>
      </c>
      <c r="S261" s="5">
        <f>SUMIFS(EIAwtransport!$J$2:$J$675,EIAwtransport!$E$2:$E$675,Program_data!$E261,EIAwtransport!$I$2:$I$675,Program_data!S$2)</f>
        <v>54590052</v>
      </c>
      <c r="T261" s="5">
        <f>SUMIFS(EIAwtransport!$J$2:$J$675,EIAwtransport!$E$2:$E$675,Program_data!$E261,EIAwtransport!$I$2:$I$675,Program_data!T$2)</f>
        <v>248834</v>
      </c>
      <c r="U261" s="24"/>
      <c r="V261" s="24">
        <f t="shared" si="108"/>
        <v>2.0294687224112389E-3</v>
      </c>
      <c r="W261" s="24"/>
      <c r="X261" s="25"/>
      <c r="Y261" s="8">
        <f t="shared" si="119"/>
        <v>1.1825756911679148</v>
      </c>
      <c r="Z261" s="27">
        <f t="shared" si="120"/>
        <v>0.63446435511937427</v>
      </c>
      <c r="AA261" s="27"/>
      <c r="AB261" s="27"/>
      <c r="AC261" s="56">
        <f t="shared" si="117"/>
        <v>4.3874416771001658E-2</v>
      </c>
      <c r="AD261" s="20">
        <f t="shared" si="109"/>
        <v>5616733.0500000007</v>
      </c>
      <c r="AE261" s="20">
        <f t="shared" si="102"/>
        <v>4505329.3500000006</v>
      </c>
      <c r="AF261" s="20">
        <f t="shared" si="103"/>
        <v>800011834.6500001</v>
      </c>
      <c r="AG261">
        <f t="shared" si="104"/>
        <v>108960291.50400001</v>
      </c>
      <c r="AH261">
        <f t="shared" si="105"/>
        <v>121066990.56</v>
      </c>
      <c r="AI261">
        <f t="shared" si="106"/>
        <v>5758158684.96</v>
      </c>
    </row>
    <row r="262" spans="2:35" x14ac:dyDescent="0.25">
      <c r="B262" s="4">
        <v>2023</v>
      </c>
      <c r="C262" s="4" t="s">
        <v>17</v>
      </c>
      <c r="D262" s="4" t="s">
        <v>18</v>
      </c>
      <c r="E262" s="4" t="str">
        <f t="shared" si="118"/>
        <v>Eversource-CT</v>
      </c>
      <c r="F262" s="4" t="s">
        <v>146</v>
      </c>
      <c r="G262" s="4"/>
      <c r="H262" s="4" t="s">
        <v>296</v>
      </c>
      <c r="I262" s="4"/>
      <c r="J262" s="4" t="s">
        <v>68</v>
      </c>
      <c r="K262" s="5">
        <f>978977*1.36</f>
        <v>1331408.7200000002</v>
      </c>
      <c r="L262" s="5">
        <f>K262/_xlfn.XLOOKUP(C262,'Utility target list'!$K$2:$K$8,'Utility target list'!$L$2:$L$8,1,0,1)</f>
        <v>1479343.0222222225</v>
      </c>
      <c r="M262" s="8">
        <v>3825065</v>
      </c>
      <c r="N262" s="8">
        <v>2935428</v>
      </c>
      <c r="O262" s="8">
        <f>SUMIFS(EIAwtransport!$J$2:$J$675,EIAwtransport!$E$2:$E$675,Program_data!$E262,EIAwtransport!$H$2:$H$675,Program_data!$F262,EIAwtransport!$I$2:$I$675,Program_data!O$2)</f>
        <v>304788734</v>
      </c>
      <c r="P262" s="5">
        <f>SUMIFS(EIAwtransport!$J$2:$J$675,EIAwtransport!$E$2:$E$675,Program_data!$E262,EIAwtransport!$H$2:$H$675,Program_data!$F262,EIAwtransport!$I$2:$I$675,Program_data!P$2)</f>
        <v>38736203</v>
      </c>
      <c r="Q262" s="5">
        <f>SUMIFS(EIAwtransport!$J$2:$J$675,EIAwtransport!$E$2:$E$675,Program_data!$E262,EIAwtransport!$H$2:$H$675,Program_data!$F262,EIAwtransport!$I$2:$I$675,Program_data!Q$2)</f>
        <v>29292</v>
      </c>
      <c r="R262" s="8">
        <f>SUMIFS(EIAwtransport!$J$2:$J$675,EIAwtransport!$E$2:$E$675,Program_data!$E262,EIAwtransport!$I$2:$I$675,Program_data!R$2)</f>
        <v>592601359</v>
      </c>
      <c r="S262" s="5">
        <f>SUMIFS(EIAwtransport!$J$2:$J$675,EIAwtransport!$E$2:$E$675,Program_data!$E262,EIAwtransport!$I$2:$I$675,Program_data!S$2)</f>
        <v>54590052</v>
      </c>
      <c r="T262" s="5">
        <f>SUMIFS(EIAwtransport!$J$2:$J$675,EIAwtransport!$E$2:$E$675,Program_data!$E262,EIAwtransport!$I$2:$I$675,Program_data!T$2)</f>
        <v>248834</v>
      </c>
      <c r="U262" s="24"/>
      <c r="V262" s="24">
        <f t="shared" si="108"/>
        <v>2.6157463270730726E-3</v>
      </c>
      <c r="W262" s="24"/>
      <c r="X262" s="25"/>
      <c r="Y262" s="8">
        <f t="shared" si="119"/>
        <v>1.087220799337298</v>
      </c>
      <c r="Z262" s="27">
        <f t="shared" si="120"/>
        <v>0.5833054479943337</v>
      </c>
      <c r="AA262" s="27"/>
      <c r="AB262" s="27"/>
      <c r="AC262" s="56">
        <f t="shared" si="117"/>
        <v>5.65489594660359E-2</v>
      </c>
      <c r="AD262" s="20">
        <f t="shared" si="109"/>
        <v>5163837.75</v>
      </c>
      <c r="AE262" s="20">
        <f t="shared" si="102"/>
        <v>3962827.8000000003</v>
      </c>
      <c r="AF262" s="20">
        <f t="shared" si="103"/>
        <v>800011834.6500001</v>
      </c>
      <c r="AG262">
        <f t="shared" si="104"/>
        <v>140436991.78560004</v>
      </c>
      <c r="AH262">
        <f t="shared" si="105"/>
        <v>156041101.98400003</v>
      </c>
      <c r="AI262">
        <f t="shared" si="106"/>
        <v>5758158684.96</v>
      </c>
    </row>
    <row r="263" spans="2:35" x14ac:dyDescent="0.25">
      <c r="B263" s="4">
        <v>2023</v>
      </c>
      <c r="C263" s="4" t="s">
        <v>17</v>
      </c>
      <c r="D263" s="4" t="s">
        <v>18</v>
      </c>
      <c r="E263" s="4" t="str">
        <f t="shared" si="118"/>
        <v>Eversource-CT</v>
      </c>
      <c r="F263" s="4" t="s">
        <v>146</v>
      </c>
      <c r="G263" s="4"/>
      <c r="H263" s="4" t="s">
        <v>297</v>
      </c>
      <c r="I263" s="4"/>
      <c r="J263" s="4" t="s">
        <v>75</v>
      </c>
      <c r="K263" s="5">
        <f>659498*1.36</f>
        <v>896917.28</v>
      </c>
      <c r="L263" s="5">
        <f>K263/_xlfn.XLOOKUP(C263,'Utility target list'!$K$2:$K$8,'Utility target list'!$L$2:$L$8,1,0,1)</f>
        <v>996574.75555555557</v>
      </c>
      <c r="M263" s="8">
        <v>708372</v>
      </c>
      <c r="N263" s="8">
        <v>489832</v>
      </c>
      <c r="O263" s="8">
        <f>SUMIFS(EIAwtransport!$J$2:$J$675,EIAwtransport!$E$2:$E$675,Program_data!$E263,EIAwtransport!$H$2:$H$675,Program_data!$F263,EIAwtransport!$I$2:$I$675,Program_data!O$2)</f>
        <v>304788734</v>
      </c>
      <c r="P263" s="5">
        <f>SUMIFS(EIAwtransport!$J$2:$J$675,EIAwtransport!$E$2:$E$675,Program_data!$E263,EIAwtransport!$H$2:$H$675,Program_data!$F263,EIAwtransport!$I$2:$I$675,Program_data!P$2)</f>
        <v>38736203</v>
      </c>
      <c r="Q263" s="5">
        <f>SUMIFS(EIAwtransport!$J$2:$J$675,EIAwtransport!$E$2:$E$675,Program_data!$E263,EIAwtransport!$H$2:$H$675,Program_data!$F263,EIAwtransport!$I$2:$I$675,Program_data!Q$2)</f>
        <v>29292</v>
      </c>
      <c r="R263" s="8">
        <f>SUMIFS(EIAwtransport!$J$2:$J$675,EIAwtransport!$E$2:$E$675,Program_data!$E263,EIAwtransport!$I$2:$I$675,Program_data!R$2)</f>
        <v>592601359</v>
      </c>
      <c r="S263" s="5">
        <f>SUMIFS(EIAwtransport!$J$2:$J$675,EIAwtransport!$E$2:$E$675,Program_data!$E263,EIAwtransport!$I$2:$I$675,Program_data!S$2)</f>
        <v>54590052</v>
      </c>
      <c r="T263" s="5">
        <f>SUMIFS(EIAwtransport!$J$2:$J$675,EIAwtransport!$E$2:$E$675,Program_data!$E263,EIAwtransport!$I$2:$I$675,Program_data!T$2)</f>
        <v>248834</v>
      </c>
      <c r="U263" s="24"/>
      <c r="V263" s="24">
        <f t="shared" si="108"/>
        <v>1.7621246170359845E-3</v>
      </c>
      <c r="W263" s="24"/>
      <c r="X263" s="25"/>
      <c r="Y263" s="8">
        <f t="shared" si="119"/>
        <v>0.20134475415925232</v>
      </c>
      <c r="Z263" s="27">
        <f t="shared" si="120"/>
        <v>0.10802358830677183</v>
      </c>
      <c r="AA263" s="27"/>
      <c r="AB263" s="27"/>
      <c r="AC263" s="56">
        <f t="shared" si="117"/>
        <v>3.8094792492501597E-2</v>
      </c>
      <c r="AD263" s="20">
        <f t="shared" si="109"/>
        <v>956302.20000000007</v>
      </c>
      <c r="AE263" s="20">
        <f t="shared" si="102"/>
        <v>661273.20000000007</v>
      </c>
      <c r="AF263" s="20">
        <f t="shared" si="103"/>
        <v>800011834.6500001</v>
      </c>
      <c r="AG263">
        <f t="shared" si="104"/>
        <v>94606834.694400012</v>
      </c>
      <c r="AH263">
        <f t="shared" si="105"/>
        <v>105118705.21600001</v>
      </c>
      <c r="AI263">
        <f t="shared" si="106"/>
        <v>5758158684.96</v>
      </c>
    </row>
    <row r="264" spans="2:35" x14ac:dyDescent="0.25">
      <c r="B264" s="4">
        <v>2023</v>
      </c>
      <c r="C264" s="4" t="s">
        <v>17</v>
      </c>
      <c r="D264" s="4" t="s">
        <v>18</v>
      </c>
      <c r="E264" s="4" t="str">
        <f t="shared" si="118"/>
        <v>Eversource-CT</v>
      </c>
      <c r="F264" s="4" t="s">
        <v>146</v>
      </c>
      <c r="G264" s="4"/>
      <c r="H264" s="4" t="s">
        <v>75</v>
      </c>
      <c r="I264" s="4"/>
      <c r="J264" s="4" t="s">
        <v>142</v>
      </c>
      <c r="K264" s="5">
        <f>188885*1.36</f>
        <v>256883.6</v>
      </c>
      <c r="L264" s="5">
        <f>K264/_xlfn.XLOOKUP(C264,'Utility target list'!$K$2:$K$8,'Utility target list'!$L$2:$L$8,1,0,1)</f>
        <v>285426.22222222225</v>
      </c>
      <c r="M264" s="8">
        <v>733133</v>
      </c>
      <c r="N264" s="8">
        <v>602044</v>
      </c>
      <c r="O264" s="8">
        <f>SUMIFS(EIAwtransport!$J$2:$J$675,EIAwtransport!$E$2:$E$675,Program_data!$E264,EIAwtransport!$H$2:$H$675,Program_data!$F264,EIAwtransport!$I$2:$I$675,Program_data!O$2)</f>
        <v>304788734</v>
      </c>
      <c r="P264" s="5">
        <f>SUMIFS(EIAwtransport!$J$2:$J$675,EIAwtransport!$E$2:$E$675,Program_data!$E264,EIAwtransport!$H$2:$H$675,Program_data!$F264,EIAwtransport!$I$2:$I$675,Program_data!P$2)</f>
        <v>38736203</v>
      </c>
      <c r="Q264" s="5">
        <f>SUMIFS(EIAwtransport!$J$2:$J$675,EIAwtransport!$E$2:$E$675,Program_data!$E264,EIAwtransport!$H$2:$H$675,Program_data!$F264,EIAwtransport!$I$2:$I$675,Program_data!Q$2)</f>
        <v>29292</v>
      </c>
      <c r="R264" s="8">
        <f>SUMIFS(EIAwtransport!$J$2:$J$675,EIAwtransport!$E$2:$E$675,Program_data!$E264,EIAwtransport!$I$2:$I$675,Program_data!R$2)</f>
        <v>592601359</v>
      </c>
      <c r="S264" s="5">
        <f>SUMIFS(EIAwtransport!$J$2:$J$675,EIAwtransport!$E$2:$E$675,Program_data!$E264,EIAwtransport!$I$2:$I$675,Program_data!S$2)</f>
        <v>54590052</v>
      </c>
      <c r="T264" s="5">
        <f>SUMIFS(EIAwtransport!$J$2:$J$675,EIAwtransport!$E$2:$E$675,Program_data!$E264,EIAwtransport!$I$2:$I$675,Program_data!T$2)</f>
        <v>248834</v>
      </c>
      <c r="U264" s="24"/>
      <c r="V264" s="24">
        <f t="shared" si="108"/>
        <v>5.046852428496249E-4</v>
      </c>
      <c r="W264" s="24"/>
      <c r="X264" s="25"/>
      <c r="Y264" s="8">
        <f t="shared" si="119"/>
        <v>0.20838271932125371</v>
      </c>
      <c r="Z264" s="27">
        <f t="shared" si="120"/>
        <v>0.1117995309895204</v>
      </c>
      <c r="AA264" s="27"/>
      <c r="AB264" s="27"/>
      <c r="AC264" s="56">
        <f t="shared" si="117"/>
        <v>1.0910624262615147E-2</v>
      </c>
      <c r="AD264" s="20">
        <f t="shared" si="109"/>
        <v>989729.55</v>
      </c>
      <c r="AE264" s="20">
        <f t="shared" si="102"/>
        <v>812759.4</v>
      </c>
      <c r="AF264" s="20">
        <f t="shared" si="103"/>
        <v>800011834.6500001</v>
      </c>
      <c r="AG264">
        <f t="shared" si="104"/>
        <v>27096082.128000002</v>
      </c>
      <c r="AH264">
        <f t="shared" si="105"/>
        <v>30106757.920000006</v>
      </c>
      <c r="AI264">
        <f t="shared" si="106"/>
        <v>5758158684.96</v>
      </c>
    </row>
    <row r="265" spans="2:35" x14ac:dyDescent="0.25">
      <c r="B265" s="4">
        <v>2023</v>
      </c>
      <c r="C265" s="4" t="s">
        <v>17</v>
      </c>
      <c r="D265" s="4" t="s">
        <v>18</v>
      </c>
      <c r="E265" s="4" t="str">
        <f t="shared" si="118"/>
        <v>Eversource-CT</v>
      </c>
      <c r="F265" s="4" t="s">
        <v>135</v>
      </c>
      <c r="G265" s="4"/>
      <c r="H265" s="4" t="s">
        <v>298</v>
      </c>
      <c r="I265" s="4"/>
      <c r="J265" s="4" t="s">
        <v>155</v>
      </c>
      <c r="K265" s="5"/>
      <c r="L265" s="5">
        <f>K265/_xlfn.XLOOKUP(C265,'Utility target list'!$K$2:$K$8,'Utility target list'!$L$2:$L$8,1,0,1)</f>
        <v>0</v>
      </c>
      <c r="M265" s="8">
        <v>0</v>
      </c>
      <c r="N265" s="8">
        <v>0</v>
      </c>
      <c r="O265" s="8">
        <f>SUMIFS(EIAwtransport!$J$2:$J$675,EIAwtransport!$E$2:$E$675,Program_data!$E265,EIAwtransport!$H$2:$H$675,Program_data!$F265,EIAwtransport!$I$2:$I$675,Program_data!O$2)</f>
        <v>287812625</v>
      </c>
      <c r="P265" s="5">
        <f>SUMIFS(EIAwtransport!$J$2:$J$675,EIAwtransport!$E$2:$E$675,Program_data!$E265,EIAwtransport!$H$2:$H$675,Program_data!$F265,EIAwtransport!$I$2:$I$675,Program_data!P$2)</f>
        <v>15853849</v>
      </c>
      <c r="Q265" s="5">
        <f>SUMIFS(EIAwtransport!$J$2:$J$675,EIAwtransport!$E$2:$E$675,Program_data!$E265,EIAwtransport!$H$2:$H$675,Program_data!$F265,EIAwtransport!$I$2:$I$675,Program_data!Q$2)</f>
        <v>219542</v>
      </c>
      <c r="R265" s="8">
        <f>SUMIFS(EIAwtransport!$J$2:$J$675,EIAwtransport!$E$2:$E$675,Program_data!$E265,EIAwtransport!$I$2:$I$675,Program_data!R$2)</f>
        <v>592601359</v>
      </c>
      <c r="S265" s="5">
        <f>SUMIFS(EIAwtransport!$J$2:$J$675,EIAwtransport!$E$2:$E$675,Program_data!$E265,EIAwtransport!$I$2:$I$675,Program_data!S$2)</f>
        <v>54590052</v>
      </c>
      <c r="T265" s="5">
        <f>SUMIFS(EIAwtransport!$J$2:$J$675,EIAwtransport!$E$2:$E$675,Program_data!$E265,EIAwtransport!$I$2:$I$675,Program_data!T$2)</f>
        <v>248834</v>
      </c>
      <c r="U265" s="24"/>
      <c r="V265" s="24">
        <f t="shared" si="108"/>
        <v>0</v>
      </c>
      <c r="W265" s="24"/>
      <c r="X265" s="25"/>
      <c r="Y265" s="8">
        <f t="shared" si="119"/>
        <v>0</v>
      </c>
      <c r="Z265" s="27">
        <f t="shared" si="120"/>
        <v>0</v>
      </c>
      <c r="AA265" s="27"/>
      <c r="AB265" s="27"/>
      <c r="AC265" s="56">
        <f t="shared" si="117"/>
        <v>0</v>
      </c>
      <c r="AD265" s="20">
        <f t="shared" si="109"/>
        <v>0</v>
      </c>
      <c r="AE265" s="20">
        <f t="shared" si="102"/>
        <v>0</v>
      </c>
      <c r="AF265" s="20">
        <f t="shared" si="103"/>
        <v>800011834.6500001</v>
      </c>
      <c r="AG265">
        <f t="shared" si="104"/>
        <v>0</v>
      </c>
      <c r="AH265">
        <f t="shared" si="105"/>
        <v>0</v>
      </c>
      <c r="AI265">
        <f t="shared" si="106"/>
        <v>5758158684.96</v>
      </c>
    </row>
    <row r="266" spans="2:35" x14ac:dyDescent="0.25">
      <c r="B266" s="4">
        <v>2023</v>
      </c>
      <c r="C266" s="4" t="s">
        <v>17</v>
      </c>
      <c r="D266" s="4" t="s">
        <v>18</v>
      </c>
      <c r="E266" s="4" t="str">
        <f t="shared" si="118"/>
        <v>Eversource-CT</v>
      </c>
      <c r="F266" s="4" t="s">
        <v>146</v>
      </c>
      <c r="G266" s="4"/>
      <c r="H266" s="4" t="s">
        <v>299</v>
      </c>
      <c r="I266" s="4"/>
      <c r="J266" s="4" t="s">
        <v>155</v>
      </c>
      <c r="K266" s="5"/>
      <c r="L266" s="5">
        <f>K266/_xlfn.XLOOKUP(C266,'Utility target list'!$K$2:$K$8,'Utility target list'!$L$2:$L$8,1,0,1)</f>
        <v>0</v>
      </c>
      <c r="M266" s="8">
        <v>0</v>
      </c>
      <c r="N266" s="8">
        <v>0</v>
      </c>
      <c r="O266" s="8">
        <f>SUMIFS(EIAwtransport!$J$2:$J$675,EIAwtransport!$E$2:$E$675,Program_data!$E266,EIAwtransport!$H$2:$H$675,Program_data!$F266,EIAwtransport!$I$2:$I$675,Program_data!O$2)</f>
        <v>304788734</v>
      </c>
      <c r="P266" s="5">
        <f>SUMIFS(EIAwtransport!$J$2:$J$675,EIAwtransport!$E$2:$E$675,Program_data!$E266,EIAwtransport!$H$2:$H$675,Program_data!$F266,EIAwtransport!$I$2:$I$675,Program_data!P$2)</f>
        <v>38736203</v>
      </c>
      <c r="Q266" s="5">
        <f>SUMIFS(EIAwtransport!$J$2:$J$675,EIAwtransport!$E$2:$E$675,Program_data!$E266,EIAwtransport!$H$2:$H$675,Program_data!$F266,EIAwtransport!$I$2:$I$675,Program_data!Q$2)</f>
        <v>29292</v>
      </c>
      <c r="R266" s="8">
        <f>SUMIFS(EIAwtransport!$J$2:$J$675,EIAwtransport!$E$2:$E$675,Program_data!$E266,EIAwtransport!$I$2:$I$675,Program_data!R$2)</f>
        <v>592601359</v>
      </c>
      <c r="S266" s="5">
        <f>SUMIFS(EIAwtransport!$J$2:$J$675,EIAwtransport!$E$2:$E$675,Program_data!$E266,EIAwtransport!$I$2:$I$675,Program_data!S$2)</f>
        <v>54590052</v>
      </c>
      <c r="T266" s="5">
        <f>SUMIFS(EIAwtransport!$J$2:$J$675,EIAwtransport!$E$2:$E$675,Program_data!$E266,EIAwtransport!$I$2:$I$675,Program_data!T$2)</f>
        <v>248834</v>
      </c>
      <c r="U266" s="24"/>
      <c r="V266" s="24">
        <f t="shared" si="108"/>
        <v>0</v>
      </c>
      <c r="W266" s="24"/>
      <c r="X266" s="25"/>
      <c r="Y266" s="8">
        <f t="shared" si="119"/>
        <v>0</v>
      </c>
      <c r="Z266" s="27">
        <f t="shared" si="120"/>
        <v>0</v>
      </c>
      <c r="AA266" s="27"/>
      <c r="AB266" s="27"/>
      <c r="AC266" s="56">
        <f t="shared" si="117"/>
        <v>0</v>
      </c>
      <c r="AD266" s="20">
        <f t="shared" si="109"/>
        <v>0</v>
      </c>
      <c r="AE266" s="20">
        <f t="shared" si="102"/>
        <v>0</v>
      </c>
      <c r="AF266" s="20">
        <f t="shared" si="103"/>
        <v>800011834.6500001</v>
      </c>
      <c r="AG266">
        <f t="shared" si="104"/>
        <v>0</v>
      </c>
      <c r="AH266">
        <f t="shared" si="105"/>
        <v>0</v>
      </c>
      <c r="AI266">
        <f t="shared" si="106"/>
        <v>5758158684.96</v>
      </c>
    </row>
    <row r="267" spans="2:35" x14ac:dyDescent="0.25">
      <c r="B267" s="4">
        <v>2023</v>
      </c>
      <c r="C267" s="4" t="s">
        <v>17</v>
      </c>
      <c r="D267" s="4" t="s">
        <v>18</v>
      </c>
      <c r="E267" s="4" t="str">
        <f t="shared" si="118"/>
        <v>Eversource-CT</v>
      </c>
      <c r="F267" s="4" t="s">
        <v>155</v>
      </c>
      <c r="G267" s="4"/>
      <c r="H267" s="4" t="s">
        <v>233</v>
      </c>
      <c r="I267" s="4"/>
      <c r="J267" s="4" t="s">
        <v>155</v>
      </c>
      <c r="K267" s="5"/>
      <c r="L267" s="5"/>
      <c r="M267" s="8">
        <v>72667</v>
      </c>
      <c r="N267" s="8">
        <v>0</v>
      </c>
      <c r="O267" s="8">
        <f>SUMIFS(EIAwtransport!$J$2:$J$675,EIAwtransport!$E$2:$E$675,Program_data!$E267,EIAwtransport!$H$2:$H$675,Program_data!$F267,EIAwtransport!$I$2:$I$675,Program_data!O$2)</f>
        <v>0</v>
      </c>
      <c r="P267" s="5">
        <f>SUMIFS(EIAwtransport!$J$2:$J$675,EIAwtransport!$E$2:$E$675,Program_data!$E267,EIAwtransport!$H$2:$H$675,Program_data!$F267,EIAwtransport!$I$2:$I$675,Program_data!P$2)</f>
        <v>0</v>
      </c>
      <c r="Q267" s="5">
        <f>SUMIFS(EIAwtransport!$J$2:$J$675,EIAwtransport!$E$2:$E$675,Program_data!$E267,EIAwtransport!$H$2:$H$675,Program_data!$F267,EIAwtransport!$I$2:$I$675,Program_data!Q$2)</f>
        <v>0</v>
      </c>
      <c r="R267" s="8">
        <f>SUMIFS(EIAwtransport!$J$2:$J$675,EIAwtransport!$E$2:$E$675,Program_data!$E267,EIAwtransport!$I$2:$I$675,Program_data!R$2)</f>
        <v>592601359</v>
      </c>
      <c r="S267" s="5">
        <f>SUMIFS(EIAwtransport!$J$2:$J$675,EIAwtransport!$E$2:$E$675,Program_data!$E267,EIAwtransport!$I$2:$I$675,Program_data!S$2)</f>
        <v>54590052</v>
      </c>
      <c r="T267" s="5">
        <f>SUMIFS(EIAwtransport!$J$2:$J$675,EIAwtransport!$E$2:$E$675,Program_data!$E267,EIAwtransport!$I$2:$I$675,Program_data!T$2)</f>
        <v>248834</v>
      </c>
      <c r="U267" s="24"/>
      <c r="V267" s="24">
        <f t="shared" si="108"/>
        <v>0</v>
      </c>
      <c r="W267" s="24"/>
      <c r="X267" s="25"/>
      <c r="Y267" s="8" t="str">
        <f t="shared" si="119"/>
        <v/>
      </c>
      <c r="Z267" s="27">
        <f t="shared" si="120"/>
        <v>1.1081395215350393E-2</v>
      </c>
      <c r="AA267" s="27"/>
      <c r="AB267" s="27"/>
      <c r="AC267" s="56">
        <f t="shared" si="117"/>
        <v>0</v>
      </c>
      <c r="AD267" s="20">
        <f t="shared" si="109"/>
        <v>98100.450000000012</v>
      </c>
      <c r="AE267" s="20">
        <f t="shared" si="102"/>
        <v>0</v>
      </c>
      <c r="AF267" s="20">
        <f t="shared" si="103"/>
        <v>800011834.6500001</v>
      </c>
      <c r="AG267">
        <f t="shared" si="104"/>
        <v>0</v>
      </c>
      <c r="AH267">
        <f t="shared" si="105"/>
        <v>0</v>
      </c>
      <c r="AI267">
        <f t="shared" si="106"/>
        <v>5758158684.96</v>
      </c>
    </row>
    <row r="268" spans="2:35" x14ac:dyDescent="0.25">
      <c r="B268" s="4">
        <v>2023</v>
      </c>
      <c r="C268" s="4" t="s">
        <v>17</v>
      </c>
      <c r="D268" s="4" t="s">
        <v>18</v>
      </c>
      <c r="E268" s="4" t="str">
        <f t="shared" si="118"/>
        <v>Eversource-CT</v>
      </c>
      <c r="F268" s="4" t="s">
        <v>155</v>
      </c>
      <c r="G268" s="4"/>
      <c r="H268" s="4" t="s">
        <v>300</v>
      </c>
      <c r="I268" s="4"/>
      <c r="J268" s="4" t="s">
        <v>155</v>
      </c>
      <c r="K268" s="5"/>
      <c r="L268" s="5"/>
      <c r="M268" s="8">
        <v>82667</v>
      </c>
      <c r="N268" s="8">
        <v>0</v>
      </c>
      <c r="O268" s="8">
        <f>SUMIFS(EIAwtransport!$J$2:$J$675,EIAwtransport!$E$2:$E$675,Program_data!$E268,EIAwtransport!$H$2:$H$675,Program_data!$F268,EIAwtransport!$I$2:$I$675,Program_data!O$2)</f>
        <v>0</v>
      </c>
      <c r="P268" s="5">
        <f>SUMIFS(EIAwtransport!$J$2:$J$675,EIAwtransport!$E$2:$E$675,Program_data!$E268,EIAwtransport!$H$2:$H$675,Program_data!$F268,EIAwtransport!$I$2:$I$675,Program_data!P$2)</f>
        <v>0</v>
      </c>
      <c r="Q268" s="5">
        <f>SUMIFS(EIAwtransport!$J$2:$J$675,EIAwtransport!$E$2:$E$675,Program_data!$E268,EIAwtransport!$H$2:$H$675,Program_data!$F268,EIAwtransport!$I$2:$I$675,Program_data!Q$2)</f>
        <v>0</v>
      </c>
      <c r="R268" s="8">
        <f>SUMIFS(EIAwtransport!$J$2:$J$675,EIAwtransport!$E$2:$E$675,Program_data!$E268,EIAwtransport!$I$2:$I$675,Program_data!R$2)</f>
        <v>592601359</v>
      </c>
      <c r="S268" s="5">
        <f>SUMIFS(EIAwtransport!$J$2:$J$675,EIAwtransport!$E$2:$E$675,Program_data!$E268,EIAwtransport!$I$2:$I$675,Program_data!S$2)</f>
        <v>54590052</v>
      </c>
      <c r="T268" s="5">
        <f>SUMIFS(EIAwtransport!$J$2:$J$675,EIAwtransport!$E$2:$E$675,Program_data!$E268,EIAwtransport!$I$2:$I$675,Program_data!T$2)</f>
        <v>248834</v>
      </c>
      <c r="U268" s="24"/>
      <c r="V268" s="24">
        <f t="shared" si="108"/>
        <v>0</v>
      </c>
      <c r="W268" s="24"/>
      <c r="X268" s="25"/>
      <c r="Y268" s="8" t="str">
        <f t="shared" si="119"/>
        <v/>
      </c>
      <c r="Z268" s="27">
        <f t="shared" si="120"/>
        <v>1.2606350864455267E-2</v>
      </c>
      <c r="AA268" s="27"/>
      <c r="AB268" s="27"/>
      <c r="AC268" s="56">
        <f t="shared" si="117"/>
        <v>0</v>
      </c>
      <c r="AD268" s="20">
        <f t="shared" si="109"/>
        <v>111600.45000000001</v>
      </c>
      <c r="AE268" s="20">
        <f t="shared" ref="AE268:AE331" si="121">N268*1.35</f>
        <v>0</v>
      </c>
      <c r="AF268" s="20">
        <f t="shared" ref="AF268:AF331" si="122">R268*1.35</f>
        <v>800011834.6500001</v>
      </c>
      <c r="AG268">
        <f t="shared" ref="AG268:AG331" si="123">K268*105.48</f>
        <v>0</v>
      </c>
      <c r="AH268">
        <f t="shared" ref="AH268:AH331" si="124">L268*105.48</f>
        <v>0</v>
      </c>
      <c r="AI268">
        <f t="shared" ref="AI268:AI331" si="125">S268*105.48</f>
        <v>5758158684.96</v>
      </c>
    </row>
    <row r="269" spans="2:35" x14ac:dyDescent="0.25">
      <c r="B269" s="4">
        <v>2023</v>
      </c>
      <c r="C269" s="4" t="s">
        <v>17</v>
      </c>
      <c r="D269" s="4" t="s">
        <v>18</v>
      </c>
      <c r="E269" s="4" t="str">
        <f t="shared" si="118"/>
        <v>Eversource-CT</v>
      </c>
      <c r="F269" s="4" t="s">
        <v>155</v>
      </c>
      <c r="G269" s="4"/>
      <c r="H269" s="4" t="s">
        <v>301</v>
      </c>
      <c r="I269" s="4"/>
      <c r="J269" s="4" t="s">
        <v>155</v>
      </c>
      <c r="K269" s="5"/>
      <c r="L269" s="5"/>
      <c r="M269" s="8">
        <v>80000</v>
      </c>
      <c r="N269" s="8">
        <v>0</v>
      </c>
      <c r="O269" s="8">
        <f>SUMIFS(EIAwtransport!$J$2:$J$675,EIAwtransport!$E$2:$E$675,Program_data!$E269,EIAwtransport!$H$2:$H$675,Program_data!$F269,EIAwtransport!$I$2:$I$675,Program_data!O$2)</f>
        <v>0</v>
      </c>
      <c r="P269" s="5">
        <f>SUMIFS(EIAwtransport!$J$2:$J$675,EIAwtransport!$E$2:$E$675,Program_data!$E269,EIAwtransport!$H$2:$H$675,Program_data!$F269,EIAwtransport!$I$2:$I$675,Program_data!P$2)</f>
        <v>0</v>
      </c>
      <c r="Q269" s="5">
        <f>SUMIFS(EIAwtransport!$J$2:$J$675,EIAwtransport!$E$2:$E$675,Program_data!$E269,EIAwtransport!$H$2:$H$675,Program_data!$F269,EIAwtransport!$I$2:$I$675,Program_data!Q$2)</f>
        <v>0</v>
      </c>
      <c r="R269" s="8">
        <f>SUMIFS(EIAwtransport!$J$2:$J$675,EIAwtransport!$E$2:$E$675,Program_data!$E269,EIAwtransport!$I$2:$I$675,Program_data!R$2)</f>
        <v>592601359</v>
      </c>
      <c r="S269" s="5">
        <f>SUMIFS(EIAwtransport!$J$2:$J$675,EIAwtransport!$E$2:$E$675,Program_data!$E269,EIAwtransport!$I$2:$I$675,Program_data!S$2)</f>
        <v>54590052</v>
      </c>
      <c r="T269" s="5">
        <f>SUMIFS(EIAwtransport!$J$2:$J$675,EIAwtransport!$E$2:$E$675,Program_data!$E269,EIAwtransport!$I$2:$I$675,Program_data!T$2)</f>
        <v>248834</v>
      </c>
      <c r="U269" s="24"/>
      <c r="V269" s="24">
        <f t="shared" si="108"/>
        <v>0</v>
      </c>
      <c r="W269" s="24"/>
      <c r="X269" s="25"/>
      <c r="Y269" s="8" t="str">
        <f t="shared" si="119"/>
        <v/>
      </c>
      <c r="Z269" s="27">
        <f t="shared" si="120"/>
        <v>1.2199645192838997E-2</v>
      </c>
      <c r="AA269" s="27"/>
      <c r="AB269" s="27"/>
      <c r="AC269" s="56">
        <f t="shared" si="117"/>
        <v>0</v>
      </c>
      <c r="AD269" s="20">
        <f t="shared" si="109"/>
        <v>108000</v>
      </c>
      <c r="AE269" s="20">
        <f t="shared" si="121"/>
        <v>0</v>
      </c>
      <c r="AF269" s="20">
        <f t="shared" si="122"/>
        <v>800011834.6500001</v>
      </c>
      <c r="AG269">
        <f t="shared" si="123"/>
        <v>0</v>
      </c>
      <c r="AH269">
        <f t="shared" si="124"/>
        <v>0</v>
      </c>
      <c r="AI269">
        <f t="shared" si="125"/>
        <v>5758158684.96</v>
      </c>
    </row>
    <row r="270" spans="2:35" x14ac:dyDescent="0.25">
      <c r="B270" s="4">
        <v>2023</v>
      </c>
      <c r="C270" s="4" t="s">
        <v>17</v>
      </c>
      <c r="D270" s="4" t="s">
        <v>18</v>
      </c>
      <c r="E270" s="4" t="str">
        <f t="shared" si="118"/>
        <v>Eversource-CT</v>
      </c>
      <c r="F270" s="4" t="s">
        <v>155</v>
      </c>
      <c r="G270" s="4"/>
      <c r="H270" s="4" t="s">
        <v>302</v>
      </c>
      <c r="I270" s="4"/>
      <c r="J270" s="4" t="s">
        <v>155</v>
      </c>
      <c r="K270" s="5"/>
      <c r="L270" s="5"/>
      <c r="M270" s="8">
        <v>50000</v>
      </c>
      <c r="N270" s="8">
        <v>0</v>
      </c>
      <c r="O270" s="8">
        <f>SUMIFS(EIAwtransport!$J$2:$J$675,EIAwtransport!$E$2:$E$675,Program_data!$E270,EIAwtransport!$H$2:$H$675,Program_data!$F270,EIAwtransport!$I$2:$I$675,Program_data!O$2)</f>
        <v>0</v>
      </c>
      <c r="P270" s="5">
        <f>SUMIFS(EIAwtransport!$J$2:$J$675,EIAwtransport!$E$2:$E$675,Program_data!$E270,EIAwtransport!$H$2:$H$675,Program_data!$F270,EIAwtransport!$I$2:$I$675,Program_data!P$2)</f>
        <v>0</v>
      </c>
      <c r="Q270" s="5">
        <f>SUMIFS(EIAwtransport!$J$2:$J$675,EIAwtransport!$E$2:$E$675,Program_data!$E270,EIAwtransport!$H$2:$H$675,Program_data!$F270,EIAwtransport!$I$2:$I$675,Program_data!Q$2)</f>
        <v>0</v>
      </c>
      <c r="R270" s="8">
        <f>SUMIFS(EIAwtransport!$J$2:$J$675,EIAwtransport!$E$2:$E$675,Program_data!$E270,EIAwtransport!$I$2:$I$675,Program_data!R$2)</f>
        <v>592601359</v>
      </c>
      <c r="S270" s="5">
        <f>SUMIFS(EIAwtransport!$J$2:$J$675,EIAwtransport!$E$2:$E$675,Program_data!$E270,EIAwtransport!$I$2:$I$675,Program_data!S$2)</f>
        <v>54590052</v>
      </c>
      <c r="T270" s="5">
        <f>SUMIFS(EIAwtransport!$J$2:$J$675,EIAwtransport!$E$2:$E$675,Program_data!$E270,EIAwtransport!$I$2:$I$675,Program_data!T$2)</f>
        <v>248834</v>
      </c>
      <c r="U270" s="24"/>
      <c r="V270" s="24">
        <f t="shared" si="108"/>
        <v>0</v>
      </c>
      <c r="W270" s="24"/>
      <c r="X270" s="25"/>
      <c r="Y270" s="8" t="str">
        <f t="shared" si="119"/>
        <v/>
      </c>
      <c r="Z270" s="27">
        <f t="shared" si="120"/>
        <v>7.624778245524373E-3</v>
      </c>
      <c r="AA270" s="27"/>
      <c r="AB270" s="27"/>
      <c r="AC270" s="56">
        <f t="shared" si="117"/>
        <v>0</v>
      </c>
      <c r="AD270" s="20">
        <f t="shared" si="109"/>
        <v>67500</v>
      </c>
      <c r="AE270" s="20">
        <f t="shared" si="121"/>
        <v>0</v>
      </c>
      <c r="AF270" s="20">
        <f t="shared" si="122"/>
        <v>800011834.6500001</v>
      </c>
      <c r="AG270">
        <f t="shared" si="123"/>
        <v>0</v>
      </c>
      <c r="AH270">
        <f t="shared" si="124"/>
        <v>0</v>
      </c>
      <c r="AI270">
        <f t="shared" si="125"/>
        <v>5758158684.96</v>
      </c>
    </row>
    <row r="271" spans="2:35" x14ac:dyDescent="0.25">
      <c r="B271" s="4">
        <v>2023</v>
      </c>
      <c r="C271" s="4" t="s">
        <v>17</v>
      </c>
      <c r="D271" s="4" t="s">
        <v>18</v>
      </c>
      <c r="E271" s="4" t="str">
        <f t="shared" si="118"/>
        <v>Eversource-CT</v>
      </c>
      <c r="F271" s="4" t="s">
        <v>155</v>
      </c>
      <c r="G271" s="4"/>
      <c r="H271" s="4" t="s">
        <v>303</v>
      </c>
      <c r="I271" s="4"/>
      <c r="J271" s="4" t="s">
        <v>155</v>
      </c>
      <c r="K271" s="5"/>
      <c r="L271" s="5"/>
      <c r="M271" s="8">
        <v>84523</v>
      </c>
      <c r="N271" s="8">
        <v>0</v>
      </c>
      <c r="O271" s="8">
        <f>SUMIFS(EIAwtransport!$J$2:$J$675,EIAwtransport!$E$2:$E$675,Program_data!$E271,EIAwtransport!$H$2:$H$675,Program_data!$F271,EIAwtransport!$I$2:$I$675,Program_data!O$2)</f>
        <v>0</v>
      </c>
      <c r="P271" s="5">
        <f>SUMIFS(EIAwtransport!$J$2:$J$675,EIAwtransport!$E$2:$E$675,Program_data!$E271,EIAwtransport!$H$2:$H$675,Program_data!$F271,EIAwtransport!$I$2:$I$675,Program_data!P$2)</f>
        <v>0</v>
      </c>
      <c r="Q271" s="5">
        <f>SUMIFS(EIAwtransport!$J$2:$J$675,EIAwtransport!$E$2:$E$675,Program_data!$E271,EIAwtransport!$H$2:$H$675,Program_data!$F271,EIAwtransport!$I$2:$I$675,Program_data!Q$2)</f>
        <v>0</v>
      </c>
      <c r="R271" s="8">
        <f>SUMIFS(EIAwtransport!$J$2:$J$675,EIAwtransport!$E$2:$E$675,Program_data!$E271,EIAwtransport!$I$2:$I$675,Program_data!R$2)</f>
        <v>592601359</v>
      </c>
      <c r="S271" s="5">
        <f>SUMIFS(EIAwtransport!$J$2:$J$675,EIAwtransport!$E$2:$E$675,Program_data!$E271,EIAwtransport!$I$2:$I$675,Program_data!S$2)</f>
        <v>54590052</v>
      </c>
      <c r="T271" s="5">
        <f>SUMIFS(EIAwtransport!$J$2:$J$675,EIAwtransport!$E$2:$E$675,Program_data!$E271,EIAwtransport!$I$2:$I$675,Program_data!T$2)</f>
        <v>248834</v>
      </c>
      <c r="U271" s="24"/>
      <c r="V271" s="24">
        <f t="shared" ref="V271:V334" si="126">IFERROR(L271/10.36/S271,"")</f>
        <v>0</v>
      </c>
      <c r="W271" s="24"/>
      <c r="X271" s="25"/>
      <c r="Y271" s="8" t="str">
        <f t="shared" si="119"/>
        <v/>
      </c>
      <c r="Z271" s="27">
        <f t="shared" si="120"/>
        <v>1.2889382632929132E-2</v>
      </c>
      <c r="AA271" s="27"/>
      <c r="AB271" s="27"/>
      <c r="AC271" s="56">
        <f t="shared" si="117"/>
        <v>0</v>
      </c>
      <c r="AD271" s="20">
        <f t="shared" si="109"/>
        <v>114106.05</v>
      </c>
      <c r="AE271" s="20">
        <f t="shared" si="121"/>
        <v>0</v>
      </c>
      <c r="AF271" s="20">
        <f t="shared" si="122"/>
        <v>800011834.6500001</v>
      </c>
      <c r="AG271">
        <f t="shared" si="123"/>
        <v>0</v>
      </c>
      <c r="AH271">
        <f t="shared" si="124"/>
        <v>0</v>
      </c>
      <c r="AI271">
        <f t="shared" si="125"/>
        <v>5758158684.96</v>
      </c>
    </row>
    <row r="272" spans="2:35" x14ac:dyDescent="0.25">
      <c r="B272" s="4">
        <v>2023</v>
      </c>
      <c r="C272" s="4" t="s">
        <v>17</v>
      </c>
      <c r="D272" s="4" t="s">
        <v>18</v>
      </c>
      <c r="E272" s="4" t="str">
        <f t="shared" si="118"/>
        <v>Eversource-CT</v>
      </c>
      <c r="F272" s="4" t="s">
        <v>155</v>
      </c>
      <c r="G272" s="4"/>
      <c r="H272" s="4" t="s">
        <v>304</v>
      </c>
      <c r="I272" s="4"/>
      <c r="J272" s="4" t="s">
        <v>155</v>
      </c>
      <c r="K272" s="5"/>
      <c r="L272" s="5"/>
      <c r="M272" s="8">
        <v>93905</v>
      </c>
      <c r="N272" s="8">
        <v>0</v>
      </c>
      <c r="O272" s="8">
        <f>SUMIFS(EIAwtransport!$J$2:$J$675,EIAwtransport!$E$2:$E$675,Program_data!$E272,EIAwtransport!$H$2:$H$675,Program_data!$F272,EIAwtransport!$I$2:$I$675,Program_data!O$2)</f>
        <v>0</v>
      </c>
      <c r="P272" s="5">
        <f>SUMIFS(EIAwtransport!$J$2:$J$675,EIAwtransport!$E$2:$E$675,Program_data!$E272,EIAwtransport!$H$2:$H$675,Program_data!$F272,EIAwtransport!$I$2:$I$675,Program_data!P$2)</f>
        <v>0</v>
      </c>
      <c r="Q272" s="5">
        <f>SUMIFS(EIAwtransport!$J$2:$J$675,EIAwtransport!$E$2:$E$675,Program_data!$E272,EIAwtransport!$H$2:$H$675,Program_data!$F272,EIAwtransport!$I$2:$I$675,Program_data!Q$2)</f>
        <v>0</v>
      </c>
      <c r="R272" s="8">
        <f>SUMIFS(EIAwtransport!$J$2:$J$675,EIAwtransport!$E$2:$E$675,Program_data!$E272,EIAwtransport!$I$2:$I$675,Program_data!R$2)</f>
        <v>592601359</v>
      </c>
      <c r="S272" s="5">
        <f>SUMIFS(EIAwtransport!$J$2:$J$675,EIAwtransport!$E$2:$E$675,Program_data!$E272,EIAwtransport!$I$2:$I$675,Program_data!S$2)</f>
        <v>54590052</v>
      </c>
      <c r="T272" s="5">
        <f>SUMIFS(EIAwtransport!$J$2:$J$675,EIAwtransport!$E$2:$E$675,Program_data!$E272,EIAwtransport!$I$2:$I$675,Program_data!T$2)</f>
        <v>248834</v>
      </c>
      <c r="U272" s="24"/>
      <c r="V272" s="24">
        <f t="shared" si="126"/>
        <v>0</v>
      </c>
      <c r="W272" s="24"/>
      <c r="X272" s="25"/>
      <c r="Y272" s="8" t="str">
        <f t="shared" si="119"/>
        <v/>
      </c>
      <c r="Z272" s="27">
        <f t="shared" si="120"/>
        <v>1.4320096022919325E-2</v>
      </c>
      <c r="AA272" s="27"/>
      <c r="AB272" s="27"/>
      <c r="AC272" s="56">
        <f t="shared" si="117"/>
        <v>0</v>
      </c>
      <c r="AD272" s="20">
        <f t="shared" si="109"/>
        <v>126771.75000000001</v>
      </c>
      <c r="AE272" s="20">
        <f t="shared" si="121"/>
        <v>0</v>
      </c>
      <c r="AF272" s="20">
        <f t="shared" si="122"/>
        <v>800011834.6500001</v>
      </c>
      <c r="AG272">
        <f t="shared" si="123"/>
        <v>0</v>
      </c>
      <c r="AH272">
        <f t="shared" si="124"/>
        <v>0</v>
      </c>
      <c r="AI272">
        <f t="shared" si="125"/>
        <v>5758158684.96</v>
      </c>
    </row>
    <row r="273" spans="2:35" x14ac:dyDescent="0.25">
      <c r="B273" s="4">
        <v>2023</v>
      </c>
      <c r="C273" s="4" t="s">
        <v>17</v>
      </c>
      <c r="D273" s="4" t="s">
        <v>18</v>
      </c>
      <c r="E273" s="4" t="str">
        <f t="shared" si="118"/>
        <v>Eversource-CT</v>
      </c>
      <c r="F273" s="4" t="s">
        <v>155</v>
      </c>
      <c r="G273" s="4"/>
      <c r="H273" s="4" t="s">
        <v>305</v>
      </c>
      <c r="I273" s="4"/>
      <c r="J273" s="4" t="s">
        <v>155</v>
      </c>
      <c r="K273" s="5"/>
      <c r="L273" s="5"/>
      <c r="M273" s="8">
        <v>50000</v>
      </c>
      <c r="N273" s="8">
        <v>0</v>
      </c>
      <c r="O273" s="8">
        <f>SUMIFS(EIAwtransport!$J$2:$J$675,EIAwtransport!$E$2:$E$675,Program_data!$E273,EIAwtransport!$H$2:$H$675,Program_data!$F273,EIAwtransport!$I$2:$I$675,Program_data!O$2)</f>
        <v>0</v>
      </c>
      <c r="P273" s="5">
        <f>SUMIFS(EIAwtransport!$J$2:$J$675,EIAwtransport!$E$2:$E$675,Program_data!$E273,EIAwtransport!$H$2:$H$675,Program_data!$F273,EIAwtransport!$I$2:$I$675,Program_data!P$2)</f>
        <v>0</v>
      </c>
      <c r="Q273" s="5">
        <f>SUMIFS(EIAwtransport!$J$2:$J$675,EIAwtransport!$E$2:$E$675,Program_data!$E273,EIAwtransport!$H$2:$H$675,Program_data!$F273,EIAwtransport!$I$2:$I$675,Program_data!Q$2)</f>
        <v>0</v>
      </c>
      <c r="R273" s="8">
        <f>SUMIFS(EIAwtransport!$J$2:$J$675,EIAwtransport!$E$2:$E$675,Program_data!$E273,EIAwtransport!$I$2:$I$675,Program_data!R$2)</f>
        <v>592601359</v>
      </c>
      <c r="S273" s="5">
        <f>SUMIFS(EIAwtransport!$J$2:$J$675,EIAwtransport!$E$2:$E$675,Program_data!$E273,EIAwtransport!$I$2:$I$675,Program_data!S$2)</f>
        <v>54590052</v>
      </c>
      <c r="T273" s="5">
        <f>SUMIFS(EIAwtransport!$J$2:$J$675,EIAwtransport!$E$2:$E$675,Program_data!$E273,EIAwtransport!$I$2:$I$675,Program_data!T$2)</f>
        <v>248834</v>
      </c>
      <c r="U273" s="24"/>
      <c r="V273" s="24">
        <f t="shared" si="126"/>
        <v>0</v>
      </c>
      <c r="W273" s="24"/>
      <c r="X273" s="25"/>
      <c r="Y273" s="8" t="str">
        <f t="shared" si="119"/>
        <v/>
      </c>
      <c r="Z273" s="27">
        <f t="shared" si="120"/>
        <v>7.624778245524373E-3</v>
      </c>
      <c r="AA273" s="27"/>
      <c r="AB273" s="27"/>
      <c r="AC273" s="56">
        <f t="shared" si="117"/>
        <v>0</v>
      </c>
      <c r="AD273" s="20">
        <f t="shared" si="109"/>
        <v>67500</v>
      </c>
      <c r="AE273" s="20">
        <f t="shared" si="121"/>
        <v>0</v>
      </c>
      <c r="AF273" s="20">
        <f t="shared" si="122"/>
        <v>800011834.6500001</v>
      </c>
      <c r="AG273">
        <f t="shared" si="123"/>
        <v>0</v>
      </c>
      <c r="AH273">
        <f t="shared" si="124"/>
        <v>0</v>
      </c>
      <c r="AI273">
        <f t="shared" si="125"/>
        <v>5758158684.96</v>
      </c>
    </row>
    <row r="274" spans="2:35" x14ac:dyDescent="0.25">
      <c r="B274" s="4">
        <v>2023</v>
      </c>
      <c r="C274" s="4" t="s">
        <v>17</v>
      </c>
      <c r="D274" s="4" t="s">
        <v>18</v>
      </c>
      <c r="E274" s="4" t="str">
        <f t="shared" si="118"/>
        <v>Eversource-CT</v>
      </c>
      <c r="F274" s="4" t="s">
        <v>155</v>
      </c>
      <c r="G274" s="4"/>
      <c r="H274" s="4" t="s">
        <v>211</v>
      </c>
      <c r="I274" s="4"/>
      <c r="J274" s="4" t="s">
        <v>155</v>
      </c>
      <c r="K274" s="5"/>
      <c r="L274" s="5"/>
      <c r="M274" s="8">
        <v>1921734</v>
      </c>
      <c r="N274" s="8">
        <v>0</v>
      </c>
      <c r="O274" s="8">
        <f>SUMIFS(EIAwtransport!$J$2:$J$675,EIAwtransport!$E$2:$E$675,Program_data!$E274,EIAwtransport!$H$2:$H$675,Program_data!$F274,EIAwtransport!$I$2:$I$675,Program_data!O$2)</f>
        <v>0</v>
      </c>
      <c r="P274" s="5">
        <f>SUMIFS(EIAwtransport!$J$2:$J$675,EIAwtransport!$E$2:$E$675,Program_data!$E274,EIAwtransport!$H$2:$H$675,Program_data!$F274,EIAwtransport!$I$2:$I$675,Program_data!P$2)</f>
        <v>0</v>
      </c>
      <c r="Q274" s="5">
        <f>SUMIFS(EIAwtransport!$J$2:$J$675,EIAwtransport!$E$2:$E$675,Program_data!$E274,EIAwtransport!$H$2:$H$675,Program_data!$F274,EIAwtransport!$I$2:$I$675,Program_data!Q$2)</f>
        <v>0</v>
      </c>
      <c r="R274" s="8">
        <f>SUMIFS(EIAwtransport!$J$2:$J$675,EIAwtransport!$E$2:$E$675,Program_data!$E274,EIAwtransport!$I$2:$I$675,Program_data!R$2)</f>
        <v>592601359</v>
      </c>
      <c r="S274" s="5">
        <f>SUMIFS(EIAwtransport!$J$2:$J$675,EIAwtransport!$E$2:$E$675,Program_data!$E274,EIAwtransport!$I$2:$I$675,Program_data!S$2)</f>
        <v>54590052</v>
      </c>
      <c r="T274" s="5">
        <f>SUMIFS(EIAwtransport!$J$2:$J$675,EIAwtransport!$E$2:$E$675,Program_data!$E274,EIAwtransport!$I$2:$I$675,Program_data!T$2)</f>
        <v>248834</v>
      </c>
      <c r="U274" s="24"/>
      <c r="V274" s="24">
        <f t="shared" si="126"/>
        <v>0</v>
      </c>
      <c r="W274" s="24"/>
      <c r="X274" s="25"/>
      <c r="Y274" s="8" t="str">
        <f t="shared" si="119"/>
        <v/>
      </c>
      <c r="Z274" s="27">
        <f t="shared" si="120"/>
        <v>0.29305591193769071</v>
      </c>
      <c r="AA274" s="27"/>
      <c r="AB274" s="27"/>
      <c r="AC274" s="56">
        <f t="shared" si="117"/>
        <v>0</v>
      </c>
      <c r="AD274" s="20">
        <f t="shared" si="109"/>
        <v>2594340.9000000004</v>
      </c>
      <c r="AE274" s="20">
        <f t="shared" si="121"/>
        <v>0</v>
      </c>
      <c r="AF274" s="20">
        <f t="shared" si="122"/>
        <v>800011834.6500001</v>
      </c>
      <c r="AG274">
        <f t="shared" si="123"/>
        <v>0</v>
      </c>
      <c r="AH274">
        <f t="shared" si="124"/>
        <v>0</v>
      </c>
      <c r="AI274">
        <f t="shared" si="125"/>
        <v>5758158684.96</v>
      </c>
    </row>
    <row r="275" spans="2:35" x14ac:dyDescent="0.25">
      <c r="B275" s="4">
        <v>2024</v>
      </c>
      <c r="C275" s="4" t="s">
        <v>17</v>
      </c>
      <c r="D275" s="4" t="s">
        <v>18</v>
      </c>
      <c r="E275" s="4" t="str">
        <f t="shared" ref="E275:E338" si="127">D275&amp;"-"&amp;C275</f>
        <v>Eversource-CT</v>
      </c>
      <c r="F275" s="4" t="s">
        <v>135</v>
      </c>
      <c r="G275" s="4"/>
      <c r="H275" s="4" t="s">
        <v>265</v>
      </c>
      <c r="I275" s="11"/>
      <c r="J275" s="4" t="s">
        <v>32</v>
      </c>
      <c r="K275" s="5">
        <f>45552*1.36</f>
        <v>61950.720000000001</v>
      </c>
      <c r="L275" s="5">
        <f>K275/_xlfn.XLOOKUP(C275,'Utility target list'!$K$2:$K$8,'Utility target list'!$L$2:$L$8,1,0,1)</f>
        <v>68834.133333333331</v>
      </c>
      <c r="M275" s="8">
        <v>127081</v>
      </c>
      <c r="N275" s="8">
        <v>9490</v>
      </c>
      <c r="O275" s="8">
        <f>SUMIFS(EIAwtransport!$J$2:$J$675,EIAwtransport!$E$2:$E$675,Program_data!$E275,EIAwtransport!$H$2:$H$675,Program_data!$F275,EIAwtransport!$I$2:$I$675,Program_data!O$2)</f>
        <v>287812625</v>
      </c>
      <c r="P275" s="5">
        <f>SUMIFS(EIAwtransport!$J$2:$J$675,EIAwtransport!$E$2:$E$675,Program_data!$E275,EIAwtransport!$H$2:$H$675,Program_data!$F275,EIAwtransport!$I$2:$I$675,Program_data!P$2)</f>
        <v>15853849</v>
      </c>
      <c r="Q275" s="5">
        <f>SUMIFS(EIAwtransport!$J$2:$J$675,EIAwtransport!$E$2:$E$675,Program_data!$E275,EIAwtransport!$H$2:$H$675,Program_data!$F275,EIAwtransport!$I$2:$I$675,Program_data!Q$2)</f>
        <v>219542</v>
      </c>
      <c r="R275" s="8">
        <f>SUMIFS(EIAwtransport!$J$2:$J$675,EIAwtransport!$E$2:$E$675,Program_data!$E275,EIAwtransport!$I$2:$I$675,Program_data!R$2)</f>
        <v>592601359</v>
      </c>
      <c r="S275" s="5">
        <f>SUMIFS(EIAwtransport!$J$2:$J$675,EIAwtransport!$E$2:$E$675,Program_data!$E275,EIAwtransport!$I$2:$I$675,Program_data!S$2)</f>
        <v>54590052</v>
      </c>
      <c r="T275" s="5">
        <f>SUMIFS(EIAwtransport!$J$2:$J$675,EIAwtransport!$E$2:$E$675,Program_data!$E275,EIAwtransport!$I$2:$I$675,Program_data!T$2)</f>
        <v>248834</v>
      </c>
      <c r="U275" s="24">
        <f t="shared" ref="U275:U293" si="128">IFERROR(K275/10.36/S275,"")</f>
        <v>1.0954009034098792E-4</v>
      </c>
      <c r="V275" s="24">
        <f t="shared" si="126"/>
        <v>1.2171121148998658E-4</v>
      </c>
      <c r="W275" s="24">
        <f t="shared" ref="W275:W293" si="129">IFERROR(M275/R275,"")</f>
        <v>2.1444601513308375E-4</v>
      </c>
      <c r="X275" s="25">
        <f t="shared" ref="X275:X293" si="130">IFERROR(M275/S275/10.36,"")</f>
        <v>2.2470221848306342E-4</v>
      </c>
      <c r="Y275" s="8">
        <f t="shared" si="119"/>
        <v>5.9949964722827459E-2</v>
      </c>
      <c r="Z275" s="27">
        <f t="shared" si="120"/>
        <v>1.9780574697069758E-2</v>
      </c>
      <c r="AA275" s="27"/>
      <c r="AB275" s="27"/>
      <c r="AC275" s="56">
        <f t="shared" si="117"/>
        <v>2.5847333114012534E-3</v>
      </c>
      <c r="AD275" s="20">
        <f t="shared" si="109"/>
        <v>171559.35</v>
      </c>
      <c r="AE275" s="20">
        <f t="shared" si="121"/>
        <v>12811.5</v>
      </c>
      <c r="AF275" s="20">
        <f t="shared" si="122"/>
        <v>800011834.6500001</v>
      </c>
      <c r="AG275">
        <f t="shared" si="123"/>
        <v>6534561.9456000002</v>
      </c>
      <c r="AH275">
        <f t="shared" si="124"/>
        <v>7260624.3839999996</v>
      </c>
      <c r="AI275">
        <f t="shared" si="125"/>
        <v>5758158684.96</v>
      </c>
    </row>
    <row r="276" spans="2:35" x14ac:dyDescent="0.25">
      <c r="B276" s="4">
        <v>2024</v>
      </c>
      <c r="C276" s="4" t="s">
        <v>17</v>
      </c>
      <c r="D276" s="4" t="s">
        <v>18</v>
      </c>
      <c r="E276" s="4" t="str">
        <f t="shared" si="127"/>
        <v>Eversource-CT</v>
      </c>
      <c r="F276" s="4" t="s">
        <v>135</v>
      </c>
      <c r="G276" s="4"/>
      <c r="H276" s="4" t="s">
        <v>277</v>
      </c>
      <c r="I276" s="11"/>
      <c r="J276" s="4" t="s">
        <v>21</v>
      </c>
      <c r="K276" s="5">
        <f>463381*1.36</f>
        <v>630198.16</v>
      </c>
      <c r="L276" s="5">
        <f>K276/_xlfn.XLOOKUP(C276,'Utility target list'!$K$2:$K$8,'Utility target list'!$L$2:$L$8,1,0,1)</f>
        <v>700220.17777777778</v>
      </c>
      <c r="M276" s="8">
        <v>3744974</v>
      </c>
      <c r="N276" s="8">
        <v>2895674</v>
      </c>
      <c r="O276" s="8">
        <f>SUMIFS(EIAwtransport!$J$2:$J$675,EIAwtransport!$E$2:$E$675,Program_data!$E276,EIAwtransport!$H$2:$H$675,Program_data!$F276,EIAwtransport!$I$2:$I$675,Program_data!O$2)</f>
        <v>287812625</v>
      </c>
      <c r="P276" s="5">
        <f>SUMIFS(EIAwtransport!$J$2:$J$675,EIAwtransport!$E$2:$E$675,Program_data!$E276,EIAwtransport!$H$2:$H$675,Program_data!$F276,EIAwtransport!$I$2:$I$675,Program_data!P$2)</f>
        <v>15853849</v>
      </c>
      <c r="Q276" s="5">
        <f>SUMIFS(EIAwtransport!$J$2:$J$675,EIAwtransport!$E$2:$E$675,Program_data!$E276,EIAwtransport!$H$2:$H$675,Program_data!$F276,EIAwtransport!$I$2:$I$675,Program_data!Q$2)</f>
        <v>219542</v>
      </c>
      <c r="R276" s="8">
        <f>SUMIFS(EIAwtransport!$J$2:$J$675,EIAwtransport!$E$2:$E$675,Program_data!$E276,EIAwtransport!$I$2:$I$675,Program_data!R$2)</f>
        <v>592601359</v>
      </c>
      <c r="S276" s="5">
        <f>SUMIFS(EIAwtransport!$J$2:$J$675,EIAwtransport!$E$2:$E$675,Program_data!$E276,EIAwtransport!$I$2:$I$675,Program_data!S$2)</f>
        <v>54590052</v>
      </c>
      <c r="T276" s="5">
        <f>SUMIFS(EIAwtransport!$J$2:$J$675,EIAwtransport!$E$2:$E$675,Program_data!$E276,EIAwtransport!$I$2:$I$675,Program_data!T$2)</f>
        <v>248834</v>
      </c>
      <c r="U276" s="24">
        <f t="shared" si="128"/>
        <v>1.1143044564958142E-3</v>
      </c>
      <c r="V276" s="24">
        <f t="shared" si="126"/>
        <v>1.2381160627731268E-3</v>
      </c>
      <c r="W276" s="24">
        <f t="shared" si="129"/>
        <v>6.3195501379199499E-3</v>
      </c>
      <c r="X276" s="25">
        <f t="shared" si="130"/>
        <v>6.6217921322730532E-3</v>
      </c>
      <c r="Y276" s="8">
        <f t="shared" si="119"/>
        <v>1.7666768375123429</v>
      </c>
      <c r="Z276" s="27">
        <f t="shared" si="120"/>
        <v>0.58291749313889663</v>
      </c>
      <c r="AA276" s="27"/>
      <c r="AB276" s="27"/>
      <c r="AC276" s="56">
        <f t="shared" si="117"/>
        <v>2.6293385725553748E-2</v>
      </c>
      <c r="AD276" s="20">
        <f t="shared" si="109"/>
        <v>5055714.9000000004</v>
      </c>
      <c r="AE276" s="20">
        <f t="shared" si="121"/>
        <v>3909159.9000000004</v>
      </c>
      <c r="AF276" s="20">
        <f t="shared" si="122"/>
        <v>800011834.6500001</v>
      </c>
      <c r="AG276">
        <f t="shared" si="123"/>
        <v>66473301.916800007</v>
      </c>
      <c r="AH276">
        <f t="shared" si="124"/>
        <v>73859224.351999998</v>
      </c>
      <c r="AI276">
        <f t="shared" si="125"/>
        <v>5758158684.96</v>
      </c>
    </row>
    <row r="277" spans="2:35" x14ac:dyDescent="0.25">
      <c r="B277" s="4">
        <v>2024</v>
      </c>
      <c r="C277" s="4" t="s">
        <v>17</v>
      </c>
      <c r="D277" s="4" t="s">
        <v>18</v>
      </c>
      <c r="E277" s="4" t="str">
        <f t="shared" si="127"/>
        <v>Eversource-CT</v>
      </c>
      <c r="F277" s="4" t="s">
        <v>135</v>
      </c>
      <c r="G277" s="4"/>
      <c r="H277" s="4" t="s">
        <v>202</v>
      </c>
      <c r="I277" s="11"/>
      <c r="J277" s="4" t="s">
        <v>21</v>
      </c>
      <c r="K277" s="5">
        <f>781787*1.36</f>
        <v>1063230.32</v>
      </c>
      <c r="L277" s="5">
        <f>K277/_xlfn.XLOOKUP(C277,'Utility target list'!$K$2:$K$8,'Utility target list'!$L$2:$L$8,1,0,1)</f>
        <v>1181367.0222222223</v>
      </c>
      <c r="M277" s="8">
        <v>3041653</v>
      </c>
      <c r="N277" s="8">
        <v>2536272</v>
      </c>
      <c r="O277" s="8">
        <f>SUMIFS(EIAwtransport!$J$2:$J$675,EIAwtransport!$E$2:$E$675,Program_data!$E277,EIAwtransport!$H$2:$H$675,Program_data!$F277,EIAwtransport!$I$2:$I$675,Program_data!O$2)</f>
        <v>287812625</v>
      </c>
      <c r="P277" s="5">
        <f>SUMIFS(EIAwtransport!$J$2:$J$675,EIAwtransport!$E$2:$E$675,Program_data!$E277,EIAwtransport!$H$2:$H$675,Program_data!$F277,EIAwtransport!$I$2:$I$675,Program_data!P$2)</f>
        <v>15853849</v>
      </c>
      <c r="Q277" s="5">
        <f>SUMIFS(EIAwtransport!$J$2:$J$675,EIAwtransport!$E$2:$E$675,Program_data!$E277,EIAwtransport!$H$2:$H$675,Program_data!$F277,EIAwtransport!$I$2:$I$675,Program_data!Q$2)</f>
        <v>219542</v>
      </c>
      <c r="R277" s="8">
        <f>SUMIFS(EIAwtransport!$J$2:$J$675,EIAwtransport!$E$2:$E$675,Program_data!$E277,EIAwtransport!$I$2:$I$675,Program_data!R$2)</f>
        <v>592601359</v>
      </c>
      <c r="S277" s="5">
        <f>SUMIFS(EIAwtransport!$J$2:$J$675,EIAwtransport!$E$2:$E$675,Program_data!$E277,EIAwtransport!$I$2:$I$675,Program_data!S$2)</f>
        <v>54590052</v>
      </c>
      <c r="T277" s="5">
        <f>SUMIFS(EIAwtransport!$J$2:$J$675,EIAwtransport!$E$2:$E$675,Program_data!$E277,EIAwtransport!$I$2:$I$675,Program_data!T$2)</f>
        <v>248834</v>
      </c>
      <c r="U277" s="24">
        <f t="shared" si="128"/>
        <v>1.8799837242582087E-3</v>
      </c>
      <c r="V277" s="24">
        <f t="shared" si="126"/>
        <v>2.0888708047313428E-3</v>
      </c>
      <c r="W277" s="24">
        <f t="shared" si="129"/>
        <v>5.1327135076651084E-3</v>
      </c>
      <c r="X277" s="25">
        <f t="shared" si="130"/>
        <v>5.378193254346954E-3</v>
      </c>
      <c r="Y277" s="8">
        <f t="shared" si="119"/>
        <v>1.4348879065248332</v>
      </c>
      <c r="Z277" s="27">
        <f t="shared" si="120"/>
        <v>0.47344327137075032</v>
      </c>
      <c r="AA277" s="27"/>
      <c r="AB277" s="27"/>
      <c r="AC277" s="56">
        <f t="shared" si="117"/>
        <v>4.4360530850905598E-2</v>
      </c>
      <c r="AD277" s="20">
        <f t="shared" si="109"/>
        <v>4106231.5500000003</v>
      </c>
      <c r="AE277" s="20">
        <f t="shared" si="121"/>
        <v>3423967.2</v>
      </c>
      <c r="AF277" s="20">
        <f t="shared" si="122"/>
        <v>800011834.6500001</v>
      </c>
      <c r="AG277">
        <f t="shared" si="123"/>
        <v>112149534.15360001</v>
      </c>
      <c r="AH277">
        <f t="shared" si="124"/>
        <v>124610593.50400001</v>
      </c>
      <c r="AI277">
        <f t="shared" si="125"/>
        <v>5758158684.96</v>
      </c>
    </row>
    <row r="278" spans="2:35" x14ac:dyDescent="0.25">
      <c r="B278" s="4">
        <v>2024</v>
      </c>
      <c r="C278" s="4" t="s">
        <v>17</v>
      </c>
      <c r="D278" s="4" t="s">
        <v>18</v>
      </c>
      <c r="E278" s="4" t="str">
        <f t="shared" si="127"/>
        <v>Eversource-CT</v>
      </c>
      <c r="F278" s="4" t="s">
        <v>143</v>
      </c>
      <c r="G278" s="4">
        <v>1</v>
      </c>
      <c r="H278" s="4" t="s">
        <v>293</v>
      </c>
      <c r="I278" s="11"/>
      <c r="J278" s="4" t="s">
        <v>27</v>
      </c>
      <c r="K278" s="5">
        <f>580996*1.36</f>
        <v>790154.56</v>
      </c>
      <c r="L278" s="5">
        <f>K278/_xlfn.XLOOKUP(C278,'Utility target list'!$K$2:$K$8,'Utility target list'!$L$2:$L$8,1,0,1)</f>
        <v>877949.51111111115</v>
      </c>
      <c r="M278" s="8">
        <v>5108945</v>
      </c>
      <c r="N278" s="8">
        <v>4213633</v>
      </c>
      <c r="O278" s="8">
        <f>SUMIFS(EIAwtransport!$J$2:$J$675,EIAwtransport!$E$2:$E$675,Program_data!$E278,EIAwtransport!$H$2:$H$675,Program_data!$F278,EIAwtransport!$I$2:$I$675,Program_data!O$2)</f>
        <v>0</v>
      </c>
      <c r="P278" s="5">
        <f>SUMIFS(EIAwtransport!$J$2:$J$675,EIAwtransport!$E$2:$E$675,Program_data!$E278,EIAwtransport!$H$2:$H$675,Program_data!$F278,EIAwtransport!$I$2:$I$675,Program_data!P$2)</f>
        <v>0</v>
      </c>
      <c r="Q278" s="5">
        <f>SUMIFS(EIAwtransport!$J$2:$J$675,EIAwtransport!$E$2:$E$675,Program_data!$E278,EIAwtransport!$H$2:$H$675,Program_data!$F278,EIAwtransport!$I$2:$I$675,Program_data!Q$2)</f>
        <v>0</v>
      </c>
      <c r="R278" s="8">
        <f>SUMIFS(EIAwtransport!$J$2:$J$675,EIAwtransport!$E$2:$E$675,Program_data!$E278,EIAwtransport!$I$2:$I$675,Program_data!R$2)</f>
        <v>592601359</v>
      </c>
      <c r="S278" s="5">
        <f>SUMIFS(EIAwtransport!$J$2:$J$675,EIAwtransport!$E$2:$E$675,Program_data!$E278,EIAwtransport!$I$2:$I$675,Program_data!S$2)</f>
        <v>54590052</v>
      </c>
      <c r="T278" s="5">
        <f>SUMIFS(EIAwtransport!$J$2:$J$675,EIAwtransport!$E$2:$E$675,Program_data!$E278,EIAwtransport!$I$2:$I$675,Program_data!T$2)</f>
        <v>248834</v>
      </c>
      <c r="U278" s="24">
        <f t="shared" si="128"/>
        <v>1.3971363349085137E-3</v>
      </c>
      <c r="V278" s="24">
        <f t="shared" si="126"/>
        <v>1.5523737054539042E-3</v>
      </c>
      <c r="W278" s="24">
        <f t="shared" si="129"/>
        <v>8.6212171511405537E-3</v>
      </c>
      <c r="X278" s="25">
        <f t="shared" si="130"/>
        <v>9.0335398337119972E-3</v>
      </c>
      <c r="Y278" s="8">
        <f t="shared" si="119"/>
        <v>6.4657539912191355</v>
      </c>
      <c r="Z278" s="27">
        <f t="shared" si="120"/>
        <v>0.79522405548997144</v>
      </c>
      <c r="AA278" s="27"/>
      <c r="AB278" s="27"/>
      <c r="AC278" s="56">
        <f t="shared" si="117"/>
        <v>3.2967152155577863E-2</v>
      </c>
      <c r="AD278" s="20">
        <f t="shared" si="109"/>
        <v>6897075.75</v>
      </c>
      <c r="AE278" s="20">
        <f t="shared" si="121"/>
        <v>5688404.5500000007</v>
      </c>
      <c r="AF278" s="20">
        <f t="shared" si="122"/>
        <v>800011834.6500001</v>
      </c>
      <c r="AG278">
        <f t="shared" si="123"/>
        <v>83345502.988800004</v>
      </c>
      <c r="AH278">
        <f t="shared" si="124"/>
        <v>92606114.432000011</v>
      </c>
      <c r="AI278">
        <f t="shared" si="125"/>
        <v>5758158684.96</v>
      </c>
    </row>
    <row r="279" spans="2:35" x14ac:dyDescent="0.25">
      <c r="B279" s="4">
        <v>2024</v>
      </c>
      <c r="C279" s="4" t="s">
        <v>17</v>
      </c>
      <c r="D279" s="4" t="s">
        <v>18</v>
      </c>
      <c r="E279" s="4" t="str">
        <f t="shared" si="127"/>
        <v>Eversource-CT</v>
      </c>
      <c r="F279" s="4" t="s">
        <v>135</v>
      </c>
      <c r="G279" s="4"/>
      <c r="H279" s="4" t="s">
        <v>294</v>
      </c>
      <c r="I279" s="4"/>
      <c r="J279" s="4" t="s">
        <v>157</v>
      </c>
      <c r="K279" s="5">
        <f>267945*1.36</f>
        <v>364405.2</v>
      </c>
      <c r="L279" s="5">
        <f>K279/_xlfn.XLOOKUP(C279,'Utility target list'!$K$2:$K$8,'Utility target list'!$L$2:$L$8,1,0,1)</f>
        <v>404894.66666666669</v>
      </c>
      <c r="M279" s="8">
        <v>10000</v>
      </c>
      <c r="N279" s="8">
        <v>0</v>
      </c>
      <c r="O279" s="8">
        <f>SUMIFS(EIAwtransport!$J$2:$J$675,EIAwtransport!$E$2:$E$675,Program_data!$E279,EIAwtransport!$H$2:$H$675,Program_data!$F279,EIAwtransport!$I$2:$I$675,Program_data!O$2)</f>
        <v>287812625</v>
      </c>
      <c r="P279" s="5">
        <f>SUMIFS(EIAwtransport!$J$2:$J$675,EIAwtransport!$E$2:$E$675,Program_data!$E279,EIAwtransport!$H$2:$H$675,Program_data!$F279,EIAwtransport!$I$2:$I$675,Program_data!P$2)</f>
        <v>15853849</v>
      </c>
      <c r="Q279" s="5">
        <f>SUMIFS(EIAwtransport!$J$2:$J$675,EIAwtransport!$E$2:$E$675,Program_data!$E279,EIAwtransport!$H$2:$H$675,Program_data!$F279,EIAwtransport!$I$2:$I$675,Program_data!Q$2)</f>
        <v>219542</v>
      </c>
      <c r="R279" s="8">
        <f>SUMIFS(EIAwtransport!$J$2:$J$675,EIAwtransport!$E$2:$E$675,Program_data!$E279,EIAwtransport!$I$2:$I$675,Program_data!R$2)</f>
        <v>592601359</v>
      </c>
      <c r="S279" s="5">
        <f>SUMIFS(EIAwtransport!$J$2:$J$675,EIAwtransport!$E$2:$E$675,Program_data!$E279,EIAwtransport!$I$2:$I$675,Program_data!S$2)</f>
        <v>54590052</v>
      </c>
      <c r="T279" s="5">
        <f>SUMIFS(EIAwtransport!$J$2:$J$675,EIAwtransport!$E$2:$E$675,Program_data!$E279,EIAwtransport!$I$2:$I$675,Program_data!T$2)</f>
        <v>248834</v>
      </c>
      <c r="U279" s="24">
        <f t="shared" si="128"/>
        <v>6.4433437623849683E-4</v>
      </c>
      <c r="V279" s="24">
        <f t="shared" si="126"/>
        <v>7.1592708470944106E-4</v>
      </c>
      <c r="W279" s="24">
        <f t="shared" si="129"/>
        <v>1.6874750366544468E-5</v>
      </c>
      <c r="X279" s="25">
        <f t="shared" si="130"/>
        <v>1.76818106942079E-5</v>
      </c>
      <c r="Y279" s="8">
        <f t="shared" si="119"/>
        <v>4.7174608889470069E-3</v>
      </c>
      <c r="Z279" s="27">
        <f t="shared" si="120"/>
        <v>1.5565328174211533E-3</v>
      </c>
      <c r="AA279" s="27"/>
      <c r="AB279" s="27"/>
      <c r="AC279" s="56">
        <f t="shared" si="117"/>
        <v>1.5203862994454883E-2</v>
      </c>
      <c r="AD279" s="20">
        <f t="shared" si="109"/>
        <v>13500</v>
      </c>
      <c r="AE279" s="20">
        <f t="shared" si="121"/>
        <v>0</v>
      </c>
      <c r="AF279" s="20">
        <f t="shared" si="122"/>
        <v>800011834.6500001</v>
      </c>
      <c r="AG279">
        <f t="shared" si="123"/>
        <v>38437460.495999999</v>
      </c>
      <c r="AH279">
        <f t="shared" si="124"/>
        <v>42708289.440000005</v>
      </c>
      <c r="AI279">
        <f t="shared" si="125"/>
        <v>5758158684.96</v>
      </c>
    </row>
    <row r="280" spans="2:35" x14ac:dyDescent="0.25">
      <c r="B280" s="4">
        <v>2024</v>
      </c>
      <c r="C280" s="4" t="s">
        <v>17</v>
      </c>
      <c r="D280" s="4" t="s">
        <v>18</v>
      </c>
      <c r="E280" s="4" t="str">
        <f t="shared" si="127"/>
        <v>Eversource-CT</v>
      </c>
      <c r="F280" s="4" t="s">
        <v>146</v>
      </c>
      <c r="G280" s="4"/>
      <c r="H280" s="4" t="s">
        <v>295</v>
      </c>
      <c r="I280" s="11"/>
      <c r="J280" s="4" t="s">
        <v>21</v>
      </c>
      <c r="K280" s="5">
        <f>761896*1.36</f>
        <v>1036178.56</v>
      </c>
      <c r="L280" s="5">
        <f>K280/_xlfn.XLOOKUP(C280,'Utility target list'!$K$2:$K$8,'Utility target list'!$L$2:$L$8,1,0,1)</f>
        <v>1151309.5111111111</v>
      </c>
      <c r="M280" s="8">
        <v>4160543</v>
      </c>
      <c r="N280" s="8">
        <v>3391907</v>
      </c>
      <c r="O280" s="8">
        <f>SUMIFS(EIAwtransport!$J$2:$J$675,EIAwtransport!$E$2:$E$675,Program_data!$E280,EIAwtransport!$H$2:$H$675,Program_data!$F280,EIAwtransport!$I$2:$I$675,Program_data!O$2)</f>
        <v>304788734</v>
      </c>
      <c r="P280" s="5">
        <f>SUMIFS(EIAwtransport!$J$2:$J$675,EIAwtransport!$E$2:$E$675,Program_data!$E280,EIAwtransport!$H$2:$H$675,Program_data!$F280,EIAwtransport!$I$2:$I$675,Program_data!P$2)</f>
        <v>38736203</v>
      </c>
      <c r="Q280" s="5">
        <f>SUMIFS(EIAwtransport!$J$2:$J$675,EIAwtransport!$E$2:$E$675,Program_data!$E280,EIAwtransport!$H$2:$H$675,Program_data!$F280,EIAwtransport!$I$2:$I$675,Program_data!Q$2)</f>
        <v>29292</v>
      </c>
      <c r="R280" s="8">
        <f>SUMIFS(EIAwtransport!$J$2:$J$675,EIAwtransport!$E$2:$E$675,Program_data!$E280,EIAwtransport!$I$2:$I$675,Program_data!R$2)</f>
        <v>592601359</v>
      </c>
      <c r="S280" s="5">
        <f>SUMIFS(EIAwtransport!$J$2:$J$675,EIAwtransport!$E$2:$E$675,Program_data!$E280,EIAwtransport!$I$2:$I$675,Program_data!S$2)</f>
        <v>54590052</v>
      </c>
      <c r="T280" s="5">
        <f>SUMIFS(EIAwtransport!$J$2:$J$675,EIAwtransport!$E$2:$E$675,Program_data!$E280,EIAwtransport!$I$2:$I$675,Program_data!T$2)</f>
        <v>248834</v>
      </c>
      <c r="U280" s="24">
        <f t="shared" si="128"/>
        <v>1.8321513143316943E-3</v>
      </c>
      <c r="V280" s="24">
        <f t="shared" si="126"/>
        <v>2.0357236825907714E-3</v>
      </c>
      <c r="W280" s="24">
        <f t="shared" si="129"/>
        <v>7.0208124514274019E-3</v>
      </c>
      <c r="X280" s="25">
        <f t="shared" si="130"/>
        <v>7.3565933711111815E-3</v>
      </c>
      <c r="Y280" s="8">
        <f t="shared" si="119"/>
        <v>1.1837897218306994</v>
      </c>
      <c r="Z280" s="27">
        <f t="shared" si="120"/>
        <v>0.64760217177918578</v>
      </c>
      <c r="AA280" s="27"/>
      <c r="AB280" s="27"/>
      <c r="AC280" s="56">
        <f t="shared" si="117"/>
        <v>4.3231866241292799E-2</v>
      </c>
      <c r="AD280" s="20">
        <f t="shared" si="109"/>
        <v>5616733.0500000007</v>
      </c>
      <c r="AE280" s="20">
        <f t="shared" si="121"/>
        <v>4579074.45</v>
      </c>
      <c r="AF280" s="20">
        <f t="shared" si="122"/>
        <v>800011834.6500001</v>
      </c>
      <c r="AG280">
        <f t="shared" si="123"/>
        <v>109296114.50880001</v>
      </c>
      <c r="AH280">
        <f t="shared" si="124"/>
        <v>121440127.23200001</v>
      </c>
      <c r="AI280">
        <f t="shared" si="125"/>
        <v>5758158684.96</v>
      </c>
    </row>
    <row r="281" spans="2:35" x14ac:dyDescent="0.25">
      <c r="B281" s="4">
        <v>2024</v>
      </c>
      <c r="C281" s="4" t="s">
        <v>17</v>
      </c>
      <c r="D281" s="4" t="s">
        <v>18</v>
      </c>
      <c r="E281" s="4" t="str">
        <f t="shared" si="127"/>
        <v>Eversource-CT</v>
      </c>
      <c r="F281" s="4" t="s">
        <v>146</v>
      </c>
      <c r="G281" s="4"/>
      <c r="H281" s="4" t="s">
        <v>296</v>
      </c>
      <c r="I281" s="11"/>
      <c r="J281" s="4" t="s">
        <v>21</v>
      </c>
      <c r="K281" s="5">
        <f>969729*1.36</f>
        <v>1318831.4400000002</v>
      </c>
      <c r="L281" s="5">
        <f>K281/_xlfn.XLOOKUP(C281,'Utility target list'!$K$2:$K$8,'Utility target list'!$L$2:$L$8,1,0,1)</f>
        <v>1465368.2666666668</v>
      </c>
      <c r="M281" s="8">
        <v>3827266</v>
      </c>
      <c r="N281" s="8">
        <v>2881586</v>
      </c>
      <c r="O281" s="8">
        <f>SUMIFS(EIAwtransport!$J$2:$J$675,EIAwtransport!$E$2:$E$675,Program_data!$E281,EIAwtransport!$H$2:$H$675,Program_data!$F281,EIAwtransport!$I$2:$I$675,Program_data!O$2)</f>
        <v>304788734</v>
      </c>
      <c r="P281" s="5">
        <f>SUMIFS(EIAwtransport!$J$2:$J$675,EIAwtransport!$E$2:$E$675,Program_data!$E281,EIAwtransport!$H$2:$H$675,Program_data!$F281,EIAwtransport!$I$2:$I$675,Program_data!P$2)</f>
        <v>38736203</v>
      </c>
      <c r="Q281" s="5">
        <f>SUMIFS(EIAwtransport!$J$2:$J$675,EIAwtransport!$E$2:$E$675,Program_data!$E281,EIAwtransport!$H$2:$H$675,Program_data!$F281,EIAwtransport!$I$2:$I$675,Program_data!Q$2)</f>
        <v>29292</v>
      </c>
      <c r="R281" s="8">
        <f>SUMIFS(EIAwtransport!$J$2:$J$675,EIAwtransport!$E$2:$E$675,Program_data!$E281,EIAwtransport!$I$2:$I$675,Program_data!R$2)</f>
        <v>592601359</v>
      </c>
      <c r="S281" s="5">
        <f>SUMIFS(EIAwtransport!$J$2:$J$675,EIAwtransport!$E$2:$E$675,Program_data!$E281,EIAwtransport!$I$2:$I$675,Program_data!S$2)</f>
        <v>54590052</v>
      </c>
      <c r="T281" s="5">
        <f>SUMIFS(EIAwtransport!$J$2:$J$675,EIAwtransport!$E$2:$E$675,Program_data!$E281,EIAwtransport!$I$2:$I$675,Program_data!T$2)</f>
        <v>248834</v>
      </c>
      <c r="U281" s="24">
        <f t="shared" si="128"/>
        <v>2.3319327859649608E-3</v>
      </c>
      <c r="V281" s="24">
        <f t="shared" si="126"/>
        <v>2.5910364288499561E-3</v>
      </c>
      <c r="W281" s="24">
        <f t="shared" si="129"/>
        <v>6.4584158336363183E-3</v>
      </c>
      <c r="X281" s="25">
        <f t="shared" si="130"/>
        <v>6.7672992888378287E-3</v>
      </c>
      <c r="Y281" s="8">
        <f t="shared" si="119"/>
        <v>1.0889631842555392</v>
      </c>
      <c r="Z281" s="27">
        <f t="shared" si="120"/>
        <v>0.59572651300001878</v>
      </c>
      <c r="AA281" s="27"/>
      <c r="AB281" s="27"/>
      <c r="AC281" s="56">
        <f t="shared" si="117"/>
        <v>5.5024825459514981E-2</v>
      </c>
      <c r="AD281" s="20">
        <f t="shared" si="109"/>
        <v>5166809.1000000006</v>
      </c>
      <c r="AE281" s="20">
        <f t="shared" si="121"/>
        <v>3890141.1</v>
      </c>
      <c r="AF281" s="20">
        <f t="shared" si="122"/>
        <v>800011834.6500001</v>
      </c>
      <c r="AG281">
        <f t="shared" si="123"/>
        <v>139110340.29120001</v>
      </c>
      <c r="AH281">
        <f t="shared" si="124"/>
        <v>154567044.76800004</v>
      </c>
      <c r="AI281">
        <f t="shared" si="125"/>
        <v>5758158684.96</v>
      </c>
    </row>
    <row r="282" spans="2:35" x14ac:dyDescent="0.25">
      <c r="B282" s="4">
        <v>2024</v>
      </c>
      <c r="C282" s="4" t="s">
        <v>17</v>
      </c>
      <c r="D282" s="4" t="s">
        <v>18</v>
      </c>
      <c r="E282" s="4" t="str">
        <f t="shared" si="127"/>
        <v>Eversource-CT</v>
      </c>
      <c r="F282" s="4" t="s">
        <v>146</v>
      </c>
      <c r="G282" s="4"/>
      <c r="H282" s="4" t="s">
        <v>297</v>
      </c>
      <c r="I282" s="11"/>
      <c r="J282" s="4" t="s">
        <v>68</v>
      </c>
      <c r="K282" s="5">
        <f>661596*1.36</f>
        <v>899770.56</v>
      </c>
      <c r="L282" s="5">
        <f>K282/_xlfn.XLOOKUP(C282,'Utility target list'!$K$2:$K$8,'Utility target list'!$L$2:$L$8,1,0,1)</f>
        <v>999745.06666666665</v>
      </c>
      <c r="M282" s="8">
        <v>708372</v>
      </c>
      <c r="N282" s="8">
        <v>487144</v>
      </c>
      <c r="O282" s="8">
        <f>SUMIFS(EIAwtransport!$J$2:$J$675,EIAwtransport!$E$2:$E$675,Program_data!$E282,EIAwtransport!$H$2:$H$675,Program_data!$F282,EIAwtransport!$I$2:$I$675,Program_data!O$2)</f>
        <v>304788734</v>
      </c>
      <c r="P282" s="5">
        <f>SUMIFS(EIAwtransport!$J$2:$J$675,EIAwtransport!$E$2:$E$675,Program_data!$E282,EIAwtransport!$H$2:$H$675,Program_data!$F282,EIAwtransport!$I$2:$I$675,Program_data!P$2)</f>
        <v>38736203</v>
      </c>
      <c r="Q282" s="5">
        <f>SUMIFS(EIAwtransport!$J$2:$J$675,EIAwtransport!$E$2:$E$675,Program_data!$E282,EIAwtransport!$H$2:$H$675,Program_data!$F282,EIAwtransport!$I$2:$I$675,Program_data!Q$2)</f>
        <v>29292</v>
      </c>
      <c r="R282" s="8">
        <f>SUMIFS(EIAwtransport!$J$2:$J$675,EIAwtransport!$E$2:$E$675,Program_data!$E282,EIAwtransport!$I$2:$I$675,Program_data!R$2)</f>
        <v>592601359</v>
      </c>
      <c r="S282" s="5">
        <f>SUMIFS(EIAwtransport!$J$2:$J$675,EIAwtransport!$E$2:$E$675,Program_data!$E282,EIAwtransport!$I$2:$I$675,Program_data!S$2)</f>
        <v>54590052</v>
      </c>
      <c r="T282" s="5">
        <f>SUMIFS(EIAwtransport!$J$2:$J$675,EIAwtransport!$E$2:$E$675,Program_data!$E282,EIAwtransport!$I$2:$I$675,Program_data!T$2)</f>
        <v>248834</v>
      </c>
      <c r="U282" s="24">
        <f t="shared" si="128"/>
        <v>1.590957271014143E-3</v>
      </c>
      <c r="V282" s="24">
        <f t="shared" si="126"/>
        <v>1.7677303011268256E-3</v>
      </c>
      <c r="W282" s="24">
        <f t="shared" si="129"/>
        <v>1.1953600666649838E-3</v>
      </c>
      <c r="X282" s="25">
        <f t="shared" si="130"/>
        <v>1.2525299605077437E-3</v>
      </c>
      <c r="Y282" s="8">
        <f t="shared" si="119"/>
        <v>0.20155145442137148</v>
      </c>
      <c r="Z282" s="27">
        <f t="shared" si="120"/>
        <v>0.11026042649422572</v>
      </c>
      <c r="AA282" s="27"/>
      <c r="AB282" s="27"/>
      <c r="AC282" s="56">
        <f t="shared" si="117"/>
        <v>3.7540595800180536E-2</v>
      </c>
      <c r="AD282" s="20">
        <f t="shared" ref="AD282:AD345" si="131">M282*1.35</f>
        <v>956302.20000000007</v>
      </c>
      <c r="AE282" s="20">
        <f t="shared" si="121"/>
        <v>657644.4</v>
      </c>
      <c r="AF282" s="20">
        <f t="shared" si="122"/>
        <v>800011834.6500001</v>
      </c>
      <c r="AG282">
        <f t="shared" si="123"/>
        <v>94907798.668800011</v>
      </c>
      <c r="AH282">
        <f t="shared" si="124"/>
        <v>105453109.632</v>
      </c>
      <c r="AI282">
        <f t="shared" si="125"/>
        <v>5758158684.96</v>
      </c>
    </row>
    <row r="283" spans="2:35" x14ac:dyDescent="0.25">
      <c r="B283" s="4">
        <v>2024</v>
      </c>
      <c r="C283" s="4" t="s">
        <v>17</v>
      </c>
      <c r="D283" s="4" t="s">
        <v>18</v>
      </c>
      <c r="E283" s="4" t="str">
        <f t="shared" si="127"/>
        <v>Eversource-CT</v>
      </c>
      <c r="F283" s="4" t="s">
        <v>146</v>
      </c>
      <c r="G283" s="4"/>
      <c r="H283" s="4" t="s">
        <v>75</v>
      </c>
      <c r="I283" s="11"/>
      <c r="J283" s="4" t="s">
        <v>75</v>
      </c>
      <c r="K283" s="5">
        <f>191041*1.36</f>
        <v>259815.76</v>
      </c>
      <c r="L283" s="5">
        <f>K283/_xlfn.XLOOKUP(C283,'Utility target list'!$K$2:$K$8,'Utility target list'!$L$2:$L$8,1,0,1)</f>
        <v>288684.17777777778</v>
      </c>
      <c r="M283" s="8">
        <v>733133</v>
      </c>
      <c r="N283" s="8">
        <v>615136</v>
      </c>
      <c r="O283" s="8">
        <f>SUMIFS(EIAwtransport!$J$2:$J$675,EIAwtransport!$E$2:$E$675,Program_data!$E283,EIAwtransport!$H$2:$H$675,Program_data!$F283,EIAwtransport!$I$2:$I$675,Program_data!O$2)</f>
        <v>304788734</v>
      </c>
      <c r="P283" s="5">
        <f>SUMIFS(EIAwtransport!$J$2:$J$675,EIAwtransport!$E$2:$E$675,Program_data!$E283,EIAwtransport!$H$2:$H$675,Program_data!$F283,EIAwtransport!$I$2:$I$675,Program_data!P$2)</f>
        <v>38736203</v>
      </c>
      <c r="Q283" s="5">
        <f>SUMIFS(EIAwtransport!$J$2:$J$675,EIAwtransport!$E$2:$E$675,Program_data!$E283,EIAwtransport!$H$2:$H$675,Program_data!$F283,EIAwtransport!$I$2:$I$675,Program_data!Q$2)</f>
        <v>29292</v>
      </c>
      <c r="R283" s="8">
        <f>SUMIFS(EIAwtransport!$J$2:$J$675,EIAwtransport!$E$2:$E$675,Program_data!$E283,EIAwtransport!$I$2:$I$675,Program_data!R$2)</f>
        <v>592601359</v>
      </c>
      <c r="S283" s="5">
        <f>SUMIFS(EIAwtransport!$J$2:$J$675,EIAwtransport!$E$2:$E$675,Program_data!$E283,EIAwtransport!$I$2:$I$675,Program_data!S$2)</f>
        <v>54590052</v>
      </c>
      <c r="T283" s="5">
        <f>SUMIFS(EIAwtransport!$J$2:$J$675,EIAwtransport!$E$2:$E$675,Program_data!$E283,EIAwtransport!$I$2:$I$675,Program_data!T$2)</f>
        <v>248834</v>
      </c>
      <c r="U283" s="24">
        <f t="shared" si="128"/>
        <v>4.5940130836917532E-4</v>
      </c>
      <c r="V283" s="24">
        <f t="shared" si="126"/>
        <v>5.1044589818797256E-4</v>
      </c>
      <c r="W283" s="24">
        <f t="shared" si="129"/>
        <v>1.2371436360475846E-3</v>
      </c>
      <c r="X283" s="25">
        <f t="shared" si="130"/>
        <v>1.2963118919676721E-3</v>
      </c>
      <c r="Y283" s="8">
        <f t="shared" si="119"/>
        <v>0.20859664474923251</v>
      </c>
      <c r="Z283" s="27">
        <f t="shared" si="120"/>
        <v>0.11411455740344224</v>
      </c>
      <c r="AA283" s="27"/>
      <c r="AB283" s="27"/>
      <c r="AC283" s="56">
        <f t="shared" si="117"/>
        <v>1.0840139544770961E-2</v>
      </c>
      <c r="AD283" s="20">
        <f t="shared" si="131"/>
        <v>989729.55</v>
      </c>
      <c r="AE283" s="20">
        <f t="shared" si="121"/>
        <v>830433.60000000009</v>
      </c>
      <c r="AF283" s="20">
        <f t="shared" si="122"/>
        <v>800011834.6500001</v>
      </c>
      <c r="AG283">
        <f t="shared" si="123"/>
        <v>27405366.364800002</v>
      </c>
      <c r="AH283">
        <f t="shared" si="124"/>
        <v>30450407.072000001</v>
      </c>
      <c r="AI283">
        <f t="shared" si="125"/>
        <v>5758158684.96</v>
      </c>
    </row>
    <row r="284" spans="2:35" x14ac:dyDescent="0.25">
      <c r="B284" s="4">
        <v>2024</v>
      </c>
      <c r="C284" s="4" t="s">
        <v>17</v>
      </c>
      <c r="D284" s="4" t="s">
        <v>18</v>
      </c>
      <c r="E284" s="4" t="str">
        <f t="shared" si="127"/>
        <v>Eversource-CT</v>
      </c>
      <c r="F284" s="4" t="s">
        <v>135</v>
      </c>
      <c r="G284" s="4"/>
      <c r="H284" s="4" t="s">
        <v>298</v>
      </c>
      <c r="I284" s="4" t="s">
        <v>167</v>
      </c>
      <c r="J284" s="4" t="s">
        <v>155</v>
      </c>
      <c r="K284" s="5"/>
      <c r="L284" s="49"/>
      <c r="M284" s="8">
        <v>0</v>
      </c>
      <c r="N284" s="8">
        <v>0</v>
      </c>
      <c r="O284" s="8">
        <f>SUMIFS(EIAwtransport!$J$2:$J$675,EIAwtransport!$E$2:$E$675,Program_data!$E284,EIAwtransport!$H$2:$H$675,Program_data!$F284,EIAwtransport!$I$2:$I$675,Program_data!O$2)</f>
        <v>287812625</v>
      </c>
      <c r="P284" s="5">
        <f>SUMIFS(EIAwtransport!$J$2:$J$675,EIAwtransport!$E$2:$E$675,Program_data!$E284,EIAwtransport!$H$2:$H$675,Program_data!$F284,EIAwtransport!$I$2:$I$675,Program_data!P$2)</f>
        <v>15853849</v>
      </c>
      <c r="Q284" s="5">
        <f>SUMIFS(EIAwtransport!$J$2:$J$675,EIAwtransport!$E$2:$E$675,Program_data!$E284,EIAwtransport!$H$2:$H$675,Program_data!$F284,EIAwtransport!$I$2:$I$675,Program_data!Q$2)</f>
        <v>219542</v>
      </c>
      <c r="R284" s="8">
        <f>SUMIFS(EIAwtransport!$J$2:$J$675,EIAwtransport!$E$2:$E$675,Program_data!$E284,EIAwtransport!$I$2:$I$675,Program_data!R$2)</f>
        <v>592601359</v>
      </c>
      <c r="S284" s="5">
        <f>SUMIFS(EIAwtransport!$J$2:$J$675,EIAwtransport!$E$2:$E$675,Program_data!$E284,EIAwtransport!$I$2:$I$675,Program_data!S$2)</f>
        <v>54590052</v>
      </c>
      <c r="T284" s="5">
        <f>SUMIFS(EIAwtransport!$J$2:$J$675,EIAwtransport!$E$2:$E$675,Program_data!$E284,EIAwtransport!$I$2:$I$675,Program_data!T$2)</f>
        <v>248834</v>
      </c>
      <c r="U284" s="24">
        <f t="shared" si="128"/>
        <v>0</v>
      </c>
      <c r="V284" s="24">
        <f t="shared" si="126"/>
        <v>0</v>
      </c>
      <c r="W284" s="24">
        <f t="shared" si="129"/>
        <v>0</v>
      </c>
      <c r="X284" s="25">
        <f t="shared" si="130"/>
        <v>0</v>
      </c>
      <c r="Y284" s="8">
        <f t="shared" si="119"/>
        <v>0</v>
      </c>
      <c r="Z284" s="27">
        <f t="shared" si="120"/>
        <v>0</v>
      </c>
      <c r="AA284" s="27"/>
      <c r="AB284" s="27"/>
      <c r="AC284" s="56">
        <f t="shared" si="117"/>
        <v>0</v>
      </c>
      <c r="AD284" s="20">
        <f t="shared" si="131"/>
        <v>0</v>
      </c>
      <c r="AE284" s="20">
        <f t="shared" si="121"/>
        <v>0</v>
      </c>
      <c r="AF284" s="20">
        <f t="shared" si="122"/>
        <v>800011834.6500001</v>
      </c>
      <c r="AG284">
        <f t="shared" si="123"/>
        <v>0</v>
      </c>
      <c r="AH284">
        <f t="shared" si="124"/>
        <v>0</v>
      </c>
      <c r="AI284">
        <f t="shared" si="125"/>
        <v>5758158684.96</v>
      </c>
    </row>
    <row r="285" spans="2:35" x14ac:dyDescent="0.25">
      <c r="B285" s="4">
        <v>2024</v>
      </c>
      <c r="C285" s="4" t="s">
        <v>17</v>
      </c>
      <c r="D285" s="4" t="s">
        <v>18</v>
      </c>
      <c r="E285" s="4" t="str">
        <f t="shared" si="127"/>
        <v>Eversource-CT</v>
      </c>
      <c r="F285" s="4" t="s">
        <v>146</v>
      </c>
      <c r="G285" s="4"/>
      <c r="H285" s="4" t="s">
        <v>299</v>
      </c>
      <c r="I285" s="4" t="s">
        <v>167</v>
      </c>
      <c r="J285" s="4" t="s">
        <v>155</v>
      </c>
      <c r="K285" s="5"/>
      <c r="L285" s="49"/>
      <c r="M285" s="8">
        <v>0</v>
      </c>
      <c r="N285" s="8">
        <v>0</v>
      </c>
      <c r="O285" s="8">
        <f>SUMIFS(EIAwtransport!$J$2:$J$675,EIAwtransport!$E$2:$E$675,Program_data!$E285,EIAwtransport!$H$2:$H$675,Program_data!$F285,EIAwtransport!$I$2:$I$675,Program_data!O$2)</f>
        <v>304788734</v>
      </c>
      <c r="P285" s="5">
        <f>SUMIFS(EIAwtransport!$J$2:$J$675,EIAwtransport!$E$2:$E$675,Program_data!$E285,EIAwtransport!$H$2:$H$675,Program_data!$F285,EIAwtransport!$I$2:$I$675,Program_data!P$2)</f>
        <v>38736203</v>
      </c>
      <c r="Q285" s="5">
        <f>SUMIFS(EIAwtransport!$J$2:$J$675,EIAwtransport!$E$2:$E$675,Program_data!$E285,EIAwtransport!$H$2:$H$675,Program_data!$F285,EIAwtransport!$I$2:$I$675,Program_data!Q$2)</f>
        <v>29292</v>
      </c>
      <c r="R285" s="8">
        <f>SUMIFS(EIAwtransport!$J$2:$J$675,EIAwtransport!$E$2:$E$675,Program_data!$E285,EIAwtransport!$I$2:$I$675,Program_data!R$2)</f>
        <v>592601359</v>
      </c>
      <c r="S285" s="5">
        <f>SUMIFS(EIAwtransport!$J$2:$J$675,EIAwtransport!$E$2:$E$675,Program_data!$E285,EIAwtransport!$I$2:$I$675,Program_data!S$2)</f>
        <v>54590052</v>
      </c>
      <c r="T285" s="5">
        <f>SUMIFS(EIAwtransport!$J$2:$J$675,EIAwtransport!$E$2:$E$675,Program_data!$E285,EIAwtransport!$I$2:$I$675,Program_data!T$2)</f>
        <v>248834</v>
      </c>
      <c r="U285" s="24">
        <f t="shared" si="128"/>
        <v>0</v>
      </c>
      <c r="V285" s="24">
        <f t="shared" si="126"/>
        <v>0</v>
      </c>
      <c r="W285" s="24">
        <f t="shared" si="129"/>
        <v>0</v>
      </c>
      <c r="X285" s="25">
        <f t="shared" si="130"/>
        <v>0</v>
      </c>
      <c r="Y285" s="8">
        <f t="shared" si="119"/>
        <v>0</v>
      </c>
      <c r="Z285" s="27">
        <f t="shared" si="120"/>
        <v>0</v>
      </c>
      <c r="AA285" s="27"/>
      <c r="AB285" s="27"/>
      <c r="AC285" s="56">
        <f t="shared" ref="AC285:AC316" si="132">IFERROR(K285/SUMIFS($M$3:$M$1234,$E$3:$E$1234,E285,$B$3:$B$1234,B285),"")</f>
        <v>0</v>
      </c>
      <c r="AD285" s="20">
        <f t="shared" si="131"/>
        <v>0</v>
      </c>
      <c r="AE285" s="20">
        <f t="shared" si="121"/>
        <v>0</v>
      </c>
      <c r="AF285" s="20">
        <f t="shared" si="122"/>
        <v>800011834.6500001</v>
      </c>
      <c r="AG285">
        <f t="shared" si="123"/>
        <v>0</v>
      </c>
      <c r="AH285">
        <f t="shared" si="124"/>
        <v>0</v>
      </c>
      <c r="AI285">
        <f t="shared" si="125"/>
        <v>5758158684.96</v>
      </c>
    </row>
    <row r="286" spans="2:35" x14ac:dyDescent="0.25">
      <c r="B286" s="4">
        <v>2024</v>
      </c>
      <c r="C286" s="4" t="s">
        <v>17</v>
      </c>
      <c r="D286" s="4" t="s">
        <v>18</v>
      </c>
      <c r="E286" s="4" t="str">
        <f t="shared" si="127"/>
        <v>Eversource-CT</v>
      </c>
      <c r="F286" s="4" t="s">
        <v>306</v>
      </c>
      <c r="G286" s="4"/>
      <c r="H286" s="4" t="s">
        <v>233</v>
      </c>
      <c r="I286" s="4" t="s">
        <v>167</v>
      </c>
      <c r="J286" s="4" t="s">
        <v>155</v>
      </c>
      <c r="K286" s="5"/>
      <c r="L286" s="49"/>
      <c r="M286" s="8">
        <v>76667</v>
      </c>
      <c r="N286" s="8">
        <v>0</v>
      </c>
      <c r="O286" s="8">
        <f>SUMIFS(EIAwtransport!$J$2:$J$675,EIAwtransport!$E$2:$E$675,Program_data!$E286,EIAwtransport!$H$2:$H$675,Program_data!$F286,EIAwtransport!$I$2:$I$675,Program_data!O$2)</f>
        <v>0</v>
      </c>
      <c r="P286" s="5">
        <f>SUMIFS(EIAwtransport!$J$2:$J$675,EIAwtransport!$E$2:$E$675,Program_data!$E286,EIAwtransport!$H$2:$H$675,Program_data!$F286,EIAwtransport!$I$2:$I$675,Program_data!P$2)</f>
        <v>0</v>
      </c>
      <c r="Q286" s="5">
        <f>SUMIFS(EIAwtransport!$J$2:$J$675,EIAwtransport!$E$2:$E$675,Program_data!$E286,EIAwtransport!$H$2:$H$675,Program_data!$F286,EIAwtransport!$I$2:$I$675,Program_data!Q$2)</f>
        <v>0</v>
      </c>
      <c r="R286" s="8">
        <f>SUMIFS(EIAwtransport!$J$2:$J$675,EIAwtransport!$E$2:$E$675,Program_data!$E286,EIAwtransport!$I$2:$I$675,Program_data!R$2)</f>
        <v>592601359</v>
      </c>
      <c r="S286" s="5">
        <f>SUMIFS(EIAwtransport!$J$2:$J$675,EIAwtransport!$E$2:$E$675,Program_data!$E286,EIAwtransport!$I$2:$I$675,Program_data!S$2)</f>
        <v>54590052</v>
      </c>
      <c r="T286" s="5">
        <f>SUMIFS(EIAwtransport!$J$2:$J$675,EIAwtransport!$E$2:$E$675,Program_data!$E286,EIAwtransport!$I$2:$I$675,Program_data!T$2)</f>
        <v>248834</v>
      </c>
      <c r="U286" s="24">
        <f t="shared" si="128"/>
        <v>0</v>
      </c>
      <c r="V286" s="24">
        <f t="shared" si="126"/>
        <v>0</v>
      </c>
      <c r="W286" s="24">
        <f t="shared" si="129"/>
        <v>1.2937364863518648E-4</v>
      </c>
      <c r="X286" s="25">
        <f t="shared" si="130"/>
        <v>1.355611380492837E-4</v>
      </c>
      <c r="Y286" s="8" t="str">
        <f t="shared" si="119"/>
        <v/>
      </c>
      <c r="Z286" s="27">
        <f t="shared" si="120"/>
        <v>1.1933470151322756E-2</v>
      </c>
      <c r="AA286" s="27"/>
      <c r="AB286" s="27"/>
      <c r="AC286" s="56">
        <f t="shared" si="132"/>
        <v>0</v>
      </c>
      <c r="AD286" s="20">
        <f t="shared" si="131"/>
        <v>103500.45000000001</v>
      </c>
      <c r="AE286" s="20">
        <f t="shared" si="121"/>
        <v>0</v>
      </c>
      <c r="AF286" s="20">
        <f t="shared" si="122"/>
        <v>800011834.6500001</v>
      </c>
      <c r="AG286">
        <f t="shared" si="123"/>
        <v>0</v>
      </c>
      <c r="AH286">
        <f t="shared" si="124"/>
        <v>0</v>
      </c>
      <c r="AI286">
        <f t="shared" si="125"/>
        <v>5758158684.96</v>
      </c>
    </row>
    <row r="287" spans="2:35" x14ac:dyDescent="0.25">
      <c r="B287" s="4">
        <v>2024</v>
      </c>
      <c r="C287" s="4" t="s">
        <v>17</v>
      </c>
      <c r="D287" s="4" t="s">
        <v>18</v>
      </c>
      <c r="E287" s="4" t="str">
        <f t="shared" si="127"/>
        <v>Eversource-CT</v>
      </c>
      <c r="F287" s="4" t="s">
        <v>306</v>
      </c>
      <c r="G287" s="4"/>
      <c r="H287" s="4" t="s">
        <v>300</v>
      </c>
      <c r="I287" s="4" t="s">
        <v>167</v>
      </c>
      <c r="J287" s="4" t="s">
        <v>155</v>
      </c>
      <c r="K287" s="5"/>
      <c r="L287" s="49"/>
      <c r="M287" s="8">
        <v>82667</v>
      </c>
      <c r="N287" s="8">
        <v>0</v>
      </c>
      <c r="O287" s="8">
        <f>SUMIFS(EIAwtransport!$J$2:$J$675,EIAwtransport!$E$2:$E$675,Program_data!$E287,EIAwtransport!$H$2:$H$675,Program_data!$F287,EIAwtransport!$I$2:$I$675,Program_data!O$2)</f>
        <v>0</v>
      </c>
      <c r="P287" s="5">
        <f>SUMIFS(EIAwtransport!$J$2:$J$675,EIAwtransport!$E$2:$E$675,Program_data!$E287,EIAwtransport!$H$2:$H$675,Program_data!$F287,EIAwtransport!$I$2:$I$675,Program_data!P$2)</f>
        <v>0</v>
      </c>
      <c r="Q287" s="5">
        <f>SUMIFS(EIAwtransport!$J$2:$J$675,EIAwtransport!$E$2:$E$675,Program_data!$E287,EIAwtransport!$H$2:$H$675,Program_data!$F287,EIAwtransport!$I$2:$I$675,Program_data!Q$2)</f>
        <v>0</v>
      </c>
      <c r="R287" s="8">
        <f>SUMIFS(EIAwtransport!$J$2:$J$675,EIAwtransport!$E$2:$E$675,Program_data!$E287,EIAwtransport!$I$2:$I$675,Program_data!R$2)</f>
        <v>592601359</v>
      </c>
      <c r="S287" s="5">
        <f>SUMIFS(EIAwtransport!$J$2:$J$675,EIAwtransport!$E$2:$E$675,Program_data!$E287,EIAwtransport!$I$2:$I$675,Program_data!S$2)</f>
        <v>54590052</v>
      </c>
      <c r="T287" s="5">
        <f>SUMIFS(EIAwtransport!$J$2:$J$675,EIAwtransport!$E$2:$E$675,Program_data!$E287,EIAwtransport!$I$2:$I$675,Program_data!T$2)</f>
        <v>248834</v>
      </c>
      <c r="U287" s="24">
        <f t="shared" si="128"/>
        <v>0</v>
      </c>
      <c r="V287" s="24">
        <f t="shared" si="126"/>
        <v>0</v>
      </c>
      <c r="W287" s="24">
        <f t="shared" si="129"/>
        <v>1.3949849885511317E-4</v>
      </c>
      <c r="X287" s="25">
        <f t="shared" si="130"/>
        <v>1.4617022446580845E-4</v>
      </c>
      <c r="Y287" s="8" t="str">
        <f t="shared" si="119"/>
        <v/>
      </c>
      <c r="Z287" s="27">
        <f t="shared" si="120"/>
        <v>1.2867389841775448E-2</v>
      </c>
      <c r="AA287" s="27"/>
      <c r="AB287" s="27"/>
      <c r="AC287" s="56">
        <f t="shared" si="132"/>
        <v>0</v>
      </c>
      <c r="AD287" s="20">
        <f t="shared" si="131"/>
        <v>111600.45000000001</v>
      </c>
      <c r="AE287" s="20">
        <f t="shared" si="121"/>
        <v>0</v>
      </c>
      <c r="AF287" s="20">
        <f t="shared" si="122"/>
        <v>800011834.6500001</v>
      </c>
      <c r="AG287">
        <f t="shared" si="123"/>
        <v>0</v>
      </c>
      <c r="AH287">
        <f t="shared" si="124"/>
        <v>0</v>
      </c>
      <c r="AI287">
        <f t="shared" si="125"/>
        <v>5758158684.96</v>
      </c>
    </row>
    <row r="288" spans="2:35" x14ac:dyDescent="0.25">
      <c r="B288" s="4">
        <v>2024</v>
      </c>
      <c r="C288" s="4" t="s">
        <v>17</v>
      </c>
      <c r="D288" s="4" t="s">
        <v>18</v>
      </c>
      <c r="E288" s="4" t="str">
        <f t="shared" si="127"/>
        <v>Eversource-CT</v>
      </c>
      <c r="F288" s="4" t="s">
        <v>306</v>
      </c>
      <c r="G288" s="4"/>
      <c r="H288" s="4" t="s">
        <v>301</v>
      </c>
      <c r="I288" s="4" t="s">
        <v>167</v>
      </c>
      <c r="J288" s="4" t="s">
        <v>155</v>
      </c>
      <c r="K288" s="5"/>
      <c r="L288" s="49"/>
      <c r="M288" s="8">
        <v>80000</v>
      </c>
      <c r="N288" s="8">
        <v>0</v>
      </c>
      <c r="O288" s="8">
        <f>SUMIFS(EIAwtransport!$J$2:$J$675,EIAwtransport!$E$2:$E$675,Program_data!$E288,EIAwtransport!$H$2:$H$675,Program_data!$F288,EIAwtransport!$I$2:$I$675,Program_data!O$2)</f>
        <v>0</v>
      </c>
      <c r="P288" s="5">
        <f>SUMIFS(EIAwtransport!$J$2:$J$675,EIAwtransport!$E$2:$E$675,Program_data!$E288,EIAwtransport!$H$2:$H$675,Program_data!$F288,EIAwtransport!$I$2:$I$675,Program_data!P$2)</f>
        <v>0</v>
      </c>
      <c r="Q288" s="5">
        <f>SUMIFS(EIAwtransport!$J$2:$J$675,EIAwtransport!$E$2:$E$675,Program_data!$E288,EIAwtransport!$H$2:$H$675,Program_data!$F288,EIAwtransport!$I$2:$I$675,Program_data!Q$2)</f>
        <v>0</v>
      </c>
      <c r="R288" s="8">
        <f>SUMIFS(EIAwtransport!$J$2:$J$675,EIAwtransport!$E$2:$E$675,Program_data!$E288,EIAwtransport!$I$2:$I$675,Program_data!R$2)</f>
        <v>592601359</v>
      </c>
      <c r="S288" s="5">
        <f>SUMIFS(EIAwtransport!$J$2:$J$675,EIAwtransport!$E$2:$E$675,Program_data!$E288,EIAwtransport!$I$2:$I$675,Program_data!S$2)</f>
        <v>54590052</v>
      </c>
      <c r="T288" s="5">
        <f>SUMIFS(EIAwtransport!$J$2:$J$675,EIAwtransport!$E$2:$E$675,Program_data!$E288,EIAwtransport!$I$2:$I$675,Program_data!T$2)</f>
        <v>248834</v>
      </c>
      <c r="U288" s="24">
        <f t="shared" si="128"/>
        <v>0</v>
      </c>
      <c r="V288" s="24">
        <f t="shared" si="126"/>
        <v>0</v>
      </c>
      <c r="W288" s="24">
        <f t="shared" si="129"/>
        <v>1.3499800293235574E-4</v>
      </c>
      <c r="X288" s="25">
        <f t="shared" si="130"/>
        <v>1.414544855536632E-4</v>
      </c>
      <c r="Y288" s="8" t="str">
        <f t="shared" si="119"/>
        <v/>
      </c>
      <c r="Z288" s="27">
        <f t="shared" si="120"/>
        <v>1.2452262539369227E-2</v>
      </c>
      <c r="AA288" s="27"/>
      <c r="AB288" s="27"/>
      <c r="AC288" s="56">
        <f t="shared" si="132"/>
        <v>0</v>
      </c>
      <c r="AD288" s="20">
        <f t="shared" si="131"/>
        <v>108000</v>
      </c>
      <c r="AE288" s="20">
        <f t="shared" si="121"/>
        <v>0</v>
      </c>
      <c r="AF288" s="20">
        <f t="shared" si="122"/>
        <v>800011834.6500001</v>
      </c>
      <c r="AG288">
        <f t="shared" si="123"/>
        <v>0</v>
      </c>
      <c r="AH288">
        <f t="shared" si="124"/>
        <v>0</v>
      </c>
      <c r="AI288">
        <f t="shared" si="125"/>
        <v>5758158684.96</v>
      </c>
    </row>
    <row r="289" spans="2:35" x14ac:dyDescent="0.25">
      <c r="B289" s="4">
        <v>2024</v>
      </c>
      <c r="C289" s="4" t="s">
        <v>17</v>
      </c>
      <c r="D289" s="4" t="s">
        <v>18</v>
      </c>
      <c r="E289" s="4" t="str">
        <f t="shared" si="127"/>
        <v>Eversource-CT</v>
      </c>
      <c r="F289" s="4" t="s">
        <v>306</v>
      </c>
      <c r="G289" s="4"/>
      <c r="H289" s="4" t="s">
        <v>302</v>
      </c>
      <c r="I289" s="4" t="s">
        <v>167</v>
      </c>
      <c r="J289" s="4" t="s">
        <v>155</v>
      </c>
      <c r="K289" s="5"/>
      <c r="L289" s="49"/>
      <c r="M289" s="8">
        <v>70000</v>
      </c>
      <c r="N289" s="8">
        <v>0</v>
      </c>
      <c r="O289" s="8">
        <f>SUMIFS(EIAwtransport!$J$2:$J$675,EIAwtransport!$E$2:$E$675,Program_data!$E289,EIAwtransport!$H$2:$H$675,Program_data!$F289,EIAwtransport!$I$2:$I$675,Program_data!O$2)</f>
        <v>0</v>
      </c>
      <c r="P289" s="5">
        <f>SUMIFS(EIAwtransport!$J$2:$J$675,EIAwtransport!$E$2:$E$675,Program_data!$E289,EIAwtransport!$H$2:$H$675,Program_data!$F289,EIAwtransport!$I$2:$I$675,Program_data!P$2)</f>
        <v>0</v>
      </c>
      <c r="Q289" s="5">
        <f>SUMIFS(EIAwtransport!$J$2:$J$675,EIAwtransport!$E$2:$E$675,Program_data!$E289,EIAwtransport!$H$2:$H$675,Program_data!$F289,EIAwtransport!$I$2:$I$675,Program_data!Q$2)</f>
        <v>0</v>
      </c>
      <c r="R289" s="8">
        <f>SUMIFS(EIAwtransport!$J$2:$J$675,EIAwtransport!$E$2:$E$675,Program_data!$E289,EIAwtransport!$I$2:$I$675,Program_data!R$2)</f>
        <v>592601359</v>
      </c>
      <c r="S289" s="5">
        <f>SUMIFS(EIAwtransport!$J$2:$J$675,EIAwtransport!$E$2:$E$675,Program_data!$E289,EIAwtransport!$I$2:$I$675,Program_data!S$2)</f>
        <v>54590052</v>
      </c>
      <c r="T289" s="5">
        <f>SUMIFS(EIAwtransport!$J$2:$J$675,EIAwtransport!$E$2:$E$675,Program_data!$E289,EIAwtransport!$I$2:$I$675,Program_data!T$2)</f>
        <v>248834</v>
      </c>
      <c r="U289" s="24">
        <f t="shared" si="128"/>
        <v>0</v>
      </c>
      <c r="V289" s="24">
        <f t="shared" si="126"/>
        <v>0</v>
      </c>
      <c r="W289" s="24">
        <f t="shared" si="129"/>
        <v>1.1812325256581128E-4</v>
      </c>
      <c r="X289" s="25">
        <f t="shared" si="130"/>
        <v>1.2377267485945529E-4</v>
      </c>
      <c r="Y289" s="8" t="str">
        <f t="shared" si="119"/>
        <v/>
      </c>
      <c r="Z289" s="27">
        <f t="shared" si="120"/>
        <v>1.0895729721948074E-2</v>
      </c>
      <c r="AA289" s="27"/>
      <c r="AB289" s="27"/>
      <c r="AC289" s="56">
        <f t="shared" si="132"/>
        <v>0</v>
      </c>
      <c r="AD289" s="20">
        <f t="shared" si="131"/>
        <v>94500</v>
      </c>
      <c r="AE289" s="20">
        <f t="shared" si="121"/>
        <v>0</v>
      </c>
      <c r="AF289" s="20">
        <f t="shared" si="122"/>
        <v>800011834.6500001</v>
      </c>
      <c r="AG289">
        <f t="shared" si="123"/>
        <v>0</v>
      </c>
      <c r="AH289">
        <f t="shared" si="124"/>
        <v>0</v>
      </c>
      <c r="AI289">
        <f t="shared" si="125"/>
        <v>5758158684.96</v>
      </c>
    </row>
    <row r="290" spans="2:35" x14ac:dyDescent="0.25">
      <c r="B290" s="4">
        <v>2024</v>
      </c>
      <c r="C290" s="4" t="s">
        <v>17</v>
      </c>
      <c r="D290" s="4" t="s">
        <v>18</v>
      </c>
      <c r="E290" s="4" t="str">
        <f t="shared" si="127"/>
        <v>Eversource-CT</v>
      </c>
      <c r="F290" s="4" t="s">
        <v>306</v>
      </c>
      <c r="G290" s="4"/>
      <c r="H290" s="4" t="s">
        <v>303</v>
      </c>
      <c r="I290" s="4" t="s">
        <v>167</v>
      </c>
      <c r="J290" s="4" t="s">
        <v>155</v>
      </c>
      <c r="K290" s="5"/>
      <c r="L290" s="49"/>
      <c r="M290" s="8">
        <v>84523</v>
      </c>
      <c r="N290" s="8">
        <v>0</v>
      </c>
      <c r="O290" s="8">
        <f>SUMIFS(EIAwtransport!$J$2:$J$675,EIAwtransport!$E$2:$E$675,Program_data!$E290,EIAwtransport!$H$2:$H$675,Program_data!$F290,EIAwtransport!$I$2:$I$675,Program_data!O$2)</f>
        <v>0</v>
      </c>
      <c r="P290" s="5">
        <f>SUMIFS(EIAwtransport!$J$2:$J$675,EIAwtransport!$E$2:$E$675,Program_data!$E290,EIAwtransport!$H$2:$H$675,Program_data!$F290,EIAwtransport!$I$2:$I$675,Program_data!P$2)</f>
        <v>0</v>
      </c>
      <c r="Q290" s="5">
        <f>SUMIFS(EIAwtransport!$J$2:$J$675,EIAwtransport!$E$2:$E$675,Program_data!$E290,EIAwtransport!$H$2:$H$675,Program_data!$F290,EIAwtransport!$I$2:$I$675,Program_data!Q$2)</f>
        <v>0</v>
      </c>
      <c r="R290" s="8">
        <f>SUMIFS(EIAwtransport!$J$2:$J$675,EIAwtransport!$E$2:$E$675,Program_data!$E290,EIAwtransport!$I$2:$I$675,Program_data!R$2)</f>
        <v>592601359</v>
      </c>
      <c r="S290" s="5">
        <f>SUMIFS(EIAwtransport!$J$2:$J$675,EIAwtransport!$E$2:$E$675,Program_data!$E290,EIAwtransport!$I$2:$I$675,Program_data!S$2)</f>
        <v>54590052</v>
      </c>
      <c r="T290" s="5">
        <f>SUMIFS(EIAwtransport!$J$2:$J$675,EIAwtransport!$E$2:$E$675,Program_data!$E290,EIAwtransport!$I$2:$I$675,Program_data!T$2)</f>
        <v>248834</v>
      </c>
      <c r="U290" s="24">
        <f t="shared" si="128"/>
        <v>0</v>
      </c>
      <c r="V290" s="24">
        <f t="shared" si="126"/>
        <v>0</v>
      </c>
      <c r="W290" s="24">
        <f t="shared" si="129"/>
        <v>1.426304525231438E-4</v>
      </c>
      <c r="X290" s="25">
        <f t="shared" si="130"/>
        <v>1.4945196853065343E-4</v>
      </c>
      <c r="Y290" s="8" t="str">
        <f t="shared" si="119"/>
        <v/>
      </c>
      <c r="Z290" s="27">
        <f t="shared" si="120"/>
        <v>1.3156282332688814E-2</v>
      </c>
      <c r="AA290" s="27"/>
      <c r="AB290" s="27"/>
      <c r="AC290" s="56">
        <f t="shared" si="132"/>
        <v>0</v>
      </c>
      <c r="AD290" s="20">
        <f t="shared" si="131"/>
        <v>114106.05</v>
      </c>
      <c r="AE290" s="20">
        <f t="shared" si="121"/>
        <v>0</v>
      </c>
      <c r="AF290" s="20">
        <f t="shared" si="122"/>
        <v>800011834.6500001</v>
      </c>
      <c r="AG290">
        <f t="shared" si="123"/>
        <v>0</v>
      </c>
      <c r="AH290">
        <f t="shared" si="124"/>
        <v>0</v>
      </c>
      <c r="AI290">
        <f t="shared" si="125"/>
        <v>5758158684.96</v>
      </c>
    </row>
    <row r="291" spans="2:35" x14ac:dyDescent="0.25">
      <c r="B291" s="4">
        <v>2024</v>
      </c>
      <c r="C291" s="4" t="s">
        <v>17</v>
      </c>
      <c r="D291" s="4" t="s">
        <v>18</v>
      </c>
      <c r="E291" s="4" t="str">
        <f t="shared" si="127"/>
        <v>Eversource-CT</v>
      </c>
      <c r="F291" s="4" t="s">
        <v>306</v>
      </c>
      <c r="G291" s="4"/>
      <c r="H291" s="4" t="s">
        <v>304</v>
      </c>
      <c r="I291" s="4" t="s">
        <v>167</v>
      </c>
      <c r="J291" s="4" t="s">
        <v>155</v>
      </c>
      <c r="K291" s="5"/>
      <c r="L291" s="49"/>
      <c r="M291" s="8">
        <v>93905</v>
      </c>
      <c r="N291" s="8">
        <v>0</v>
      </c>
      <c r="O291" s="8">
        <f>SUMIFS(EIAwtransport!$J$2:$J$675,EIAwtransport!$E$2:$E$675,Program_data!$E291,EIAwtransport!$H$2:$H$675,Program_data!$F291,EIAwtransport!$I$2:$I$675,Program_data!O$2)</f>
        <v>0</v>
      </c>
      <c r="P291" s="5">
        <f>SUMIFS(EIAwtransport!$J$2:$J$675,EIAwtransport!$E$2:$E$675,Program_data!$E291,EIAwtransport!$H$2:$H$675,Program_data!$F291,EIAwtransport!$I$2:$I$675,Program_data!P$2)</f>
        <v>0</v>
      </c>
      <c r="Q291" s="5">
        <f>SUMIFS(EIAwtransport!$J$2:$J$675,EIAwtransport!$E$2:$E$675,Program_data!$E291,EIAwtransport!$H$2:$H$675,Program_data!$F291,EIAwtransport!$I$2:$I$675,Program_data!Q$2)</f>
        <v>0</v>
      </c>
      <c r="R291" s="8">
        <f>SUMIFS(EIAwtransport!$J$2:$J$675,EIAwtransport!$E$2:$E$675,Program_data!$E291,EIAwtransport!$I$2:$I$675,Program_data!R$2)</f>
        <v>592601359</v>
      </c>
      <c r="S291" s="5">
        <f>SUMIFS(EIAwtransport!$J$2:$J$675,EIAwtransport!$E$2:$E$675,Program_data!$E291,EIAwtransport!$I$2:$I$675,Program_data!S$2)</f>
        <v>54590052</v>
      </c>
      <c r="T291" s="5">
        <f>SUMIFS(EIAwtransport!$J$2:$J$675,EIAwtransport!$E$2:$E$675,Program_data!$E291,EIAwtransport!$I$2:$I$675,Program_data!T$2)</f>
        <v>248834</v>
      </c>
      <c r="U291" s="24">
        <f t="shared" si="128"/>
        <v>0</v>
      </c>
      <c r="V291" s="24">
        <f t="shared" si="126"/>
        <v>0</v>
      </c>
      <c r="W291" s="24">
        <f t="shared" si="129"/>
        <v>1.5846234331703583E-4</v>
      </c>
      <c r="X291" s="25">
        <f t="shared" si="130"/>
        <v>1.6604104332395927E-4</v>
      </c>
      <c r="Y291" s="8" t="str">
        <f t="shared" si="119"/>
        <v/>
      </c>
      <c r="Z291" s="27">
        <f t="shared" si="120"/>
        <v>1.4616621421993341E-2</v>
      </c>
      <c r="AA291" s="27"/>
      <c r="AB291" s="27"/>
      <c r="AC291" s="56">
        <f t="shared" si="132"/>
        <v>0</v>
      </c>
      <c r="AD291" s="20">
        <f t="shared" si="131"/>
        <v>126771.75000000001</v>
      </c>
      <c r="AE291" s="20">
        <f t="shared" si="121"/>
        <v>0</v>
      </c>
      <c r="AF291" s="20">
        <f t="shared" si="122"/>
        <v>800011834.6500001</v>
      </c>
      <c r="AG291">
        <f t="shared" si="123"/>
        <v>0</v>
      </c>
      <c r="AH291">
        <f t="shared" si="124"/>
        <v>0</v>
      </c>
      <c r="AI291">
        <f t="shared" si="125"/>
        <v>5758158684.96</v>
      </c>
    </row>
    <row r="292" spans="2:35" x14ac:dyDescent="0.25">
      <c r="B292" s="4">
        <v>2024</v>
      </c>
      <c r="C292" s="4" t="s">
        <v>17</v>
      </c>
      <c r="D292" s="4" t="s">
        <v>18</v>
      </c>
      <c r="E292" s="4" t="str">
        <f t="shared" si="127"/>
        <v>Eversource-CT</v>
      </c>
      <c r="F292" s="4" t="s">
        <v>306</v>
      </c>
      <c r="G292" s="4"/>
      <c r="H292" s="4" t="s">
        <v>305</v>
      </c>
      <c r="I292" s="4" t="s">
        <v>167</v>
      </c>
      <c r="J292" s="4" t="s">
        <v>155</v>
      </c>
      <c r="K292" s="5"/>
      <c r="L292" s="49"/>
      <c r="M292" s="8">
        <v>50000</v>
      </c>
      <c r="N292" s="8">
        <v>0</v>
      </c>
      <c r="O292" s="8">
        <f>SUMIFS(EIAwtransport!$J$2:$J$675,EIAwtransport!$E$2:$E$675,Program_data!$E292,EIAwtransport!$H$2:$H$675,Program_data!$F292,EIAwtransport!$I$2:$I$675,Program_data!O$2)</f>
        <v>0</v>
      </c>
      <c r="P292" s="5">
        <f>SUMIFS(EIAwtransport!$J$2:$J$675,EIAwtransport!$E$2:$E$675,Program_data!$E292,EIAwtransport!$H$2:$H$675,Program_data!$F292,EIAwtransport!$I$2:$I$675,Program_data!P$2)</f>
        <v>0</v>
      </c>
      <c r="Q292" s="5">
        <f>SUMIFS(EIAwtransport!$J$2:$J$675,EIAwtransport!$E$2:$E$675,Program_data!$E292,EIAwtransport!$H$2:$H$675,Program_data!$F292,EIAwtransport!$I$2:$I$675,Program_data!Q$2)</f>
        <v>0</v>
      </c>
      <c r="R292" s="8">
        <f>SUMIFS(EIAwtransport!$J$2:$J$675,EIAwtransport!$E$2:$E$675,Program_data!$E292,EIAwtransport!$I$2:$I$675,Program_data!R$2)</f>
        <v>592601359</v>
      </c>
      <c r="S292" s="5">
        <f>SUMIFS(EIAwtransport!$J$2:$J$675,EIAwtransport!$E$2:$E$675,Program_data!$E292,EIAwtransport!$I$2:$I$675,Program_data!S$2)</f>
        <v>54590052</v>
      </c>
      <c r="T292" s="5">
        <f>SUMIFS(EIAwtransport!$J$2:$J$675,EIAwtransport!$E$2:$E$675,Program_data!$E292,EIAwtransport!$I$2:$I$675,Program_data!T$2)</f>
        <v>248834</v>
      </c>
      <c r="U292" s="24">
        <f t="shared" si="128"/>
        <v>0</v>
      </c>
      <c r="V292" s="24">
        <f t="shared" si="126"/>
        <v>0</v>
      </c>
      <c r="W292" s="24">
        <f t="shared" si="129"/>
        <v>8.437375183272234E-5</v>
      </c>
      <c r="X292" s="25">
        <f t="shared" si="130"/>
        <v>8.8409053471039486E-5</v>
      </c>
      <c r="Y292" s="8" t="str">
        <f t="shared" si="119"/>
        <v/>
      </c>
      <c r="Z292" s="27">
        <f t="shared" si="120"/>
        <v>7.7826640871057669E-3</v>
      </c>
      <c r="AA292" s="27"/>
      <c r="AB292" s="27"/>
      <c r="AC292" s="56">
        <f t="shared" si="132"/>
        <v>0</v>
      </c>
      <c r="AD292" s="20">
        <f t="shared" si="131"/>
        <v>67500</v>
      </c>
      <c r="AE292" s="20">
        <f t="shared" si="121"/>
        <v>0</v>
      </c>
      <c r="AF292" s="20">
        <f t="shared" si="122"/>
        <v>800011834.6500001</v>
      </c>
      <c r="AG292">
        <f t="shared" si="123"/>
        <v>0</v>
      </c>
      <c r="AH292">
        <f t="shared" si="124"/>
        <v>0</v>
      </c>
      <c r="AI292">
        <f t="shared" si="125"/>
        <v>5758158684.96</v>
      </c>
    </row>
    <row r="293" spans="2:35" x14ac:dyDescent="0.25">
      <c r="B293" s="4">
        <v>2024</v>
      </c>
      <c r="C293" s="4" t="s">
        <v>17</v>
      </c>
      <c r="D293" s="4" t="s">
        <v>18</v>
      </c>
      <c r="E293" s="4" t="str">
        <f t="shared" si="127"/>
        <v>Eversource-CT</v>
      </c>
      <c r="F293" s="4" t="s">
        <v>306</v>
      </c>
      <c r="G293" s="4"/>
      <c r="H293" s="4" t="s">
        <v>211</v>
      </c>
      <c r="I293" s="4" t="s">
        <v>167</v>
      </c>
      <c r="J293" s="4" t="s">
        <v>155</v>
      </c>
      <c r="K293" s="5"/>
      <c r="L293" s="49"/>
      <c r="M293" s="8">
        <v>1968206</v>
      </c>
      <c r="N293" s="8">
        <v>0</v>
      </c>
      <c r="O293" s="8">
        <f>SUMIFS(EIAwtransport!$J$2:$J$675,EIAwtransport!$E$2:$E$675,Program_data!$E293,EIAwtransport!$H$2:$H$675,Program_data!$F293,EIAwtransport!$I$2:$I$675,Program_data!O$2)</f>
        <v>0</v>
      </c>
      <c r="P293" s="5">
        <f>SUMIFS(EIAwtransport!$J$2:$J$675,EIAwtransport!$E$2:$E$675,Program_data!$E293,EIAwtransport!$H$2:$H$675,Program_data!$F293,EIAwtransport!$I$2:$I$675,Program_data!P$2)</f>
        <v>0</v>
      </c>
      <c r="Q293" s="5">
        <f>SUMIFS(EIAwtransport!$J$2:$J$675,EIAwtransport!$E$2:$E$675,Program_data!$E293,EIAwtransport!$H$2:$H$675,Program_data!$F293,EIAwtransport!$I$2:$I$675,Program_data!Q$2)</f>
        <v>0</v>
      </c>
      <c r="R293" s="8">
        <f>SUMIFS(EIAwtransport!$J$2:$J$675,EIAwtransport!$E$2:$E$675,Program_data!$E293,EIAwtransport!$I$2:$I$675,Program_data!R$2)</f>
        <v>592601359</v>
      </c>
      <c r="S293" s="5">
        <f>SUMIFS(EIAwtransport!$J$2:$J$675,EIAwtransport!$E$2:$E$675,Program_data!$E293,EIAwtransport!$I$2:$I$675,Program_data!S$2)</f>
        <v>54590052</v>
      </c>
      <c r="T293" s="5">
        <f>SUMIFS(EIAwtransport!$J$2:$J$675,EIAwtransport!$E$2:$E$675,Program_data!$E293,EIAwtransport!$I$2:$I$675,Program_data!T$2)</f>
        <v>248834</v>
      </c>
      <c r="U293" s="24">
        <f t="shared" si="128"/>
        <v>0</v>
      </c>
      <c r="V293" s="24">
        <f t="shared" si="126"/>
        <v>0</v>
      </c>
      <c r="W293" s="24">
        <f t="shared" si="129"/>
        <v>3.3212984919935022E-3</v>
      </c>
      <c r="X293" s="25">
        <f t="shared" si="130"/>
        <v>3.4801445899204152E-3</v>
      </c>
      <c r="Y293" s="8" t="str">
        <f t="shared" si="119"/>
        <v/>
      </c>
      <c r="Z293" s="27">
        <f t="shared" si="120"/>
        <v>0.30635772304452186</v>
      </c>
      <c r="AA293" s="27"/>
      <c r="AB293" s="27"/>
      <c r="AC293" s="56">
        <f t="shared" si="132"/>
        <v>0</v>
      </c>
      <c r="AD293" s="20">
        <f t="shared" si="131"/>
        <v>2657078.1</v>
      </c>
      <c r="AE293" s="20">
        <f t="shared" si="121"/>
        <v>0</v>
      </c>
      <c r="AF293" s="20">
        <f t="shared" si="122"/>
        <v>800011834.6500001</v>
      </c>
      <c r="AG293">
        <f t="shared" si="123"/>
        <v>0</v>
      </c>
      <c r="AH293">
        <f t="shared" si="124"/>
        <v>0</v>
      </c>
      <c r="AI293">
        <f t="shared" si="125"/>
        <v>5758158684.96</v>
      </c>
    </row>
    <row r="294" spans="2:35" x14ac:dyDescent="0.25">
      <c r="B294" s="4">
        <v>2025</v>
      </c>
      <c r="C294" s="4" t="s">
        <v>17</v>
      </c>
      <c r="D294" s="4" t="s">
        <v>18</v>
      </c>
      <c r="E294" s="4" t="str">
        <f t="shared" si="127"/>
        <v>Eversource-CT</v>
      </c>
      <c r="F294" s="4" t="s">
        <v>135</v>
      </c>
      <c r="G294" s="4"/>
      <c r="H294" s="4" t="s">
        <v>265</v>
      </c>
      <c r="I294" s="4"/>
      <c r="J294" s="4" t="s">
        <v>32</v>
      </c>
      <c r="K294" s="5"/>
      <c r="L294" s="49"/>
      <c r="M294" s="8">
        <v>63540</v>
      </c>
      <c r="N294" s="8"/>
      <c r="O294" s="8">
        <f>SUMIFS(EIAwtransport!$J$2:$J$675,EIAwtransport!$E$2:$E$675,Program_data!$E294,EIAwtransport!$H$2:$H$675,Program_data!$F294,EIAwtransport!$I$2:$I$675,Program_data!O$2)</f>
        <v>287812625</v>
      </c>
      <c r="P294" s="5">
        <f>SUMIFS(EIAwtransport!$J$2:$J$675,EIAwtransport!$E$2:$E$675,Program_data!$E294,EIAwtransport!$H$2:$H$675,Program_data!$F294,EIAwtransport!$I$2:$I$675,Program_data!P$2)</f>
        <v>15853849</v>
      </c>
      <c r="Q294" s="5">
        <f>SUMIFS(EIAwtransport!$J$2:$J$675,EIAwtransport!$E$2:$E$675,Program_data!$E294,EIAwtransport!$H$2:$H$675,Program_data!$F294,EIAwtransport!$I$2:$I$675,Program_data!Q$2)</f>
        <v>219542</v>
      </c>
      <c r="R294" s="8">
        <f>SUMIFS(EIAwtransport!$J$2:$J$675,EIAwtransport!$E$2:$E$675,Program_data!$E294,EIAwtransport!$I$2:$I$675,Program_data!R$2)</f>
        <v>592601359</v>
      </c>
      <c r="S294" s="5">
        <f>SUMIFS(EIAwtransport!$J$2:$J$675,EIAwtransport!$E$2:$E$675,Program_data!$E294,EIAwtransport!$I$2:$I$675,Program_data!S$2)</f>
        <v>54590052</v>
      </c>
      <c r="T294" s="5">
        <f>SUMIFS(EIAwtransport!$J$2:$J$675,EIAwtransport!$E$2:$E$675,Program_data!$E294,EIAwtransport!$I$2:$I$675,Program_data!T$2)</f>
        <v>248834</v>
      </c>
      <c r="U294" s="24">
        <f t="shared" ref="U294:U350" si="133">IFERROR(K294/10.36/S294,"")</f>
        <v>0</v>
      </c>
      <c r="V294" s="24">
        <f t="shared" si="126"/>
        <v>0</v>
      </c>
      <c r="W294" s="24">
        <f t="shared" ref="W294:W350" si="134">IFERROR(M294/R294,"")</f>
        <v>1.0722216382902355E-4</v>
      </c>
      <c r="X294" s="25">
        <f t="shared" ref="X294:X350" si="135">IFERROR(M294/S294/10.36,"")</f>
        <v>1.1235022515099697E-4</v>
      </c>
      <c r="Y294" s="8" t="str">
        <f t="shared" si="119"/>
        <v/>
      </c>
      <c r="Z294" s="27" t="str">
        <f t="shared" si="120"/>
        <v/>
      </c>
      <c r="AA294" s="27"/>
      <c r="AB294" s="27"/>
      <c r="AC294" s="56">
        <f t="shared" si="132"/>
        <v>0</v>
      </c>
      <c r="AD294" s="20">
        <f t="shared" si="131"/>
        <v>85779</v>
      </c>
      <c r="AE294" s="20">
        <f t="shared" si="121"/>
        <v>0</v>
      </c>
      <c r="AF294" s="20">
        <f t="shared" si="122"/>
        <v>800011834.6500001</v>
      </c>
      <c r="AG294">
        <f t="shared" si="123"/>
        <v>0</v>
      </c>
      <c r="AH294">
        <f t="shared" si="124"/>
        <v>0</v>
      </c>
      <c r="AI294">
        <f t="shared" si="125"/>
        <v>5758158684.96</v>
      </c>
    </row>
    <row r="295" spans="2:35" x14ac:dyDescent="0.25">
      <c r="B295" s="4">
        <v>2025</v>
      </c>
      <c r="C295" s="4" t="s">
        <v>17</v>
      </c>
      <c r="D295" s="4" t="s">
        <v>18</v>
      </c>
      <c r="E295" s="4" t="str">
        <f t="shared" si="127"/>
        <v>Eversource-CT</v>
      </c>
      <c r="F295" s="4" t="s">
        <v>135</v>
      </c>
      <c r="G295" s="4"/>
      <c r="H295" s="4" t="s">
        <v>277</v>
      </c>
      <c r="I295" s="4"/>
      <c r="J295" s="4" t="s">
        <v>155</v>
      </c>
      <c r="K295" s="5"/>
      <c r="L295" s="49"/>
      <c r="M295" s="8">
        <v>3812981</v>
      </c>
      <c r="N295" s="8"/>
      <c r="O295" s="8">
        <f>SUMIFS(EIAwtransport!$J$2:$J$675,EIAwtransport!$E$2:$E$675,Program_data!$E295,EIAwtransport!$H$2:$H$675,Program_data!$F295,EIAwtransport!$I$2:$I$675,Program_data!O$2)</f>
        <v>287812625</v>
      </c>
      <c r="P295" s="5">
        <f>SUMIFS(EIAwtransport!$J$2:$J$675,EIAwtransport!$E$2:$E$675,Program_data!$E295,EIAwtransport!$H$2:$H$675,Program_data!$F295,EIAwtransport!$I$2:$I$675,Program_data!P$2)</f>
        <v>15853849</v>
      </c>
      <c r="Q295" s="5">
        <f>SUMIFS(EIAwtransport!$J$2:$J$675,EIAwtransport!$E$2:$E$675,Program_data!$E295,EIAwtransport!$H$2:$H$675,Program_data!$F295,EIAwtransport!$I$2:$I$675,Program_data!Q$2)</f>
        <v>219542</v>
      </c>
      <c r="R295" s="8">
        <f>SUMIFS(EIAwtransport!$J$2:$J$675,EIAwtransport!$E$2:$E$675,Program_data!$E295,EIAwtransport!$I$2:$I$675,Program_data!R$2)</f>
        <v>592601359</v>
      </c>
      <c r="S295" s="5">
        <f>SUMIFS(EIAwtransport!$J$2:$J$675,EIAwtransport!$E$2:$E$675,Program_data!$E295,EIAwtransport!$I$2:$I$675,Program_data!S$2)</f>
        <v>54590052</v>
      </c>
      <c r="T295" s="5">
        <f>SUMIFS(EIAwtransport!$J$2:$J$675,EIAwtransport!$E$2:$E$675,Program_data!$E295,EIAwtransport!$I$2:$I$675,Program_data!T$2)</f>
        <v>248834</v>
      </c>
      <c r="U295" s="24">
        <f t="shared" si="133"/>
        <v>0</v>
      </c>
      <c r="V295" s="24">
        <f t="shared" si="126"/>
        <v>0</v>
      </c>
      <c r="W295" s="24">
        <f t="shared" si="134"/>
        <v>6.4343102527377096E-3</v>
      </c>
      <c r="X295" s="25">
        <f t="shared" si="135"/>
        <v>6.7420408222611528E-3</v>
      </c>
      <c r="Y295" s="8" t="str">
        <f t="shared" si="119"/>
        <v/>
      </c>
      <c r="Z295" s="27" t="str">
        <f t="shared" si="120"/>
        <v/>
      </c>
      <c r="AA295" s="27"/>
      <c r="AB295" s="27"/>
      <c r="AC295" s="56">
        <f t="shared" si="132"/>
        <v>0</v>
      </c>
      <c r="AD295" s="20">
        <f t="shared" si="131"/>
        <v>5147524.3500000006</v>
      </c>
      <c r="AE295" s="20">
        <f t="shared" si="121"/>
        <v>0</v>
      </c>
      <c r="AF295" s="20">
        <f t="shared" si="122"/>
        <v>800011834.6500001</v>
      </c>
      <c r="AG295">
        <f t="shared" si="123"/>
        <v>0</v>
      </c>
      <c r="AH295">
        <f t="shared" si="124"/>
        <v>0</v>
      </c>
      <c r="AI295">
        <f t="shared" si="125"/>
        <v>5758158684.96</v>
      </c>
    </row>
    <row r="296" spans="2:35" x14ac:dyDescent="0.25">
      <c r="B296" s="4">
        <v>2025</v>
      </c>
      <c r="C296" s="4" t="s">
        <v>17</v>
      </c>
      <c r="D296" s="4" t="s">
        <v>18</v>
      </c>
      <c r="E296" s="4" t="str">
        <f t="shared" si="127"/>
        <v>Eversource-CT</v>
      </c>
      <c r="F296" s="4" t="s">
        <v>135</v>
      </c>
      <c r="G296" s="4"/>
      <c r="H296" s="4" t="s">
        <v>202</v>
      </c>
      <c r="I296" s="4"/>
      <c r="J296" s="4" t="s">
        <v>155</v>
      </c>
      <c r="K296" s="5"/>
      <c r="L296" s="49"/>
      <c r="M296" s="8">
        <v>3041653</v>
      </c>
      <c r="N296" s="8"/>
      <c r="O296" s="8">
        <f>SUMIFS(EIAwtransport!$J$2:$J$675,EIAwtransport!$E$2:$E$675,Program_data!$E296,EIAwtransport!$H$2:$H$675,Program_data!$F296,EIAwtransport!$I$2:$I$675,Program_data!O$2)</f>
        <v>287812625</v>
      </c>
      <c r="P296" s="5">
        <f>SUMIFS(EIAwtransport!$J$2:$J$675,EIAwtransport!$E$2:$E$675,Program_data!$E296,EIAwtransport!$H$2:$H$675,Program_data!$F296,EIAwtransport!$I$2:$I$675,Program_data!P$2)</f>
        <v>15853849</v>
      </c>
      <c r="Q296" s="5">
        <f>SUMIFS(EIAwtransport!$J$2:$J$675,EIAwtransport!$E$2:$E$675,Program_data!$E296,EIAwtransport!$H$2:$H$675,Program_data!$F296,EIAwtransport!$I$2:$I$675,Program_data!Q$2)</f>
        <v>219542</v>
      </c>
      <c r="R296" s="8">
        <f>SUMIFS(EIAwtransport!$J$2:$J$675,EIAwtransport!$E$2:$E$675,Program_data!$E296,EIAwtransport!$I$2:$I$675,Program_data!R$2)</f>
        <v>592601359</v>
      </c>
      <c r="S296" s="5">
        <f>SUMIFS(EIAwtransport!$J$2:$J$675,EIAwtransport!$E$2:$E$675,Program_data!$E296,EIAwtransport!$I$2:$I$675,Program_data!S$2)</f>
        <v>54590052</v>
      </c>
      <c r="T296" s="5">
        <f>SUMIFS(EIAwtransport!$J$2:$J$675,EIAwtransport!$E$2:$E$675,Program_data!$E296,EIAwtransport!$I$2:$I$675,Program_data!T$2)</f>
        <v>248834</v>
      </c>
      <c r="U296" s="24">
        <f t="shared" si="133"/>
        <v>0</v>
      </c>
      <c r="V296" s="24">
        <f t="shared" si="126"/>
        <v>0</v>
      </c>
      <c r="W296" s="24">
        <f t="shared" si="134"/>
        <v>5.1327135076651084E-3</v>
      </c>
      <c r="X296" s="25">
        <f t="shared" si="135"/>
        <v>5.378193254346954E-3</v>
      </c>
      <c r="Y296" s="8" t="str">
        <f t="shared" si="119"/>
        <v/>
      </c>
      <c r="Z296" s="27" t="str">
        <f t="shared" si="120"/>
        <v/>
      </c>
      <c r="AA296" s="27"/>
      <c r="AB296" s="27"/>
      <c r="AC296" s="56">
        <f t="shared" si="132"/>
        <v>0</v>
      </c>
      <c r="AD296" s="20">
        <f t="shared" si="131"/>
        <v>4106231.5500000003</v>
      </c>
      <c r="AE296" s="20">
        <f t="shared" si="121"/>
        <v>0</v>
      </c>
      <c r="AF296" s="20">
        <f t="shared" si="122"/>
        <v>800011834.6500001</v>
      </c>
      <c r="AG296">
        <f t="shared" si="123"/>
        <v>0</v>
      </c>
      <c r="AH296">
        <f t="shared" si="124"/>
        <v>0</v>
      </c>
      <c r="AI296">
        <f t="shared" si="125"/>
        <v>5758158684.96</v>
      </c>
    </row>
    <row r="297" spans="2:35" x14ac:dyDescent="0.25">
      <c r="B297" s="4">
        <v>2025</v>
      </c>
      <c r="C297" s="4" t="s">
        <v>17</v>
      </c>
      <c r="D297" s="4" t="s">
        <v>18</v>
      </c>
      <c r="E297" s="4" t="str">
        <f t="shared" si="127"/>
        <v>Eversource-CT</v>
      </c>
      <c r="F297" s="4" t="s">
        <v>143</v>
      </c>
      <c r="G297" s="4">
        <v>1</v>
      </c>
      <c r="H297" s="4" t="s">
        <v>293</v>
      </c>
      <c r="I297" s="4"/>
      <c r="J297" s="4" t="s">
        <v>155</v>
      </c>
      <c r="K297" s="5"/>
      <c r="L297" s="49"/>
      <c r="M297" s="8">
        <v>5176952</v>
      </c>
      <c r="N297" s="8"/>
      <c r="O297" s="8">
        <f>SUMIFS(EIAwtransport!$J$2:$J$675,EIAwtransport!$E$2:$E$675,Program_data!$E297,EIAwtransport!$H$2:$H$675,Program_data!$F297,EIAwtransport!$I$2:$I$675,Program_data!O$2)</f>
        <v>0</v>
      </c>
      <c r="P297" s="5">
        <f>SUMIFS(EIAwtransport!$J$2:$J$675,EIAwtransport!$E$2:$E$675,Program_data!$E297,EIAwtransport!$H$2:$H$675,Program_data!$F297,EIAwtransport!$I$2:$I$675,Program_data!P$2)</f>
        <v>0</v>
      </c>
      <c r="Q297" s="5">
        <f>SUMIFS(EIAwtransport!$J$2:$J$675,EIAwtransport!$E$2:$E$675,Program_data!$E297,EIAwtransport!$H$2:$H$675,Program_data!$F297,EIAwtransport!$I$2:$I$675,Program_data!Q$2)</f>
        <v>0</v>
      </c>
      <c r="R297" s="8">
        <f>SUMIFS(EIAwtransport!$J$2:$J$675,EIAwtransport!$E$2:$E$675,Program_data!$E297,EIAwtransport!$I$2:$I$675,Program_data!R$2)</f>
        <v>592601359</v>
      </c>
      <c r="S297" s="5">
        <f>SUMIFS(EIAwtransport!$J$2:$J$675,EIAwtransport!$E$2:$E$675,Program_data!$E297,EIAwtransport!$I$2:$I$675,Program_data!S$2)</f>
        <v>54590052</v>
      </c>
      <c r="T297" s="5">
        <f>SUMIFS(EIAwtransport!$J$2:$J$675,EIAwtransport!$E$2:$E$675,Program_data!$E297,EIAwtransport!$I$2:$I$675,Program_data!T$2)</f>
        <v>248834</v>
      </c>
      <c r="U297" s="24">
        <f t="shared" si="133"/>
        <v>0</v>
      </c>
      <c r="V297" s="24">
        <f t="shared" si="126"/>
        <v>0</v>
      </c>
      <c r="W297" s="24">
        <f t="shared" si="134"/>
        <v>8.7359772659583116E-3</v>
      </c>
      <c r="X297" s="25">
        <f t="shared" si="135"/>
        <v>9.1537885237000984E-3</v>
      </c>
      <c r="Y297" s="8" t="str">
        <f t="shared" si="119"/>
        <v/>
      </c>
      <c r="Z297" s="27" t="str">
        <f t="shared" si="120"/>
        <v/>
      </c>
      <c r="AA297" s="27"/>
      <c r="AB297" s="27"/>
      <c r="AC297" s="56">
        <f t="shared" si="132"/>
        <v>0</v>
      </c>
      <c r="AD297" s="20">
        <f t="shared" si="131"/>
        <v>6988885.2000000002</v>
      </c>
      <c r="AE297" s="20">
        <f t="shared" si="121"/>
        <v>0</v>
      </c>
      <c r="AF297" s="20">
        <f t="shared" si="122"/>
        <v>800011834.6500001</v>
      </c>
      <c r="AG297">
        <f t="shared" si="123"/>
        <v>0</v>
      </c>
      <c r="AH297">
        <f t="shared" si="124"/>
        <v>0</v>
      </c>
      <c r="AI297">
        <f t="shared" si="125"/>
        <v>5758158684.96</v>
      </c>
    </row>
    <row r="298" spans="2:35" x14ac:dyDescent="0.25">
      <c r="B298" s="4">
        <v>2025</v>
      </c>
      <c r="C298" s="4" t="s">
        <v>17</v>
      </c>
      <c r="D298" s="4" t="s">
        <v>18</v>
      </c>
      <c r="E298" s="4" t="str">
        <f t="shared" si="127"/>
        <v>Eversource-CT</v>
      </c>
      <c r="F298" s="4" t="s">
        <v>135</v>
      </c>
      <c r="G298" s="4"/>
      <c r="H298" s="4" t="s">
        <v>294</v>
      </c>
      <c r="I298" s="4"/>
      <c r="J298" s="4" t="s">
        <v>155</v>
      </c>
      <c r="K298" s="5"/>
      <c r="L298" s="49"/>
      <c r="M298" s="8">
        <v>10000</v>
      </c>
      <c r="N298" s="8"/>
      <c r="O298" s="8">
        <f>SUMIFS(EIAwtransport!$J$2:$J$675,EIAwtransport!$E$2:$E$675,Program_data!$E298,EIAwtransport!$H$2:$H$675,Program_data!$F298,EIAwtransport!$I$2:$I$675,Program_data!O$2)</f>
        <v>287812625</v>
      </c>
      <c r="P298" s="5">
        <f>SUMIFS(EIAwtransport!$J$2:$J$675,EIAwtransport!$E$2:$E$675,Program_data!$E298,EIAwtransport!$H$2:$H$675,Program_data!$F298,EIAwtransport!$I$2:$I$675,Program_data!P$2)</f>
        <v>15853849</v>
      </c>
      <c r="Q298" s="5">
        <f>SUMIFS(EIAwtransport!$J$2:$J$675,EIAwtransport!$E$2:$E$675,Program_data!$E298,EIAwtransport!$H$2:$H$675,Program_data!$F298,EIAwtransport!$I$2:$I$675,Program_data!Q$2)</f>
        <v>219542</v>
      </c>
      <c r="R298" s="8">
        <f>SUMIFS(EIAwtransport!$J$2:$J$675,EIAwtransport!$E$2:$E$675,Program_data!$E298,EIAwtransport!$I$2:$I$675,Program_data!R$2)</f>
        <v>592601359</v>
      </c>
      <c r="S298" s="5">
        <f>SUMIFS(EIAwtransport!$J$2:$J$675,EIAwtransport!$E$2:$E$675,Program_data!$E298,EIAwtransport!$I$2:$I$675,Program_data!S$2)</f>
        <v>54590052</v>
      </c>
      <c r="T298" s="5">
        <f>SUMIFS(EIAwtransport!$J$2:$J$675,EIAwtransport!$E$2:$E$675,Program_data!$E298,EIAwtransport!$I$2:$I$675,Program_data!T$2)</f>
        <v>248834</v>
      </c>
      <c r="U298" s="24">
        <f t="shared" si="133"/>
        <v>0</v>
      </c>
      <c r="V298" s="24">
        <f t="shared" si="126"/>
        <v>0</v>
      </c>
      <c r="W298" s="24">
        <f t="shared" si="134"/>
        <v>1.6874750366544468E-5</v>
      </c>
      <c r="X298" s="25">
        <f t="shared" si="135"/>
        <v>1.76818106942079E-5</v>
      </c>
      <c r="Y298" s="8" t="str">
        <f t="shared" si="119"/>
        <v/>
      </c>
      <c r="Z298" s="27" t="str">
        <f t="shared" si="120"/>
        <v/>
      </c>
      <c r="AA298" s="27"/>
      <c r="AB298" s="27"/>
      <c r="AC298" s="56">
        <f t="shared" si="132"/>
        <v>0</v>
      </c>
      <c r="AD298" s="20">
        <f t="shared" si="131"/>
        <v>13500</v>
      </c>
      <c r="AE298" s="20">
        <f t="shared" si="121"/>
        <v>0</v>
      </c>
      <c r="AF298" s="20">
        <f t="shared" si="122"/>
        <v>800011834.6500001</v>
      </c>
      <c r="AG298">
        <f t="shared" si="123"/>
        <v>0</v>
      </c>
      <c r="AH298">
        <f t="shared" si="124"/>
        <v>0</v>
      </c>
      <c r="AI298">
        <f t="shared" si="125"/>
        <v>5758158684.96</v>
      </c>
    </row>
    <row r="299" spans="2:35" x14ac:dyDescent="0.25">
      <c r="B299" s="4">
        <v>2025</v>
      </c>
      <c r="C299" s="4" t="s">
        <v>17</v>
      </c>
      <c r="D299" s="4" t="s">
        <v>18</v>
      </c>
      <c r="E299" s="4" t="str">
        <f t="shared" si="127"/>
        <v>Eversource-CT</v>
      </c>
      <c r="F299" s="4" t="s">
        <v>146</v>
      </c>
      <c r="G299" s="4"/>
      <c r="H299" s="4" t="s">
        <v>295</v>
      </c>
      <c r="I299" s="4"/>
      <c r="J299" s="4" t="s">
        <v>155</v>
      </c>
      <c r="K299" s="5"/>
      <c r="L299" s="49"/>
      <c r="M299" s="8">
        <v>4160543</v>
      </c>
      <c r="N299" s="8"/>
      <c r="O299" s="8">
        <f>SUMIFS(EIAwtransport!$J$2:$J$675,EIAwtransport!$E$2:$E$675,Program_data!$E299,EIAwtransport!$H$2:$H$675,Program_data!$F299,EIAwtransport!$I$2:$I$675,Program_data!O$2)</f>
        <v>304788734</v>
      </c>
      <c r="P299" s="5">
        <f>SUMIFS(EIAwtransport!$J$2:$J$675,EIAwtransport!$E$2:$E$675,Program_data!$E299,EIAwtransport!$H$2:$H$675,Program_data!$F299,EIAwtransport!$I$2:$I$675,Program_data!P$2)</f>
        <v>38736203</v>
      </c>
      <c r="Q299" s="5">
        <f>SUMIFS(EIAwtransport!$J$2:$J$675,EIAwtransport!$E$2:$E$675,Program_data!$E299,EIAwtransport!$H$2:$H$675,Program_data!$F299,EIAwtransport!$I$2:$I$675,Program_data!Q$2)</f>
        <v>29292</v>
      </c>
      <c r="R299" s="8">
        <f>SUMIFS(EIAwtransport!$J$2:$J$675,EIAwtransport!$E$2:$E$675,Program_data!$E299,EIAwtransport!$I$2:$I$675,Program_data!R$2)</f>
        <v>592601359</v>
      </c>
      <c r="S299" s="5">
        <f>SUMIFS(EIAwtransport!$J$2:$J$675,EIAwtransport!$E$2:$E$675,Program_data!$E299,EIAwtransport!$I$2:$I$675,Program_data!S$2)</f>
        <v>54590052</v>
      </c>
      <c r="T299" s="5">
        <f>SUMIFS(EIAwtransport!$J$2:$J$675,EIAwtransport!$E$2:$E$675,Program_data!$E299,EIAwtransport!$I$2:$I$675,Program_data!T$2)</f>
        <v>248834</v>
      </c>
      <c r="U299" s="24">
        <f t="shared" si="133"/>
        <v>0</v>
      </c>
      <c r="V299" s="24">
        <f t="shared" si="126"/>
        <v>0</v>
      </c>
      <c r="W299" s="24">
        <f t="shared" si="134"/>
        <v>7.0208124514274019E-3</v>
      </c>
      <c r="X299" s="25">
        <f t="shared" si="135"/>
        <v>7.3565933711111815E-3</v>
      </c>
      <c r="Y299" s="8" t="str">
        <f t="shared" si="119"/>
        <v/>
      </c>
      <c r="Z299" s="27" t="str">
        <f t="shared" si="120"/>
        <v/>
      </c>
      <c r="AA299" s="27"/>
      <c r="AB299" s="27"/>
      <c r="AC299" s="56">
        <f t="shared" si="132"/>
        <v>0</v>
      </c>
      <c r="AD299" s="20">
        <f t="shared" si="131"/>
        <v>5616733.0500000007</v>
      </c>
      <c r="AE299" s="20">
        <f t="shared" si="121"/>
        <v>0</v>
      </c>
      <c r="AF299" s="20">
        <f t="shared" si="122"/>
        <v>800011834.6500001</v>
      </c>
      <c r="AG299">
        <f t="shared" si="123"/>
        <v>0</v>
      </c>
      <c r="AH299">
        <f t="shared" si="124"/>
        <v>0</v>
      </c>
      <c r="AI299">
        <f t="shared" si="125"/>
        <v>5758158684.96</v>
      </c>
    </row>
    <row r="300" spans="2:35" x14ac:dyDescent="0.25">
      <c r="B300" s="4">
        <v>2025</v>
      </c>
      <c r="C300" s="4" t="s">
        <v>17</v>
      </c>
      <c r="D300" s="4" t="s">
        <v>18</v>
      </c>
      <c r="E300" s="4" t="str">
        <f t="shared" si="127"/>
        <v>Eversource-CT</v>
      </c>
      <c r="F300" s="4" t="s">
        <v>146</v>
      </c>
      <c r="G300" s="4"/>
      <c r="H300" s="4" t="s">
        <v>296</v>
      </c>
      <c r="I300" s="4"/>
      <c r="J300" s="4" t="s">
        <v>155</v>
      </c>
      <c r="K300" s="5"/>
      <c r="L300" s="49"/>
      <c r="M300" s="8">
        <v>3827266</v>
      </c>
      <c r="N300" s="8"/>
      <c r="O300" s="8">
        <f>SUMIFS(EIAwtransport!$J$2:$J$675,EIAwtransport!$E$2:$E$675,Program_data!$E300,EIAwtransport!$H$2:$H$675,Program_data!$F300,EIAwtransport!$I$2:$I$675,Program_data!O$2)</f>
        <v>304788734</v>
      </c>
      <c r="P300" s="5">
        <f>SUMIFS(EIAwtransport!$J$2:$J$675,EIAwtransport!$E$2:$E$675,Program_data!$E300,EIAwtransport!$H$2:$H$675,Program_data!$F300,EIAwtransport!$I$2:$I$675,Program_data!P$2)</f>
        <v>38736203</v>
      </c>
      <c r="Q300" s="5">
        <f>SUMIFS(EIAwtransport!$J$2:$J$675,EIAwtransport!$E$2:$E$675,Program_data!$E300,EIAwtransport!$H$2:$H$675,Program_data!$F300,EIAwtransport!$I$2:$I$675,Program_data!Q$2)</f>
        <v>29292</v>
      </c>
      <c r="R300" s="8">
        <f>SUMIFS(EIAwtransport!$J$2:$J$675,EIAwtransport!$E$2:$E$675,Program_data!$E300,EIAwtransport!$I$2:$I$675,Program_data!R$2)</f>
        <v>592601359</v>
      </c>
      <c r="S300" s="5">
        <f>SUMIFS(EIAwtransport!$J$2:$J$675,EIAwtransport!$E$2:$E$675,Program_data!$E300,EIAwtransport!$I$2:$I$675,Program_data!S$2)</f>
        <v>54590052</v>
      </c>
      <c r="T300" s="5">
        <f>SUMIFS(EIAwtransport!$J$2:$J$675,EIAwtransport!$E$2:$E$675,Program_data!$E300,EIAwtransport!$I$2:$I$675,Program_data!T$2)</f>
        <v>248834</v>
      </c>
      <c r="U300" s="24">
        <f t="shared" si="133"/>
        <v>0</v>
      </c>
      <c r="V300" s="24">
        <f t="shared" si="126"/>
        <v>0</v>
      </c>
      <c r="W300" s="24">
        <f t="shared" si="134"/>
        <v>6.4584158336363183E-3</v>
      </c>
      <c r="X300" s="25">
        <f t="shared" si="135"/>
        <v>6.7672992888378287E-3</v>
      </c>
      <c r="Y300" s="8" t="str">
        <f t="shared" si="119"/>
        <v/>
      </c>
      <c r="Z300" s="27" t="str">
        <f t="shared" si="120"/>
        <v/>
      </c>
      <c r="AA300" s="27"/>
      <c r="AB300" s="27"/>
      <c r="AC300" s="56">
        <f t="shared" si="132"/>
        <v>0</v>
      </c>
      <c r="AD300" s="20">
        <f t="shared" si="131"/>
        <v>5166809.1000000006</v>
      </c>
      <c r="AE300" s="20">
        <f t="shared" si="121"/>
        <v>0</v>
      </c>
      <c r="AF300" s="20">
        <f t="shared" si="122"/>
        <v>800011834.6500001</v>
      </c>
      <c r="AG300">
        <f t="shared" si="123"/>
        <v>0</v>
      </c>
      <c r="AH300">
        <f t="shared" si="124"/>
        <v>0</v>
      </c>
      <c r="AI300">
        <f t="shared" si="125"/>
        <v>5758158684.96</v>
      </c>
    </row>
    <row r="301" spans="2:35" x14ac:dyDescent="0.25">
      <c r="B301" s="4">
        <v>2025</v>
      </c>
      <c r="C301" s="4" t="s">
        <v>17</v>
      </c>
      <c r="D301" s="4" t="s">
        <v>18</v>
      </c>
      <c r="E301" s="4" t="str">
        <f t="shared" si="127"/>
        <v>Eversource-CT</v>
      </c>
      <c r="F301" s="4" t="s">
        <v>146</v>
      </c>
      <c r="G301" s="4"/>
      <c r="H301" s="4" t="s">
        <v>297</v>
      </c>
      <c r="I301" s="4"/>
      <c r="J301" s="4" t="s">
        <v>155</v>
      </c>
      <c r="K301" s="5"/>
      <c r="L301" s="49"/>
      <c r="M301" s="8">
        <v>708372</v>
      </c>
      <c r="N301" s="8"/>
      <c r="O301" s="8">
        <f>SUMIFS(EIAwtransport!$J$2:$J$675,EIAwtransport!$E$2:$E$675,Program_data!$E301,EIAwtransport!$H$2:$H$675,Program_data!$F301,EIAwtransport!$I$2:$I$675,Program_data!O$2)</f>
        <v>304788734</v>
      </c>
      <c r="P301" s="5">
        <f>SUMIFS(EIAwtransport!$J$2:$J$675,EIAwtransport!$E$2:$E$675,Program_data!$E301,EIAwtransport!$H$2:$H$675,Program_data!$F301,EIAwtransport!$I$2:$I$675,Program_data!P$2)</f>
        <v>38736203</v>
      </c>
      <c r="Q301" s="5">
        <f>SUMIFS(EIAwtransport!$J$2:$J$675,EIAwtransport!$E$2:$E$675,Program_data!$E301,EIAwtransport!$H$2:$H$675,Program_data!$F301,EIAwtransport!$I$2:$I$675,Program_data!Q$2)</f>
        <v>29292</v>
      </c>
      <c r="R301" s="8">
        <f>SUMIFS(EIAwtransport!$J$2:$J$675,EIAwtransport!$E$2:$E$675,Program_data!$E301,EIAwtransport!$I$2:$I$675,Program_data!R$2)</f>
        <v>592601359</v>
      </c>
      <c r="S301" s="5">
        <f>SUMIFS(EIAwtransport!$J$2:$J$675,EIAwtransport!$E$2:$E$675,Program_data!$E301,EIAwtransport!$I$2:$I$675,Program_data!S$2)</f>
        <v>54590052</v>
      </c>
      <c r="T301" s="5">
        <f>SUMIFS(EIAwtransport!$J$2:$J$675,EIAwtransport!$E$2:$E$675,Program_data!$E301,EIAwtransport!$I$2:$I$675,Program_data!T$2)</f>
        <v>248834</v>
      </c>
      <c r="U301" s="24">
        <f t="shared" si="133"/>
        <v>0</v>
      </c>
      <c r="V301" s="24">
        <f t="shared" si="126"/>
        <v>0</v>
      </c>
      <c r="W301" s="24">
        <f t="shared" si="134"/>
        <v>1.1953600666649838E-3</v>
      </c>
      <c r="X301" s="25">
        <f t="shared" si="135"/>
        <v>1.2525299605077437E-3</v>
      </c>
      <c r="Y301" s="8" t="str">
        <f t="shared" si="119"/>
        <v/>
      </c>
      <c r="Z301" s="27" t="str">
        <f t="shared" si="120"/>
        <v/>
      </c>
      <c r="AA301" s="27"/>
      <c r="AB301" s="27"/>
      <c r="AC301" s="56">
        <f t="shared" si="132"/>
        <v>0</v>
      </c>
      <c r="AD301" s="20">
        <f t="shared" si="131"/>
        <v>956302.20000000007</v>
      </c>
      <c r="AE301" s="20">
        <f t="shared" si="121"/>
        <v>0</v>
      </c>
      <c r="AF301" s="20">
        <f t="shared" si="122"/>
        <v>800011834.6500001</v>
      </c>
      <c r="AG301">
        <f t="shared" si="123"/>
        <v>0</v>
      </c>
      <c r="AH301">
        <f t="shared" si="124"/>
        <v>0</v>
      </c>
      <c r="AI301">
        <f t="shared" si="125"/>
        <v>5758158684.96</v>
      </c>
    </row>
    <row r="302" spans="2:35" x14ac:dyDescent="0.25">
      <c r="B302" s="4">
        <v>2025</v>
      </c>
      <c r="C302" s="4" t="s">
        <v>17</v>
      </c>
      <c r="D302" s="4" t="s">
        <v>18</v>
      </c>
      <c r="E302" s="4" t="str">
        <f t="shared" si="127"/>
        <v>Eversource-CT</v>
      </c>
      <c r="F302" s="4" t="s">
        <v>146</v>
      </c>
      <c r="G302" s="4"/>
      <c r="H302" s="4" t="s">
        <v>75</v>
      </c>
      <c r="I302" s="4"/>
      <c r="J302" s="4" t="s">
        <v>155</v>
      </c>
      <c r="K302" s="5"/>
      <c r="L302" s="49"/>
      <c r="M302" s="8">
        <v>733133</v>
      </c>
      <c r="N302" s="8"/>
      <c r="O302" s="8">
        <f>SUMIFS(EIAwtransport!$J$2:$J$675,EIAwtransport!$E$2:$E$675,Program_data!$E302,EIAwtransport!$H$2:$H$675,Program_data!$F302,EIAwtransport!$I$2:$I$675,Program_data!O$2)</f>
        <v>304788734</v>
      </c>
      <c r="P302" s="5">
        <f>SUMIFS(EIAwtransport!$J$2:$J$675,EIAwtransport!$E$2:$E$675,Program_data!$E302,EIAwtransport!$H$2:$H$675,Program_data!$F302,EIAwtransport!$I$2:$I$675,Program_data!P$2)</f>
        <v>38736203</v>
      </c>
      <c r="Q302" s="5">
        <f>SUMIFS(EIAwtransport!$J$2:$J$675,EIAwtransport!$E$2:$E$675,Program_data!$E302,EIAwtransport!$H$2:$H$675,Program_data!$F302,EIAwtransport!$I$2:$I$675,Program_data!Q$2)</f>
        <v>29292</v>
      </c>
      <c r="R302" s="8">
        <f>SUMIFS(EIAwtransport!$J$2:$J$675,EIAwtransport!$E$2:$E$675,Program_data!$E302,EIAwtransport!$I$2:$I$675,Program_data!R$2)</f>
        <v>592601359</v>
      </c>
      <c r="S302" s="5">
        <f>SUMIFS(EIAwtransport!$J$2:$J$675,EIAwtransport!$E$2:$E$675,Program_data!$E302,EIAwtransport!$I$2:$I$675,Program_data!S$2)</f>
        <v>54590052</v>
      </c>
      <c r="T302" s="5">
        <f>SUMIFS(EIAwtransport!$J$2:$J$675,EIAwtransport!$E$2:$E$675,Program_data!$E302,EIAwtransport!$I$2:$I$675,Program_data!T$2)</f>
        <v>248834</v>
      </c>
      <c r="U302" s="24">
        <f t="shared" si="133"/>
        <v>0</v>
      </c>
      <c r="V302" s="24">
        <f t="shared" si="126"/>
        <v>0</v>
      </c>
      <c r="W302" s="24">
        <f t="shared" si="134"/>
        <v>1.2371436360475846E-3</v>
      </c>
      <c r="X302" s="25">
        <f t="shared" si="135"/>
        <v>1.2963118919676721E-3</v>
      </c>
      <c r="Y302" s="8" t="str">
        <f t="shared" si="119"/>
        <v/>
      </c>
      <c r="Z302" s="27" t="str">
        <f t="shared" si="120"/>
        <v/>
      </c>
      <c r="AA302" s="27"/>
      <c r="AB302" s="27"/>
      <c r="AC302" s="56">
        <f t="shared" si="132"/>
        <v>0</v>
      </c>
      <c r="AD302" s="20">
        <f t="shared" si="131"/>
        <v>989729.55</v>
      </c>
      <c r="AE302" s="20">
        <f t="shared" si="121"/>
        <v>0</v>
      </c>
      <c r="AF302" s="20">
        <f t="shared" si="122"/>
        <v>800011834.6500001</v>
      </c>
      <c r="AG302">
        <f t="shared" si="123"/>
        <v>0</v>
      </c>
      <c r="AH302">
        <f t="shared" si="124"/>
        <v>0</v>
      </c>
      <c r="AI302">
        <f t="shared" si="125"/>
        <v>5758158684.96</v>
      </c>
    </row>
    <row r="303" spans="2:35" x14ac:dyDescent="0.25">
      <c r="B303" s="4">
        <v>2025</v>
      </c>
      <c r="C303" s="4" t="s">
        <v>17</v>
      </c>
      <c r="D303" s="4" t="s">
        <v>18</v>
      </c>
      <c r="E303" s="4" t="str">
        <f t="shared" si="127"/>
        <v>Eversource-CT</v>
      </c>
      <c r="F303" s="4" t="s">
        <v>135</v>
      </c>
      <c r="G303" s="4"/>
      <c r="H303" s="4" t="s">
        <v>298</v>
      </c>
      <c r="I303" s="4" t="s">
        <v>167</v>
      </c>
      <c r="J303" s="4" t="s">
        <v>155</v>
      </c>
      <c r="K303" s="5"/>
      <c r="L303" s="49"/>
      <c r="M303" s="8">
        <v>0</v>
      </c>
      <c r="N303" s="8"/>
      <c r="O303" s="8">
        <f>SUMIFS(EIAwtransport!$J$2:$J$675,EIAwtransport!$E$2:$E$675,Program_data!$E303,EIAwtransport!$H$2:$H$675,Program_data!$F303,EIAwtransport!$I$2:$I$675,Program_data!O$2)</f>
        <v>287812625</v>
      </c>
      <c r="P303" s="5">
        <f>SUMIFS(EIAwtransport!$J$2:$J$675,EIAwtransport!$E$2:$E$675,Program_data!$E303,EIAwtransport!$H$2:$H$675,Program_data!$F303,EIAwtransport!$I$2:$I$675,Program_data!P$2)</f>
        <v>15853849</v>
      </c>
      <c r="Q303" s="5">
        <f>SUMIFS(EIAwtransport!$J$2:$J$675,EIAwtransport!$E$2:$E$675,Program_data!$E303,EIAwtransport!$H$2:$H$675,Program_data!$F303,EIAwtransport!$I$2:$I$675,Program_data!Q$2)</f>
        <v>219542</v>
      </c>
      <c r="R303" s="8">
        <f>SUMIFS(EIAwtransport!$J$2:$J$675,EIAwtransport!$E$2:$E$675,Program_data!$E303,EIAwtransport!$I$2:$I$675,Program_data!R$2)</f>
        <v>592601359</v>
      </c>
      <c r="S303" s="5">
        <f>SUMIFS(EIAwtransport!$J$2:$J$675,EIAwtransport!$E$2:$E$675,Program_data!$E303,EIAwtransport!$I$2:$I$675,Program_data!S$2)</f>
        <v>54590052</v>
      </c>
      <c r="T303" s="5">
        <f>SUMIFS(EIAwtransport!$J$2:$J$675,EIAwtransport!$E$2:$E$675,Program_data!$E303,EIAwtransport!$I$2:$I$675,Program_data!T$2)</f>
        <v>248834</v>
      </c>
      <c r="U303" s="24">
        <f t="shared" si="133"/>
        <v>0</v>
      </c>
      <c r="V303" s="24">
        <f t="shared" si="126"/>
        <v>0</v>
      </c>
      <c r="W303" s="24">
        <f t="shared" si="134"/>
        <v>0</v>
      </c>
      <c r="X303" s="25">
        <f t="shared" si="135"/>
        <v>0</v>
      </c>
      <c r="Y303" s="8" t="str">
        <f t="shared" si="119"/>
        <v/>
      </c>
      <c r="Z303" s="27" t="str">
        <f t="shared" si="120"/>
        <v/>
      </c>
      <c r="AA303" s="27"/>
      <c r="AB303" s="27"/>
      <c r="AC303" s="56">
        <f t="shared" si="132"/>
        <v>0</v>
      </c>
      <c r="AD303" s="20">
        <f t="shared" si="131"/>
        <v>0</v>
      </c>
      <c r="AE303" s="20">
        <f t="shared" si="121"/>
        <v>0</v>
      </c>
      <c r="AF303" s="20">
        <f t="shared" si="122"/>
        <v>800011834.6500001</v>
      </c>
      <c r="AG303">
        <f t="shared" si="123"/>
        <v>0</v>
      </c>
      <c r="AH303">
        <f t="shared" si="124"/>
        <v>0</v>
      </c>
      <c r="AI303">
        <f t="shared" si="125"/>
        <v>5758158684.96</v>
      </c>
    </row>
    <row r="304" spans="2:35" x14ac:dyDescent="0.25">
      <c r="B304" s="4">
        <v>2025</v>
      </c>
      <c r="C304" s="4" t="s">
        <v>17</v>
      </c>
      <c r="D304" s="4" t="s">
        <v>18</v>
      </c>
      <c r="E304" s="4" t="str">
        <f t="shared" si="127"/>
        <v>Eversource-CT</v>
      </c>
      <c r="F304" s="4" t="s">
        <v>146</v>
      </c>
      <c r="G304" s="4"/>
      <c r="H304" s="4" t="s">
        <v>299</v>
      </c>
      <c r="I304" s="4" t="s">
        <v>167</v>
      </c>
      <c r="J304" s="4" t="s">
        <v>155</v>
      </c>
      <c r="K304" s="5"/>
      <c r="L304" s="49"/>
      <c r="M304" s="8">
        <v>0</v>
      </c>
      <c r="N304" s="8"/>
      <c r="O304" s="8">
        <f>SUMIFS(EIAwtransport!$J$2:$J$675,EIAwtransport!$E$2:$E$675,Program_data!$E304,EIAwtransport!$H$2:$H$675,Program_data!$F304,EIAwtransport!$I$2:$I$675,Program_data!O$2)</f>
        <v>304788734</v>
      </c>
      <c r="P304" s="5">
        <f>SUMIFS(EIAwtransport!$J$2:$J$675,EIAwtransport!$E$2:$E$675,Program_data!$E304,EIAwtransport!$H$2:$H$675,Program_data!$F304,EIAwtransport!$I$2:$I$675,Program_data!P$2)</f>
        <v>38736203</v>
      </c>
      <c r="Q304" s="5">
        <f>SUMIFS(EIAwtransport!$J$2:$J$675,EIAwtransport!$E$2:$E$675,Program_data!$E304,EIAwtransport!$H$2:$H$675,Program_data!$F304,EIAwtransport!$I$2:$I$675,Program_data!Q$2)</f>
        <v>29292</v>
      </c>
      <c r="R304" s="8">
        <f>SUMIFS(EIAwtransport!$J$2:$J$675,EIAwtransport!$E$2:$E$675,Program_data!$E304,EIAwtransport!$I$2:$I$675,Program_data!R$2)</f>
        <v>592601359</v>
      </c>
      <c r="S304" s="5">
        <f>SUMIFS(EIAwtransport!$J$2:$J$675,EIAwtransport!$E$2:$E$675,Program_data!$E304,EIAwtransport!$I$2:$I$675,Program_data!S$2)</f>
        <v>54590052</v>
      </c>
      <c r="T304" s="5">
        <f>SUMIFS(EIAwtransport!$J$2:$J$675,EIAwtransport!$E$2:$E$675,Program_data!$E304,EIAwtransport!$I$2:$I$675,Program_data!T$2)</f>
        <v>248834</v>
      </c>
      <c r="U304" s="24">
        <f t="shared" si="133"/>
        <v>0</v>
      </c>
      <c r="V304" s="24">
        <f t="shared" si="126"/>
        <v>0</v>
      </c>
      <c r="W304" s="24">
        <f t="shared" si="134"/>
        <v>0</v>
      </c>
      <c r="X304" s="25">
        <f t="shared" si="135"/>
        <v>0</v>
      </c>
      <c r="Y304" s="8" t="str">
        <f t="shared" si="119"/>
        <v/>
      </c>
      <c r="Z304" s="27" t="str">
        <f t="shared" si="120"/>
        <v/>
      </c>
      <c r="AA304" s="27"/>
      <c r="AB304" s="27"/>
      <c r="AC304" s="56">
        <f t="shared" si="132"/>
        <v>0</v>
      </c>
      <c r="AD304" s="20">
        <f t="shared" si="131"/>
        <v>0</v>
      </c>
      <c r="AE304" s="20">
        <f t="shared" si="121"/>
        <v>0</v>
      </c>
      <c r="AF304" s="20">
        <f t="shared" si="122"/>
        <v>800011834.6500001</v>
      </c>
      <c r="AG304">
        <f t="shared" si="123"/>
        <v>0</v>
      </c>
      <c r="AH304">
        <f t="shared" si="124"/>
        <v>0</v>
      </c>
      <c r="AI304">
        <f t="shared" si="125"/>
        <v>5758158684.96</v>
      </c>
    </row>
    <row r="305" spans="2:35" x14ac:dyDescent="0.25">
      <c r="B305" s="4">
        <v>2025</v>
      </c>
      <c r="C305" s="4" t="s">
        <v>17</v>
      </c>
      <c r="D305" s="4" t="s">
        <v>18</v>
      </c>
      <c r="E305" s="4" t="str">
        <f t="shared" si="127"/>
        <v>Eversource-CT</v>
      </c>
      <c r="F305" s="4" t="s">
        <v>155</v>
      </c>
      <c r="G305" s="4"/>
      <c r="H305" s="4" t="s">
        <v>233</v>
      </c>
      <c r="I305" s="4" t="s">
        <v>167</v>
      </c>
      <c r="J305" s="4" t="s">
        <v>155</v>
      </c>
      <c r="K305" s="5"/>
      <c r="L305" s="49"/>
      <c r="M305" s="8">
        <v>76667</v>
      </c>
      <c r="N305" s="8"/>
      <c r="O305" s="8">
        <f>SUMIFS(EIAwtransport!$J$2:$J$675,EIAwtransport!$E$2:$E$675,Program_data!$E305,EIAwtransport!$H$2:$H$675,Program_data!$F305,EIAwtransport!$I$2:$I$675,Program_data!O$2)</f>
        <v>0</v>
      </c>
      <c r="P305" s="5">
        <f>SUMIFS(EIAwtransport!$J$2:$J$675,EIAwtransport!$E$2:$E$675,Program_data!$E305,EIAwtransport!$H$2:$H$675,Program_data!$F305,EIAwtransport!$I$2:$I$675,Program_data!P$2)</f>
        <v>0</v>
      </c>
      <c r="Q305" s="5">
        <f>SUMIFS(EIAwtransport!$J$2:$J$675,EIAwtransport!$E$2:$E$675,Program_data!$E305,EIAwtransport!$H$2:$H$675,Program_data!$F305,EIAwtransport!$I$2:$I$675,Program_data!Q$2)</f>
        <v>0</v>
      </c>
      <c r="R305" s="8">
        <f>SUMIFS(EIAwtransport!$J$2:$J$675,EIAwtransport!$E$2:$E$675,Program_data!$E305,EIAwtransport!$I$2:$I$675,Program_data!R$2)</f>
        <v>592601359</v>
      </c>
      <c r="S305" s="5">
        <f>SUMIFS(EIAwtransport!$J$2:$J$675,EIAwtransport!$E$2:$E$675,Program_data!$E305,EIAwtransport!$I$2:$I$675,Program_data!S$2)</f>
        <v>54590052</v>
      </c>
      <c r="T305" s="5">
        <f>SUMIFS(EIAwtransport!$J$2:$J$675,EIAwtransport!$E$2:$E$675,Program_data!$E305,EIAwtransport!$I$2:$I$675,Program_data!T$2)</f>
        <v>248834</v>
      </c>
      <c r="U305" s="24">
        <f t="shared" si="133"/>
        <v>0</v>
      </c>
      <c r="V305" s="24">
        <f t="shared" si="126"/>
        <v>0</v>
      </c>
      <c r="W305" s="24">
        <f t="shared" si="134"/>
        <v>1.2937364863518648E-4</v>
      </c>
      <c r="X305" s="25">
        <f t="shared" si="135"/>
        <v>1.355611380492837E-4</v>
      </c>
      <c r="Y305" s="8" t="str">
        <f t="shared" si="119"/>
        <v/>
      </c>
      <c r="Z305" s="27" t="str">
        <f t="shared" si="120"/>
        <v/>
      </c>
      <c r="AA305" s="27"/>
      <c r="AB305" s="27"/>
      <c r="AC305" s="56">
        <f t="shared" si="132"/>
        <v>0</v>
      </c>
      <c r="AD305" s="20">
        <f t="shared" si="131"/>
        <v>103500.45000000001</v>
      </c>
      <c r="AE305" s="20">
        <f t="shared" si="121"/>
        <v>0</v>
      </c>
      <c r="AF305" s="20">
        <f t="shared" si="122"/>
        <v>800011834.6500001</v>
      </c>
      <c r="AG305">
        <f t="shared" si="123"/>
        <v>0</v>
      </c>
      <c r="AH305">
        <f t="shared" si="124"/>
        <v>0</v>
      </c>
      <c r="AI305">
        <f t="shared" si="125"/>
        <v>5758158684.96</v>
      </c>
    </row>
    <row r="306" spans="2:35" x14ac:dyDescent="0.25">
      <c r="B306" s="4">
        <v>2025</v>
      </c>
      <c r="C306" s="4" t="s">
        <v>17</v>
      </c>
      <c r="D306" s="4" t="s">
        <v>18</v>
      </c>
      <c r="E306" s="4" t="str">
        <f t="shared" si="127"/>
        <v>Eversource-CT</v>
      </c>
      <c r="F306" s="4" t="s">
        <v>155</v>
      </c>
      <c r="G306" s="4"/>
      <c r="H306" s="4" t="s">
        <v>300</v>
      </c>
      <c r="I306" s="4" t="s">
        <v>167</v>
      </c>
      <c r="J306" s="4" t="s">
        <v>155</v>
      </c>
      <c r="K306" s="5"/>
      <c r="L306" s="49"/>
      <c r="M306" s="8">
        <v>82667</v>
      </c>
      <c r="N306" s="8"/>
      <c r="O306" s="8">
        <f>SUMIFS(EIAwtransport!$J$2:$J$675,EIAwtransport!$E$2:$E$675,Program_data!$E306,EIAwtransport!$H$2:$H$675,Program_data!$F306,EIAwtransport!$I$2:$I$675,Program_data!O$2)</f>
        <v>0</v>
      </c>
      <c r="P306" s="5">
        <f>SUMIFS(EIAwtransport!$J$2:$J$675,EIAwtransport!$E$2:$E$675,Program_data!$E306,EIAwtransport!$H$2:$H$675,Program_data!$F306,EIAwtransport!$I$2:$I$675,Program_data!P$2)</f>
        <v>0</v>
      </c>
      <c r="Q306" s="5">
        <f>SUMIFS(EIAwtransport!$J$2:$J$675,EIAwtransport!$E$2:$E$675,Program_data!$E306,EIAwtransport!$H$2:$H$675,Program_data!$F306,EIAwtransport!$I$2:$I$675,Program_data!Q$2)</f>
        <v>0</v>
      </c>
      <c r="R306" s="8">
        <f>SUMIFS(EIAwtransport!$J$2:$J$675,EIAwtransport!$E$2:$E$675,Program_data!$E306,EIAwtransport!$I$2:$I$675,Program_data!R$2)</f>
        <v>592601359</v>
      </c>
      <c r="S306" s="5">
        <f>SUMIFS(EIAwtransport!$J$2:$J$675,EIAwtransport!$E$2:$E$675,Program_data!$E306,EIAwtransport!$I$2:$I$675,Program_data!S$2)</f>
        <v>54590052</v>
      </c>
      <c r="T306" s="5">
        <f>SUMIFS(EIAwtransport!$J$2:$J$675,EIAwtransport!$E$2:$E$675,Program_data!$E306,EIAwtransport!$I$2:$I$675,Program_data!T$2)</f>
        <v>248834</v>
      </c>
      <c r="U306" s="24">
        <f t="shared" si="133"/>
        <v>0</v>
      </c>
      <c r="V306" s="24">
        <f t="shared" si="126"/>
        <v>0</v>
      </c>
      <c r="W306" s="24">
        <f t="shared" si="134"/>
        <v>1.3949849885511317E-4</v>
      </c>
      <c r="X306" s="25">
        <f t="shared" si="135"/>
        <v>1.4617022446580845E-4</v>
      </c>
      <c r="Y306" s="8" t="str">
        <f t="shared" si="119"/>
        <v/>
      </c>
      <c r="Z306" s="27" t="str">
        <f t="shared" si="120"/>
        <v/>
      </c>
      <c r="AA306" s="27"/>
      <c r="AB306" s="27"/>
      <c r="AC306" s="56">
        <f t="shared" si="132"/>
        <v>0</v>
      </c>
      <c r="AD306" s="20">
        <f t="shared" si="131"/>
        <v>111600.45000000001</v>
      </c>
      <c r="AE306" s="20">
        <f t="shared" si="121"/>
        <v>0</v>
      </c>
      <c r="AF306" s="20">
        <f t="shared" si="122"/>
        <v>800011834.6500001</v>
      </c>
      <c r="AG306">
        <f t="shared" si="123"/>
        <v>0</v>
      </c>
      <c r="AH306">
        <f t="shared" si="124"/>
        <v>0</v>
      </c>
      <c r="AI306">
        <f t="shared" si="125"/>
        <v>5758158684.96</v>
      </c>
    </row>
    <row r="307" spans="2:35" x14ac:dyDescent="0.25">
      <c r="B307" s="4">
        <v>2025</v>
      </c>
      <c r="C307" s="4" t="s">
        <v>17</v>
      </c>
      <c r="D307" s="4" t="s">
        <v>18</v>
      </c>
      <c r="E307" s="4" t="str">
        <f t="shared" si="127"/>
        <v>Eversource-CT</v>
      </c>
      <c r="F307" s="4" t="s">
        <v>155</v>
      </c>
      <c r="G307" s="4"/>
      <c r="H307" s="4" t="s">
        <v>301</v>
      </c>
      <c r="I307" s="4" t="s">
        <v>167</v>
      </c>
      <c r="J307" s="4" t="s">
        <v>155</v>
      </c>
      <c r="K307" s="5"/>
      <c r="L307" s="49"/>
      <c r="M307" s="8">
        <v>80000</v>
      </c>
      <c r="N307" s="8"/>
      <c r="O307" s="8">
        <f>SUMIFS(EIAwtransport!$J$2:$J$675,EIAwtransport!$E$2:$E$675,Program_data!$E307,EIAwtransport!$H$2:$H$675,Program_data!$F307,EIAwtransport!$I$2:$I$675,Program_data!O$2)</f>
        <v>0</v>
      </c>
      <c r="P307" s="5">
        <f>SUMIFS(EIAwtransport!$J$2:$J$675,EIAwtransport!$E$2:$E$675,Program_data!$E307,EIAwtransport!$H$2:$H$675,Program_data!$F307,EIAwtransport!$I$2:$I$675,Program_data!P$2)</f>
        <v>0</v>
      </c>
      <c r="Q307" s="5">
        <f>SUMIFS(EIAwtransport!$J$2:$J$675,EIAwtransport!$E$2:$E$675,Program_data!$E307,EIAwtransport!$H$2:$H$675,Program_data!$F307,EIAwtransport!$I$2:$I$675,Program_data!Q$2)</f>
        <v>0</v>
      </c>
      <c r="R307" s="8">
        <f>SUMIFS(EIAwtransport!$J$2:$J$675,EIAwtransport!$E$2:$E$675,Program_data!$E307,EIAwtransport!$I$2:$I$675,Program_data!R$2)</f>
        <v>592601359</v>
      </c>
      <c r="S307" s="5">
        <f>SUMIFS(EIAwtransport!$J$2:$J$675,EIAwtransport!$E$2:$E$675,Program_data!$E307,EIAwtransport!$I$2:$I$675,Program_data!S$2)</f>
        <v>54590052</v>
      </c>
      <c r="T307" s="5">
        <f>SUMIFS(EIAwtransport!$J$2:$J$675,EIAwtransport!$E$2:$E$675,Program_data!$E307,EIAwtransport!$I$2:$I$675,Program_data!T$2)</f>
        <v>248834</v>
      </c>
      <c r="U307" s="24">
        <f t="shared" si="133"/>
        <v>0</v>
      </c>
      <c r="V307" s="24">
        <f t="shared" si="126"/>
        <v>0</v>
      </c>
      <c r="W307" s="24">
        <f t="shared" si="134"/>
        <v>1.3499800293235574E-4</v>
      </c>
      <c r="X307" s="25">
        <f t="shared" si="135"/>
        <v>1.414544855536632E-4</v>
      </c>
      <c r="Y307" s="8" t="str">
        <f t="shared" si="119"/>
        <v/>
      </c>
      <c r="Z307" s="27" t="str">
        <f t="shared" si="120"/>
        <v/>
      </c>
      <c r="AA307" s="27"/>
      <c r="AB307" s="27"/>
      <c r="AC307" s="56">
        <f t="shared" si="132"/>
        <v>0</v>
      </c>
      <c r="AD307" s="20">
        <f t="shared" si="131"/>
        <v>108000</v>
      </c>
      <c r="AE307" s="20">
        <f t="shared" si="121"/>
        <v>0</v>
      </c>
      <c r="AF307" s="20">
        <f t="shared" si="122"/>
        <v>800011834.6500001</v>
      </c>
      <c r="AG307">
        <f t="shared" si="123"/>
        <v>0</v>
      </c>
      <c r="AH307">
        <f t="shared" si="124"/>
        <v>0</v>
      </c>
      <c r="AI307">
        <f t="shared" si="125"/>
        <v>5758158684.96</v>
      </c>
    </row>
    <row r="308" spans="2:35" x14ac:dyDescent="0.25">
      <c r="B308" s="4">
        <v>2025</v>
      </c>
      <c r="C308" s="4" t="s">
        <v>17</v>
      </c>
      <c r="D308" s="4" t="s">
        <v>18</v>
      </c>
      <c r="E308" s="4" t="str">
        <f t="shared" si="127"/>
        <v>Eversource-CT</v>
      </c>
      <c r="F308" s="4" t="s">
        <v>155</v>
      </c>
      <c r="G308" s="4"/>
      <c r="H308" s="4" t="s">
        <v>302</v>
      </c>
      <c r="I308" s="4" t="s">
        <v>167</v>
      </c>
      <c r="J308" s="4" t="s">
        <v>155</v>
      </c>
      <c r="K308" s="5"/>
      <c r="L308" s="49"/>
      <c r="M308" s="8">
        <v>70000</v>
      </c>
      <c r="N308" s="8"/>
      <c r="O308" s="8">
        <f>SUMIFS(EIAwtransport!$J$2:$J$675,EIAwtransport!$E$2:$E$675,Program_data!$E308,EIAwtransport!$H$2:$H$675,Program_data!$F308,EIAwtransport!$I$2:$I$675,Program_data!O$2)</f>
        <v>0</v>
      </c>
      <c r="P308" s="5">
        <f>SUMIFS(EIAwtransport!$J$2:$J$675,EIAwtransport!$E$2:$E$675,Program_data!$E308,EIAwtransport!$H$2:$H$675,Program_data!$F308,EIAwtransport!$I$2:$I$675,Program_data!P$2)</f>
        <v>0</v>
      </c>
      <c r="Q308" s="5">
        <f>SUMIFS(EIAwtransport!$J$2:$J$675,EIAwtransport!$E$2:$E$675,Program_data!$E308,EIAwtransport!$H$2:$H$675,Program_data!$F308,EIAwtransport!$I$2:$I$675,Program_data!Q$2)</f>
        <v>0</v>
      </c>
      <c r="R308" s="8">
        <f>SUMIFS(EIAwtransport!$J$2:$J$675,EIAwtransport!$E$2:$E$675,Program_data!$E308,EIAwtransport!$I$2:$I$675,Program_data!R$2)</f>
        <v>592601359</v>
      </c>
      <c r="S308" s="5">
        <f>SUMIFS(EIAwtransport!$J$2:$J$675,EIAwtransport!$E$2:$E$675,Program_data!$E308,EIAwtransport!$I$2:$I$675,Program_data!S$2)</f>
        <v>54590052</v>
      </c>
      <c r="T308" s="5">
        <f>SUMIFS(EIAwtransport!$J$2:$J$675,EIAwtransport!$E$2:$E$675,Program_data!$E308,EIAwtransport!$I$2:$I$675,Program_data!T$2)</f>
        <v>248834</v>
      </c>
      <c r="U308" s="24">
        <f t="shared" si="133"/>
        <v>0</v>
      </c>
      <c r="V308" s="24">
        <f t="shared" si="126"/>
        <v>0</v>
      </c>
      <c r="W308" s="24">
        <f t="shared" si="134"/>
        <v>1.1812325256581128E-4</v>
      </c>
      <c r="X308" s="25">
        <f t="shared" si="135"/>
        <v>1.2377267485945529E-4</v>
      </c>
      <c r="Y308" s="8" t="str">
        <f t="shared" si="119"/>
        <v/>
      </c>
      <c r="Z308" s="27" t="str">
        <f t="shared" si="120"/>
        <v/>
      </c>
      <c r="AA308" s="27"/>
      <c r="AB308" s="27"/>
      <c r="AC308" s="56">
        <f t="shared" si="132"/>
        <v>0</v>
      </c>
      <c r="AD308" s="20">
        <f t="shared" si="131"/>
        <v>94500</v>
      </c>
      <c r="AE308" s="20">
        <f t="shared" si="121"/>
        <v>0</v>
      </c>
      <c r="AF308" s="20">
        <f t="shared" si="122"/>
        <v>800011834.6500001</v>
      </c>
      <c r="AG308">
        <f t="shared" si="123"/>
        <v>0</v>
      </c>
      <c r="AH308">
        <f t="shared" si="124"/>
        <v>0</v>
      </c>
      <c r="AI308">
        <f t="shared" si="125"/>
        <v>5758158684.96</v>
      </c>
    </row>
    <row r="309" spans="2:35" x14ac:dyDescent="0.25">
      <c r="B309" s="4">
        <v>2025</v>
      </c>
      <c r="C309" s="4" t="s">
        <v>17</v>
      </c>
      <c r="D309" s="4" t="s">
        <v>18</v>
      </c>
      <c r="E309" s="4" t="str">
        <f t="shared" si="127"/>
        <v>Eversource-CT</v>
      </c>
      <c r="F309" s="4" t="s">
        <v>155</v>
      </c>
      <c r="G309" s="4"/>
      <c r="H309" s="4" t="s">
        <v>303</v>
      </c>
      <c r="I309" s="4" t="s">
        <v>167</v>
      </c>
      <c r="J309" s="4" t="s">
        <v>155</v>
      </c>
      <c r="K309" s="5"/>
      <c r="L309" s="49"/>
      <c r="M309" s="8">
        <v>84523</v>
      </c>
      <c r="N309" s="8"/>
      <c r="O309" s="8">
        <f>SUMIFS(EIAwtransport!$J$2:$J$675,EIAwtransport!$E$2:$E$675,Program_data!$E309,EIAwtransport!$H$2:$H$675,Program_data!$F309,EIAwtransport!$I$2:$I$675,Program_data!O$2)</f>
        <v>0</v>
      </c>
      <c r="P309" s="5">
        <f>SUMIFS(EIAwtransport!$J$2:$J$675,EIAwtransport!$E$2:$E$675,Program_data!$E309,EIAwtransport!$H$2:$H$675,Program_data!$F309,EIAwtransport!$I$2:$I$675,Program_data!P$2)</f>
        <v>0</v>
      </c>
      <c r="Q309" s="5">
        <f>SUMIFS(EIAwtransport!$J$2:$J$675,EIAwtransport!$E$2:$E$675,Program_data!$E309,EIAwtransport!$H$2:$H$675,Program_data!$F309,EIAwtransport!$I$2:$I$675,Program_data!Q$2)</f>
        <v>0</v>
      </c>
      <c r="R309" s="8">
        <f>SUMIFS(EIAwtransport!$J$2:$J$675,EIAwtransport!$E$2:$E$675,Program_data!$E309,EIAwtransport!$I$2:$I$675,Program_data!R$2)</f>
        <v>592601359</v>
      </c>
      <c r="S309" s="5">
        <f>SUMIFS(EIAwtransport!$J$2:$J$675,EIAwtransport!$E$2:$E$675,Program_data!$E309,EIAwtransport!$I$2:$I$675,Program_data!S$2)</f>
        <v>54590052</v>
      </c>
      <c r="T309" s="5">
        <f>SUMIFS(EIAwtransport!$J$2:$J$675,EIAwtransport!$E$2:$E$675,Program_data!$E309,EIAwtransport!$I$2:$I$675,Program_data!T$2)</f>
        <v>248834</v>
      </c>
      <c r="U309" s="24">
        <f t="shared" si="133"/>
        <v>0</v>
      </c>
      <c r="V309" s="24">
        <f t="shared" si="126"/>
        <v>0</v>
      </c>
      <c r="W309" s="24">
        <f t="shared" si="134"/>
        <v>1.426304525231438E-4</v>
      </c>
      <c r="X309" s="25">
        <f t="shared" si="135"/>
        <v>1.4945196853065343E-4</v>
      </c>
      <c r="Y309" s="8" t="str">
        <f t="shared" si="119"/>
        <v/>
      </c>
      <c r="Z309" s="27" t="str">
        <f t="shared" si="120"/>
        <v/>
      </c>
      <c r="AA309" s="27"/>
      <c r="AB309" s="27"/>
      <c r="AC309" s="56">
        <f t="shared" si="132"/>
        <v>0</v>
      </c>
      <c r="AD309" s="20">
        <f t="shared" si="131"/>
        <v>114106.05</v>
      </c>
      <c r="AE309" s="20">
        <f t="shared" si="121"/>
        <v>0</v>
      </c>
      <c r="AF309" s="20">
        <f t="shared" si="122"/>
        <v>800011834.6500001</v>
      </c>
      <c r="AG309">
        <f t="shared" si="123"/>
        <v>0</v>
      </c>
      <c r="AH309">
        <f t="shared" si="124"/>
        <v>0</v>
      </c>
      <c r="AI309">
        <f t="shared" si="125"/>
        <v>5758158684.96</v>
      </c>
    </row>
    <row r="310" spans="2:35" x14ac:dyDescent="0.25">
      <c r="B310" s="4">
        <v>2025</v>
      </c>
      <c r="C310" s="4" t="s">
        <v>17</v>
      </c>
      <c r="D310" s="4" t="s">
        <v>18</v>
      </c>
      <c r="E310" s="4" t="str">
        <f t="shared" si="127"/>
        <v>Eversource-CT</v>
      </c>
      <c r="F310" s="4" t="s">
        <v>155</v>
      </c>
      <c r="G310" s="4"/>
      <c r="H310" s="4" t="s">
        <v>304</v>
      </c>
      <c r="I310" s="4" t="s">
        <v>167</v>
      </c>
      <c r="J310" s="4" t="s">
        <v>155</v>
      </c>
      <c r="K310" s="5"/>
      <c r="L310" s="49"/>
      <c r="M310" s="8">
        <v>93905</v>
      </c>
      <c r="N310" s="8"/>
      <c r="O310" s="8">
        <f>SUMIFS(EIAwtransport!$J$2:$J$675,EIAwtransport!$E$2:$E$675,Program_data!$E310,EIAwtransport!$H$2:$H$675,Program_data!$F310,EIAwtransport!$I$2:$I$675,Program_data!O$2)</f>
        <v>0</v>
      </c>
      <c r="P310" s="5">
        <f>SUMIFS(EIAwtransport!$J$2:$J$675,EIAwtransport!$E$2:$E$675,Program_data!$E310,EIAwtransport!$H$2:$H$675,Program_data!$F310,EIAwtransport!$I$2:$I$675,Program_data!P$2)</f>
        <v>0</v>
      </c>
      <c r="Q310" s="5">
        <f>SUMIFS(EIAwtransport!$J$2:$J$675,EIAwtransport!$E$2:$E$675,Program_data!$E310,EIAwtransport!$H$2:$H$675,Program_data!$F310,EIAwtransport!$I$2:$I$675,Program_data!Q$2)</f>
        <v>0</v>
      </c>
      <c r="R310" s="8">
        <f>SUMIFS(EIAwtransport!$J$2:$J$675,EIAwtransport!$E$2:$E$675,Program_data!$E310,EIAwtransport!$I$2:$I$675,Program_data!R$2)</f>
        <v>592601359</v>
      </c>
      <c r="S310" s="5">
        <f>SUMIFS(EIAwtransport!$J$2:$J$675,EIAwtransport!$E$2:$E$675,Program_data!$E310,EIAwtransport!$I$2:$I$675,Program_data!S$2)</f>
        <v>54590052</v>
      </c>
      <c r="T310" s="5">
        <f>SUMIFS(EIAwtransport!$J$2:$J$675,EIAwtransport!$E$2:$E$675,Program_data!$E310,EIAwtransport!$I$2:$I$675,Program_data!T$2)</f>
        <v>248834</v>
      </c>
      <c r="U310" s="24">
        <f t="shared" si="133"/>
        <v>0</v>
      </c>
      <c r="V310" s="24">
        <f t="shared" si="126"/>
        <v>0</v>
      </c>
      <c r="W310" s="24">
        <f t="shared" si="134"/>
        <v>1.5846234331703583E-4</v>
      </c>
      <c r="X310" s="25">
        <f t="shared" si="135"/>
        <v>1.6604104332395927E-4</v>
      </c>
      <c r="Y310" s="8" t="str">
        <f t="shared" si="119"/>
        <v/>
      </c>
      <c r="Z310" s="27" t="str">
        <f t="shared" si="120"/>
        <v/>
      </c>
      <c r="AA310" s="27"/>
      <c r="AB310" s="27"/>
      <c r="AC310" s="56">
        <f t="shared" si="132"/>
        <v>0</v>
      </c>
      <c r="AD310" s="20">
        <f t="shared" si="131"/>
        <v>126771.75000000001</v>
      </c>
      <c r="AE310" s="20">
        <f t="shared" si="121"/>
        <v>0</v>
      </c>
      <c r="AF310" s="20">
        <f t="shared" si="122"/>
        <v>800011834.6500001</v>
      </c>
      <c r="AG310">
        <f t="shared" si="123"/>
        <v>0</v>
      </c>
      <c r="AH310">
        <f t="shared" si="124"/>
        <v>0</v>
      </c>
      <c r="AI310">
        <f t="shared" si="125"/>
        <v>5758158684.96</v>
      </c>
    </row>
    <row r="311" spans="2:35" x14ac:dyDescent="0.25">
      <c r="B311" s="4">
        <v>2025</v>
      </c>
      <c r="C311" s="4" t="s">
        <v>17</v>
      </c>
      <c r="D311" s="4" t="s">
        <v>18</v>
      </c>
      <c r="E311" s="4" t="str">
        <f t="shared" si="127"/>
        <v>Eversource-CT</v>
      </c>
      <c r="F311" s="4" t="s">
        <v>155</v>
      </c>
      <c r="G311" s="4"/>
      <c r="H311" s="4" t="s">
        <v>305</v>
      </c>
      <c r="I311" s="4" t="s">
        <v>167</v>
      </c>
      <c r="J311" s="4" t="s">
        <v>155</v>
      </c>
      <c r="K311" s="5"/>
      <c r="L311" s="49"/>
      <c r="M311" s="8">
        <v>50000</v>
      </c>
      <c r="N311" s="8"/>
      <c r="O311" s="8">
        <f>SUMIFS(EIAwtransport!$J$2:$J$675,EIAwtransport!$E$2:$E$675,Program_data!$E311,EIAwtransport!$H$2:$H$675,Program_data!$F311,EIAwtransport!$I$2:$I$675,Program_data!O$2)</f>
        <v>0</v>
      </c>
      <c r="P311" s="5">
        <f>SUMIFS(EIAwtransport!$J$2:$J$675,EIAwtransport!$E$2:$E$675,Program_data!$E311,EIAwtransport!$H$2:$H$675,Program_data!$F311,EIAwtransport!$I$2:$I$675,Program_data!P$2)</f>
        <v>0</v>
      </c>
      <c r="Q311" s="5">
        <f>SUMIFS(EIAwtransport!$J$2:$J$675,EIAwtransport!$E$2:$E$675,Program_data!$E311,EIAwtransport!$H$2:$H$675,Program_data!$F311,EIAwtransport!$I$2:$I$675,Program_data!Q$2)</f>
        <v>0</v>
      </c>
      <c r="R311" s="8">
        <f>SUMIFS(EIAwtransport!$J$2:$J$675,EIAwtransport!$E$2:$E$675,Program_data!$E311,EIAwtransport!$I$2:$I$675,Program_data!R$2)</f>
        <v>592601359</v>
      </c>
      <c r="S311" s="5">
        <f>SUMIFS(EIAwtransport!$J$2:$J$675,EIAwtransport!$E$2:$E$675,Program_data!$E311,EIAwtransport!$I$2:$I$675,Program_data!S$2)</f>
        <v>54590052</v>
      </c>
      <c r="T311" s="5">
        <f>SUMIFS(EIAwtransport!$J$2:$J$675,EIAwtransport!$E$2:$E$675,Program_data!$E311,EIAwtransport!$I$2:$I$675,Program_data!T$2)</f>
        <v>248834</v>
      </c>
      <c r="U311" s="24">
        <f t="shared" si="133"/>
        <v>0</v>
      </c>
      <c r="V311" s="24">
        <f t="shared" si="126"/>
        <v>0</v>
      </c>
      <c r="W311" s="24">
        <f t="shared" si="134"/>
        <v>8.437375183272234E-5</v>
      </c>
      <c r="X311" s="25">
        <f t="shared" si="135"/>
        <v>8.8409053471039486E-5</v>
      </c>
      <c r="Y311" s="8" t="str">
        <f t="shared" si="119"/>
        <v/>
      </c>
      <c r="Z311" s="27" t="str">
        <f t="shared" si="120"/>
        <v/>
      </c>
      <c r="AA311" s="27"/>
      <c r="AB311" s="27"/>
      <c r="AC311" s="56">
        <f t="shared" si="132"/>
        <v>0</v>
      </c>
      <c r="AD311" s="20">
        <f t="shared" si="131"/>
        <v>67500</v>
      </c>
      <c r="AE311" s="20">
        <f t="shared" si="121"/>
        <v>0</v>
      </c>
      <c r="AF311" s="20">
        <f t="shared" si="122"/>
        <v>800011834.6500001</v>
      </c>
      <c r="AG311">
        <f t="shared" si="123"/>
        <v>0</v>
      </c>
      <c r="AH311">
        <f t="shared" si="124"/>
        <v>0</v>
      </c>
      <c r="AI311">
        <f t="shared" si="125"/>
        <v>5758158684.96</v>
      </c>
    </row>
    <row r="312" spans="2:35" x14ac:dyDescent="0.25">
      <c r="B312" s="4">
        <v>2025</v>
      </c>
      <c r="C312" s="4" t="s">
        <v>17</v>
      </c>
      <c r="D312" s="4" t="s">
        <v>18</v>
      </c>
      <c r="E312" s="4" t="str">
        <f t="shared" si="127"/>
        <v>Eversource-CT</v>
      </c>
      <c r="F312" s="4" t="s">
        <v>155</v>
      </c>
      <c r="G312" s="4"/>
      <c r="H312" s="4" t="s">
        <v>211</v>
      </c>
      <c r="I312" s="4" t="s">
        <v>167</v>
      </c>
      <c r="J312" s="4" t="s">
        <v>155</v>
      </c>
      <c r="K312" s="5"/>
      <c r="L312" s="49"/>
      <c r="M312" s="8">
        <v>1943014</v>
      </c>
      <c r="N312" s="8"/>
      <c r="O312" s="8">
        <f>SUMIFS(EIAwtransport!$J$2:$J$675,EIAwtransport!$E$2:$E$675,Program_data!$E312,EIAwtransport!$H$2:$H$675,Program_data!$F312,EIAwtransport!$I$2:$I$675,Program_data!O$2)</f>
        <v>0</v>
      </c>
      <c r="P312" s="5">
        <f>SUMIFS(EIAwtransport!$J$2:$J$675,EIAwtransport!$E$2:$E$675,Program_data!$E312,EIAwtransport!$H$2:$H$675,Program_data!$F312,EIAwtransport!$I$2:$I$675,Program_data!P$2)</f>
        <v>0</v>
      </c>
      <c r="Q312" s="5">
        <f>SUMIFS(EIAwtransport!$J$2:$J$675,EIAwtransport!$E$2:$E$675,Program_data!$E312,EIAwtransport!$H$2:$H$675,Program_data!$F312,EIAwtransport!$I$2:$I$675,Program_data!Q$2)</f>
        <v>0</v>
      </c>
      <c r="R312" s="8">
        <f>SUMIFS(EIAwtransport!$J$2:$J$675,EIAwtransport!$E$2:$E$675,Program_data!$E312,EIAwtransport!$I$2:$I$675,Program_data!R$2)</f>
        <v>592601359</v>
      </c>
      <c r="S312" s="5">
        <f>SUMIFS(EIAwtransport!$J$2:$J$675,EIAwtransport!$E$2:$E$675,Program_data!$E312,EIAwtransport!$I$2:$I$675,Program_data!S$2)</f>
        <v>54590052</v>
      </c>
      <c r="T312" s="5">
        <f>SUMIFS(EIAwtransport!$J$2:$J$675,EIAwtransport!$E$2:$E$675,Program_data!$E312,EIAwtransport!$I$2:$I$675,Program_data!T$2)</f>
        <v>248834</v>
      </c>
      <c r="U312" s="24">
        <f t="shared" si="133"/>
        <v>0</v>
      </c>
      <c r="V312" s="24">
        <f t="shared" si="126"/>
        <v>0</v>
      </c>
      <c r="W312" s="24">
        <f t="shared" si="134"/>
        <v>3.2787876208701032E-3</v>
      </c>
      <c r="X312" s="25">
        <f t="shared" si="135"/>
        <v>3.4356005724195666E-3</v>
      </c>
      <c r="Y312" s="8" t="str">
        <f t="shared" si="119"/>
        <v/>
      </c>
      <c r="Z312" s="27" t="str">
        <f t="shared" si="120"/>
        <v/>
      </c>
      <c r="AA312" s="27"/>
      <c r="AB312" s="27"/>
      <c r="AC312" s="56">
        <f t="shared" si="132"/>
        <v>0</v>
      </c>
      <c r="AD312" s="20">
        <f t="shared" si="131"/>
        <v>2623068.9000000004</v>
      </c>
      <c r="AE312" s="20">
        <f t="shared" si="121"/>
        <v>0</v>
      </c>
      <c r="AF312" s="20">
        <f t="shared" si="122"/>
        <v>800011834.6500001</v>
      </c>
      <c r="AG312">
        <f t="shared" si="123"/>
        <v>0</v>
      </c>
      <c r="AH312">
        <f t="shared" si="124"/>
        <v>0</v>
      </c>
      <c r="AI312">
        <f t="shared" si="125"/>
        <v>5758158684.96</v>
      </c>
    </row>
    <row r="313" spans="2:35" x14ac:dyDescent="0.25">
      <c r="B313" s="4">
        <v>2024</v>
      </c>
      <c r="C313" s="4" t="s">
        <v>17</v>
      </c>
      <c r="D313" s="15" t="s">
        <v>307</v>
      </c>
      <c r="E313" s="4" t="str">
        <f t="shared" si="127"/>
        <v>CNG-CT</v>
      </c>
      <c r="F313" s="4" t="s">
        <v>135</v>
      </c>
      <c r="G313" s="4"/>
      <c r="H313" s="4" t="s">
        <v>265</v>
      </c>
      <c r="I313" s="11"/>
      <c r="J313" s="4" t="s">
        <v>32</v>
      </c>
      <c r="K313" s="5">
        <v>98941.108000000007</v>
      </c>
      <c r="L313" s="5">
        <f>K313/_xlfn.XLOOKUP(C313,'Utility target list'!$K$2:$K$8,'Utility target list'!$L$2:$L$8,1,0,1)</f>
        <v>109934.56444444445</v>
      </c>
      <c r="M313" s="8">
        <v>562810</v>
      </c>
      <c r="N313" s="8">
        <v>452723</v>
      </c>
      <c r="O313" s="8">
        <f>SUMIFS(EIAwtransport!$J$2:$J$675,EIAwtransport!$E$2:$E$675,Program_data!$E313,EIAwtransport!$H$2:$H$675,Program_data!$F313,EIAwtransport!$I$2:$I$675,Program_data!O$2)</f>
        <v>244163614</v>
      </c>
      <c r="P313" s="5">
        <f>SUMIFS(EIAwtransport!$J$2:$J$675,EIAwtransport!$E$2:$E$675,Program_data!$E313,EIAwtransport!$H$2:$H$675,Program_data!$F313,EIAwtransport!$I$2:$I$675,Program_data!P$2)</f>
        <v>17226149</v>
      </c>
      <c r="Q313" s="5">
        <f>SUMIFS(EIAwtransport!$J$2:$J$675,EIAwtransport!$E$2:$E$675,Program_data!$E313,EIAwtransport!$H$2:$H$675,Program_data!$F313,EIAwtransport!$I$2:$I$675,Program_data!Q$2)</f>
        <v>169000</v>
      </c>
      <c r="R313" s="8">
        <f>SUMIFS(EIAwtransport!$J$2:$J$675,EIAwtransport!$E$2:$E$675,Program_data!$E313,EIAwtransport!$I$2:$I$675,Program_data!R$2)</f>
        <v>389213250</v>
      </c>
      <c r="S313" s="5">
        <f>SUMIFS(EIAwtransport!$J$2:$J$675,EIAwtransport!$E$2:$E$675,Program_data!$E313,EIAwtransport!$I$2:$I$675,Program_data!S$2)</f>
        <v>36410020</v>
      </c>
      <c r="T313" s="5">
        <f>SUMIFS(EIAwtransport!$J$2:$J$675,EIAwtransport!$E$2:$E$675,Program_data!$E313,EIAwtransport!$I$2:$I$675,Program_data!T$2)</f>
        <v>184892</v>
      </c>
      <c r="U313" s="24">
        <f t="shared" si="133"/>
        <v>2.6229867492519917E-4</v>
      </c>
      <c r="V313" s="24">
        <f t="shared" si="126"/>
        <v>2.914429721391102E-4</v>
      </c>
      <c r="W313" s="24">
        <f t="shared" si="134"/>
        <v>1.4460196306266553E-3</v>
      </c>
      <c r="X313" s="25">
        <f t="shared" si="135"/>
        <v>1.4920422887790114E-3</v>
      </c>
      <c r="Y313" s="8">
        <f t="shared" si="119"/>
        <v>0.98938210753728628</v>
      </c>
      <c r="Z313" s="27">
        <f t="shared" si="120"/>
        <v>0.3796287350362057</v>
      </c>
      <c r="AA313" s="27"/>
      <c r="AB313" s="27"/>
      <c r="AC313" s="56">
        <f t="shared" si="132"/>
        <v>6.0146453210546949E-3</v>
      </c>
      <c r="AD313" s="20">
        <f t="shared" si="131"/>
        <v>759793.5</v>
      </c>
      <c r="AE313" s="20">
        <f t="shared" si="121"/>
        <v>611176.05000000005</v>
      </c>
      <c r="AF313" s="20">
        <f t="shared" si="122"/>
        <v>525437887.50000006</v>
      </c>
      <c r="AG313">
        <f t="shared" si="123"/>
        <v>10436308.071840001</v>
      </c>
      <c r="AH313">
        <f t="shared" si="124"/>
        <v>11595897.857600002</v>
      </c>
      <c r="AI313">
        <f t="shared" si="125"/>
        <v>3840528909.6000004</v>
      </c>
    </row>
    <row r="314" spans="2:35" x14ac:dyDescent="0.25">
      <c r="B314" s="4">
        <v>2024</v>
      </c>
      <c r="C314" s="4" t="s">
        <v>17</v>
      </c>
      <c r="D314" s="15" t="s">
        <v>307</v>
      </c>
      <c r="E314" s="4" t="str">
        <f t="shared" si="127"/>
        <v>CNG-CT</v>
      </c>
      <c r="F314" s="4" t="s">
        <v>135</v>
      </c>
      <c r="G314" s="4"/>
      <c r="H314" s="4" t="s">
        <v>277</v>
      </c>
      <c r="I314" s="11"/>
      <c r="J314" s="4" t="s">
        <v>21</v>
      </c>
      <c r="K314" s="5">
        <v>189670.88</v>
      </c>
      <c r="L314" s="5">
        <f>K314/_xlfn.XLOOKUP(C314,'Utility target list'!$K$2:$K$8,'Utility target list'!$L$2:$L$8,1,0,1)</f>
        <v>210745.42222222223</v>
      </c>
      <c r="M314" s="8">
        <v>2954523</v>
      </c>
      <c r="N314" s="8">
        <v>2315815</v>
      </c>
      <c r="O314" s="8">
        <f>SUMIFS(EIAwtransport!$J$2:$J$675,EIAwtransport!$E$2:$E$675,Program_data!$E314,EIAwtransport!$H$2:$H$675,Program_data!$F314,EIAwtransport!$I$2:$I$675,Program_data!O$2)</f>
        <v>244163614</v>
      </c>
      <c r="P314" s="5">
        <f>SUMIFS(EIAwtransport!$J$2:$J$675,EIAwtransport!$E$2:$E$675,Program_data!$E314,EIAwtransport!$H$2:$H$675,Program_data!$F314,EIAwtransport!$I$2:$I$675,Program_data!P$2)</f>
        <v>17226149</v>
      </c>
      <c r="Q314" s="5">
        <f>SUMIFS(EIAwtransport!$J$2:$J$675,EIAwtransport!$E$2:$E$675,Program_data!$E314,EIAwtransport!$H$2:$H$675,Program_data!$F314,EIAwtransport!$I$2:$I$675,Program_data!Q$2)</f>
        <v>169000</v>
      </c>
      <c r="R314" s="8">
        <f>SUMIFS(EIAwtransport!$J$2:$J$675,EIAwtransport!$E$2:$E$675,Program_data!$E314,EIAwtransport!$I$2:$I$675,Program_data!R$2)</f>
        <v>389213250</v>
      </c>
      <c r="S314" s="5">
        <f>SUMIFS(EIAwtransport!$J$2:$J$675,EIAwtransport!$E$2:$E$675,Program_data!$E314,EIAwtransport!$I$2:$I$675,Program_data!S$2)</f>
        <v>36410020</v>
      </c>
      <c r="T314" s="5">
        <f>SUMIFS(EIAwtransport!$J$2:$J$675,EIAwtransport!$E$2:$E$675,Program_data!$E314,EIAwtransport!$I$2:$I$675,Program_data!T$2)</f>
        <v>184892</v>
      </c>
      <c r="U314" s="24">
        <f t="shared" si="133"/>
        <v>5.0282861695763968E-4</v>
      </c>
      <c r="V314" s="24">
        <f t="shared" si="126"/>
        <v>5.5869846328626628E-4</v>
      </c>
      <c r="W314" s="24">
        <f t="shared" si="134"/>
        <v>7.591013409743887E-3</v>
      </c>
      <c r="X314" s="25">
        <f t="shared" si="135"/>
        <v>7.8326135981418785E-3</v>
      </c>
      <c r="Y314" s="8">
        <f t="shared" si="119"/>
        <v>5.1938526190142067</v>
      </c>
      <c r="Z314" s="27">
        <f t="shared" si="120"/>
        <v>1.9928960557299544</v>
      </c>
      <c r="AA314" s="27"/>
      <c r="AB314" s="27"/>
      <c r="AC314" s="56">
        <f t="shared" si="132"/>
        <v>1.1530122251433919E-2</v>
      </c>
      <c r="AD314" s="20">
        <f t="shared" si="131"/>
        <v>3988606.0500000003</v>
      </c>
      <c r="AE314" s="20">
        <f t="shared" si="121"/>
        <v>3126350.25</v>
      </c>
      <c r="AF314" s="20">
        <f t="shared" si="122"/>
        <v>525437887.50000006</v>
      </c>
      <c r="AG314">
        <f t="shared" si="123"/>
        <v>20006484.422400001</v>
      </c>
      <c r="AH314">
        <f t="shared" si="124"/>
        <v>22229427.136</v>
      </c>
      <c r="AI314">
        <f t="shared" si="125"/>
        <v>3840528909.6000004</v>
      </c>
    </row>
    <row r="315" spans="2:35" x14ac:dyDescent="0.25">
      <c r="B315" s="4">
        <v>2024</v>
      </c>
      <c r="C315" s="4" t="s">
        <v>17</v>
      </c>
      <c r="D315" s="15" t="s">
        <v>307</v>
      </c>
      <c r="E315" s="4" t="str">
        <f t="shared" si="127"/>
        <v>CNG-CT</v>
      </c>
      <c r="F315" s="4" t="s">
        <v>135</v>
      </c>
      <c r="G315" s="4"/>
      <c r="H315" s="4" t="s">
        <v>202</v>
      </c>
      <c r="I315" s="11"/>
      <c r="J315" s="4" t="s">
        <v>21</v>
      </c>
      <c r="K315" s="5">
        <v>138888.23200000002</v>
      </c>
      <c r="L315" s="5">
        <f>K315/_xlfn.XLOOKUP(C315,'Utility target list'!$K$2:$K$8,'Utility target list'!$L$2:$L$8,1,0,1)</f>
        <v>154320.25777777779</v>
      </c>
      <c r="M315" s="8">
        <v>1574394</v>
      </c>
      <c r="N315" s="8">
        <v>1294129</v>
      </c>
      <c r="O315" s="8">
        <f>SUMIFS(EIAwtransport!$J$2:$J$675,EIAwtransport!$E$2:$E$675,Program_data!$E315,EIAwtransport!$H$2:$H$675,Program_data!$F315,EIAwtransport!$I$2:$I$675,Program_data!O$2)</f>
        <v>244163614</v>
      </c>
      <c r="P315" s="5">
        <f>SUMIFS(EIAwtransport!$J$2:$J$675,EIAwtransport!$E$2:$E$675,Program_data!$E315,EIAwtransport!$H$2:$H$675,Program_data!$F315,EIAwtransport!$I$2:$I$675,Program_data!P$2)</f>
        <v>17226149</v>
      </c>
      <c r="Q315" s="5">
        <f>SUMIFS(EIAwtransport!$J$2:$J$675,EIAwtransport!$E$2:$E$675,Program_data!$E315,EIAwtransport!$H$2:$H$675,Program_data!$F315,EIAwtransport!$I$2:$I$675,Program_data!Q$2)</f>
        <v>169000</v>
      </c>
      <c r="R315" s="8">
        <f>SUMIFS(EIAwtransport!$J$2:$J$675,EIAwtransport!$E$2:$E$675,Program_data!$E315,EIAwtransport!$I$2:$I$675,Program_data!R$2)</f>
        <v>389213250</v>
      </c>
      <c r="S315" s="5">
        <f>SUMIFS(EIAwtransport!$J$2:$J$675,EIAwtransport!$E$2:$E$675,Program_data!$E315,EIAwtransport!$I$2:$I$675,Program_data!S$2)</f>
        <v>36410020</v>
      </c>
      <c r="T315" s="5">
        <f>SUMIFS(EIAwtransport!$J$2:$J$675,EIAwtransport!$E$2:$E$675,Program_data!$E315,EIAwtransport!$I$2:$I$675,Program_data!T$2)</f>
        <v>184892</v>
      </c>
      <c r="U315" s="24">
        <f t="shared" si="133"/>
        <v>3.6820084141673095E-4</v>
      </c>
      <c r="V315" s="24">
        <f t="shared" si="126"/>
        <v>4.0911204601858992E-4</v>
      </c>
      <c r="W315" s="24">
        <f t="shared" si="134"/>
        <v>4.0450678387747591E-3</v>
      </c>
      <c r="X315" s="25">
        <f t="shared" si="135"/>
        <v>4.1738107482097737E-3</v>
      </c>
      <c r="Y315" s="8">
        <f t="shared" si="119"/>
        <v>2.7676787082924226</v>
      </c>
      <c r="Z315" s="27">
        <f t="shared" si="120"/>
        <v>1.0619662100328566</v>
      </c>
      <c r="AA315" s="27"/>
      <c r="AB315" s="27"/>
      <c r="AC315" s="56">
        <f t="shared" si="132"/>
        <v>8.4430371928759778E-3</v>
      </c>
      <c r="AD315" s="20">
        <f t="shared" si="131"/>
        <v>2125431.9000000004</v>
      </c>
      <c r="AE315" s="20">
        <f t="shared" si="121"/>
        <v>1747074.1500000001</v>
      </c>
      <c r="AF315" s="20">
        <f t="shared" si="122"/>
        <v>525437887.50000006</v>
      </c>
      <c r="AG315">
        <f t="shared" si="123"/>
        <v>14649930.711360002</v>
      </c>
      <c r="AH315">
        <f t="shared" si="124"/>
        <v>16277700.790400002</v>
      </c>
      <c r="AI315">
        <f t="shared" si="125"/>
        <v>3840528909.6000004</v>
      </c>
    </row>
    <row r="316" spans="2:35" x14ac:dyDescent="0.25">
      <c r="B316" s="4">
        <v>2024</v>
      </c>
      <c r="C316" s="4" t="s">
        <v>17</v>
      </c>
      <c r="D316" s="15" t="s">
        <v>307</v>
      </c>
      <c r="E316" s="4" t="str">
        <f t="shared" si="127"/>
        <v>CNG-CT</v>
      </c>
      <c r="F316" s="4" t="s">
        <v>143</v>
      </c>
      <c r="G316" s="4">
        <v>1</v>
      </c>
      <c r="H316" s="4" t="s">
        <v>293</v>
      </c>
      <c r="I316" s="11"/>
      <c r="J316" s="4" t="s">
        <v>27</v>
      </c>
      <c r="K316" s="5">
        <v>242549.356</v>
      </c>
      <c r="L316" s="5">
        <f>K316/_xlfn.XLOOKUP(C316,'Utility target list'!$K$2:$K$8,'Utility target list'!$L$2:$L$8,1,0,1)</f>
        <v>269499.28444444446</v>
      </c>
      <c r="M316" s="8">
        <v>4305853</v>
      </c>
      <c r="N316" s="8">
        <v>3913423</v>
      </c>
      <c r="O316" s="8">
        <f>SUMIFS(EIAwtransport!$J$2:$J$675,EIAwtransport!$E$2:$E$675,Program_data!$E316,EIAwtransport!$H$2:$H$675,Program_data!$F316,EIAwtransport!$I$2:$I$675,Program_data!O$2)</f>
        <v>0</v>
      </c>
      <c r="P316" s="5">
        <f>SUMIFS(EIAwtransport!$J$2:$J$675,EIAwtransport!$E$2:$E$675,Program_data!$E316,EIAwtransport!$H$2:$H$675,Program_data!$F316,EIAwtransport!$I$2:$I$675,Program_data!P$2)</f>
        <v>0</v>
      </c>
      <c r="Q316" s="5">
        <f>SUMIFS(EIAwtransport!$J$2:$J$675,EIAwtransport!$E$2:$E$675,Program_data!$E316,EIAwtransport!$H$2:$H$675,Program_data!$F316,EIAwtransport!$I$2:$I$675,Program_data!Q$2)</f>
        <v>0</v>
      </c>
      <c r="R316" s="8">
        <f>SUMIFS(EIAwtransport!$J$2:$J$675,EIAwtransport!$E$2:$E$675,Program_data!$E316,EIAwtransport!$I$2:$I$675,Program_data!R$2)</f>
        <v>389213250</v>
      </c>
      <c r="S316" s="5">
        <f>SUMIFS(EIAwtransport!$J$2:$J$675,EIAwtransport!$E$2:$E$675,Program_data!$E316,EIAwtransport!$I$2:$I$675,Program_data!S$2)</f>
        <v>36410020</v>
      </c>
      <c r="T316" s="5">
        <f>SUMIFS(EIAwtransport!$J$2:$J$675,EIAwtransport!$E$2:$E$675,Program_data!$E316,EIAwtransport!$I$2:$I$675,Program_data!T$2)</f>
        <v>184892</v>
      </c>
      <c r="U316" s="24">
        <f t="shared" si="133"/>
        <v>6.4301255533504248E-4</v>
      </c>
      <c r="V316" s="24">
        <f t="shared" si="126"/>
        <v>7.1445839481671389E-4</v>
      </c>
      <c r="W316" s="24">
        <f t="shared" si="134"/>
        <v>1.1062966124611636E-2</v>
      </c>
      <c r="X316" s="25">
        <f t="shared" si="135"/>
        <v>1.1415068611549142E-2</v>
      </c>
      <c r="Y316" s="8">
        <f t="shared" si="119"/>
        <v>17.752481684593711</v>
      </c>
      <c r="Z316" s="27">
        <f t="shared" si="120"/>
        <v>2.9044002907586068</v>
      </c>
      <c r="AA316" s="27"/>
      <c r="AB316" s="27"/>
      <c r="AC316" s="56">
        <f t="shared" si="132"/>
        <v>1.4744613019597773E-2</v>
      </c>
      <c r="AD316" s="20">
        <f t="shared" si="131"/>
        <v>5812901.5500000007</v>
      </c>
      <c r="AE316" s="20">
        <f t="shared" si="121"/>
        <v>5283121.0500000007</v>
      </c>
      <c r="AF316" s="20">
        <f t="shared" si="122"/>
        <v>525437887.50000006</v>
      </c>
      <c r="AG316">
        <f t="shared" si="123"/>
        <v>25584106.07088</v>
      </c>
      <c r="AH316">
        <f t="shared" si="124"/>
        <v>28426784.523200002</v>
      </c>
      <c r="AI316">
        <f t="shared" si="125"/>
        <v>3840528909.6000004</v>
      </c>
    </row>
    <row r="317" spans="2:35" x14ac:dyDescent="0.25">
      <c r="B317" s="4">
        <v>2024</v>
      </c>
      <c r="C317" s="4" t="s">
        <v>17</v>
      </c>
      <c r="D317" s="15" t="s">
        <v>307</v>
      </c>
      <c r="E317" s="4" t="str">
        <f t="shared" si="127"/>
        <v>CNG-CT</v>
      </c>
      <c r="F317" s="4" t="s">
        <v>135</v>
      </c>
      <c r="G317" s="4"/>
      <c r="H317" s="4" t="s">
        <v>294</v>
      </c>
      <c r="I317" s="11"/>
      <c r="J317" s="4" t="s">
        <v>21</v>
      </c>
      <c r="K317" s="5">
        <v>141349.76800000001</v>
      </c>
      <c r="L317" s="5">
        <f>K317/_xlfn.XLOOKUP(C317,'Utility target list'!$K$2:$K$8,'Utility target list'!$L$2:$L$8,1,0,1)</f>
        <v>157055.2977777778</v>
      </c>
      <c r="M317" s="8">
        <v>151745</v>
      </c>
      <c r="N317" s="8"/>
      <c r="O317" s="8">
        <f>SUMIFS(EIAwtransport!$J$2:$J$675,EIAwtransport!$E$2:$E$675,Program_data!$E317,EIAwtransport!$H$2:$H$675,Program_data!$F317,EIAwtransport!$I$2:$I$675,Program_data!O$2)</f>
        <v>244163614</v>
      </c>
      <c r="P317" s="5">
        <f>SUMIFS(EIAwtransport!$J$2:$J$675,EIAwtransport!$E$2:$E$675,Program_data!$E317,EIAwtransport!$H$2:$H$675,Program_data!$F317,EIAwtransport!$I$2:$I$675,Program_data!P$2)</f>
        <v>17226149</v>
      </c>
      <c r="Q317" s="5">
        <f>SUMIFS(EIAwtransport!$J$2:$J$675,EIAwtransport!$E$2:$E$675,Program_data!$E317,EIAwtransport!$H$2:$H$675,Program_data!$F317,EIAwtransport!$I$2:$I$675,Program_data!Q$2)</f>
        <v>169000</v>
      </c>
      <c r="R317" s="8">
        <f>SUMIFS(EIAwtransport!$J$2:$J$675,EIAwtransport!$E$2:$E$675,Program_data!$E317,EIAwtransport!$I$2:$I$675,Program_data!R$2)</f>
        <v>389213250</v>
      </c>
      <c r="S317" s="5">
        <f>SUMIFS(EIAwtransport!$J$2:$J$675,EIAwtransport!$E$2:$E$675,Program_data!$E317,EIAwtransport!$I$2:$I$675,Program_data!S$2)</f>
        <v>36410020</v>
      </c>
      <c r="T317" s="5">
        <f>SUMIFS(EIAwtransport!$J$2:$J$675,EIAwtransport!$E$2:$E$675,Program_data!$E317,EIAwtransport!$I$2:$I$675,Program_data!T$2)</f>
        <v>184892</v>
      </c>
      <c r="U317" s="24">
        <f t="shared" si="133"/>
        <v>3.7472651759048748E-4</v>
      </c>
      <c r="V317" s="24">
        <f t="shared" si="126"/>
        <v>4.1636279732276395E-4</v>
      </c>
      <c r="W317" s="24">
        <f t="shared" si="134"/>
        <v>3.8987624393568306E-4</v>
      </c>
      <c r="X317" s="25">
        <f t="shared" si="135"/>
        <v>4.0228488674822952E-4</v>
      </c>
      <c r="Y317" s="8">
        <f t="shared" si="119"/>
        <v>0.26675749881531158</v>
      </c>
      <c r="Z317" s="27">
        <f t="shared" si="120"/>
        <v>0.10235561272555398</v>
      </c>
      <c r="AA317" s="27"/>
      <c r="AB317" s="27"/>
      <c r="AC317" s="56">
        <f t="shared" ref="AC317:AC348" si="136">IFERROR(K317/SUMIFS($M$3:$M$1234,$E$3:$E$1234,E317,$B$3:$B$1234,B317),"")</f>
        <v>8.5926743485970122E-3</v>
      </c>
      <c r="AD317" s="20">
        <f t="shared" si="131"/>
        <v>204855.75</v>
      </c>
      <c r="AE317" s="20">
        <f t="shared" si="121"/>
        <v>0</v>
      </c>
      <c r="AF317" s="20">
        <f t="shared" si="122"/>
        <v>525437887.50000006</v>
      </c>
      <c r="AG317">
        <f t="shared" si="123"/>
        <v>14909573.528640002</v>
      </c>
      <c r="AH317">
        <f t="shared" si="124"/>
        <v>16566192.809600003</v>
      </c>
      <c r="AI317">
        <f t="shared" si="125"/>
        <v>3840528909.6000004</v>
      </c>
    </row>
    <row r="318" spans="2:35" x14ac:dyDescent="0.25">
      <c r="B318" s="4">
        <v>2024</v>
      </c>
      <c r="C318" s="4" t="s">
        <v>17</v>
      </c>
      <c r="D318" s="15" t="s">
        <v>307</v>
      </c>
      <c r="E318" s="4" t="str">
        <f t="shared" si="127"/>
        <v>CNG-CT</v>
      </c>
      <c r="F318" s="4" t="s">
        <v>146</v>
      </c>
      <c r="G318" s="4"/>
      <c r="H318" s="4" t="s">
        <v>295</v>
      </c>
      <c r="I318" s="11"/>
      <c r="J318" s="4" t="s">
        <v>21</v>
      </c>
      <c r="K318" s="5">
        <v>196413.16800000001</v>
      </c>
      <c r="L318" s="5">
        <f>K318/_xlfn.XLOOKUP(C318,'Utility target list'!$K$2:$K$8,'Utility target list'!$L$2:$L$8,1,0,1)</f>
        <v>218236.85333333333</v>
      </c>
      <c r="M318" s="8">
        <v>2032228</v>
      </c>
      <c r="N318" s="8">
        <v>1589213</v>
      </c>
      <c r="O318" s="8">
        <f>SUMIFS(EIAwtransport!$J$2:$J$675,EIAwtransport!$E$2:$E$675,Program_data!$E318,EIAwtransport!$H$2:$H$675,Program_data!$F318,EIAwtransport!$I$2:$I$675,Program_data!O$2)</f>
        <v>145049636</v>
      </c>
      <c r="P318" s="5">
        <f>SUMIFS(EIAwtransport!$J$2:$J$675,EIAwtransport!$E$2:$E$675,Program_data!$E318,EIAwtransport!$H$2:$H$675,Program_data!$F318,EIAwtransport!$I$2:$I$675,Program_data!P$2)</f>
        <v>19183871</v>
      </c>
      <c r="Q318" s="5">
        <f>SUMIFS(EIAwtransport!$J$2:$J$675,EIAwtransport!$E$2:$E$675,Program_data!$E318,EIAwtransport!$H$2:$H$675,Program_data!$F318,EIAwtransport!$I$2:$I$675,Program_data!Q$2)</f>
        <v>15892</v>
      </c>
      <c r="R318" s="8">
        <f>SUMIFS(EIAwtransport!$J$2:$J$675,EIAwtransport!$E$2:$E$675,Program_data!$E318,EIAwtransport!$I$2:$I$675,Program_data!R$2)</f>
        <v>389213250</v>
      </c>
      <c r="S318" s="5">
        <f>SUMIFS(EIAwtransport!$J$2:$J$675,EIAwtransport!$E$2:$E$675,Program_data!$E318,EIAwtransport!$I$2:$I$675,Program_data!S$2)</f>
        <v>36410020</v>
      </c>
      <c r="T318" s="5">
        <f>SUMIFS(EIAwtransport!$J$2:$J$675,EIAwtransport!$E$2:$E$675,Program_data!$E318,EIAwtransport!$I$2:$I$675,Program_data!T$2)</f>
        <v>184892</v>
      </c>
      <c r="U318" s="24">
        <f t="shared" si="133"/>
        <v>5.2070281752111098E-4</v>
      </c>
      <c r="V318" s="24">
        <f t="shared" si="126"/>
        <v>5.7855868613456774E-4</v>
      </c>
      <c r="W318" s="24">
        <f t="shared" si="134"/>
        <v>5.2213741438658628E-3</v>
      </c>
      <c r="X318" s="25">
        <f t="shared" si="135"/>
        <v>5.3875555097471486E-3</v>
      </c>
      <c r="Y318" s="8">
        <f t="shared" si="119"/>
        <v>3.028077866725797</v>
      </c>
      <c r="Z318" s="27">
        <f t="shared" si="120"/>
        <v>1.3707861355433597</v>
      </c>
      <c r="AA318" s="27"/>
      <c r="AB318" s="27"/>
      <c r="AC318" s="56">
        <f t="shared" si="136"/>
        <v>1.1939986986043554E-2</v>
      </c>
      <c r="AD318" s="20">
        <f t="shared" si="131"/>
        <v>2743507.8000000003</v>
      </c>
      <c r="AE318" s="20">
        <f t="shared" si="121"/>
        <v>2145437.5500000003</v>
      </c>
      <c r="AF318" s="20">
        <f t="shared" si="122"/>
        <v>525437887.50000006</v>
      </c>
      <c r="AG318">
        <f t="shared" si="123"/>
        <v>20717660.960640002</v>
      </c>
      <c r="AH318">
        <f t="shared" si="124"/>
        <v>23019623.2896</v>
      </c>
      <c r="AI318">
        <f t="shared" si="125"/>
        <v>3840528909.6000004</v>
      </c>
    </row>
    <row r="319" spans="2:35" x14ac:dyDescent="0.25">
      <c r="B319" s="4">
        <v>2024</v>
      </c>
      <c r="C319" s="4" t="s">
        <v>17</v>
      </c>
      <c r="D319" s="15" t="s">
        <v>307</v>
      </c>
      <c r="E319" s="4" t="str">
        <f t="shared" si="127"/>
        <v>CNG-CT</v>
      </c>
      <c r="F319" s="4" t="s">
        <v>146</v>
      </c>
      <c r="G319" s="4"/>
      <c r="H319" s="4" t="s">
        <v>296</v>
      </c>
      <c r="I319" s="11"/>
      <c r="J319" s="4" t="s">
        <v>68</v>
      </c>
      <c r="K319" s="5">
        <v>183946.98</v>
      </c>
      <c r="L319" s="5">
        <f>K319/_xlfn.XLOOKUP(C319,'Utility target list'!$K$2:$K$8,'Utility target list'!$L$2:$L$8,1,0,1)</f>
        <v>204385.53333333333</v>
      </c>
      <c r="M319" s="8">
        <v>1182949</v>
      </c>
      <c r="N319" s="8">
        <v>841092</v>
      </c>
      <c r="O319" s="8">
        <f>SUMIFS(EIAwtransport!$J$2:$J$675,EIAwtransport!$E$2:$E$675,Program_data!$E319,EIAwtransport!$H$2:$H$675,Program_data!$F319,EIAwtransport!$I$2:$I$675,Program_data!O$2)</f>
        <v>145049636</v>
      </c>
      <c r="P319" s="5">
        <f>SUMIFS(EIAwtransport!$J$2:$J$675,EIAwtransport!$E$2:$E$675,Program_data!$E319,EIAwtransport!$H$2:$H$675,Program_data!$F319,EIAwtransport!$I$2:$I$675,Program_data!P$2)</f>
        <v>19183871</v>
      </c>
      <c r="Q319" s="5">
        <f>SUMIFS(EIAwtransport!$J$2:$J$675,EIAwtransport!$E$2:$E$675,Program_data!$E319,EIAwtransport!$H$2:$H$675,Program_data!$F319,EIAwtransport!$I$2:$I$675,Program_data!Q$2)</f>
        <v>15892</v>
      </c>
      <c r="R319" s="8">
        <f>SUMIFS(EIAwtransport!$J$2:$J$675,EIAwtransport!$E$2:$E$675,Program_data!$E319,EIAwtransport!$I$2:$I$675,Program_data!R$2)</f>
        <v>389213250</v>
      </c>
      <c r="S319" s="5">
        <f>SUMIFS(EIAwtransport!$J$2:$J$675,EIAwtransport!$E$2:$E$675,Program_data!$E319,EIAwtransport!$I$2:$I$675,Program_data!S$2)</f>
        <v>36410020</v>
      </c>
      <c r="T319" s="5">
        <f>SUMIFS(EIAwtransport!$J$2:$J$675,EIAwtransport!$E$2:$E$675,Program_data!$E319,EIAwtransport!$I$2:$I$675,Program_data!T$2)</f>
        <v>184892</v>
      </c>
      <c r="U319" s="24">
        <f t="shared" si="133"/>
        <v>4.8765422265629088E-4</v>
      </c>
      <c r="V319" s="24">
        <f t="shared" si="126"/>
        <v>5.4183802517365634E-4</v>
      </c>
      <c r="W319" s="24">
        <f t="shared" si="134"/>
        <v>3.0393338356286687E-3</v>
      </c>
      <c r="X319" s="25">
        <f t="shared" si="135"/>
        <v>3.1360671158452099E-3</v>
      </c>
      <c r="Y319" s="8">
        <f t="shared" si="119"/>
        <v>1.7626278568966744</v>
      </c>
      <c r="Z319" s="27">
        <f t="shared" si="120"/>
        <v>0.79792724450941621</v>
      </c>
      <c r="AA319" s="27"/>
      <c r="AB319" s="27"/>
      <c r="AC319" s="56">
        <f t="shared" si="136"/>
        <v>1.1182165481501799E-2</v>
      </c>
      <c r="AD319" s="20">
        <f t="shared" si="131"/>
        <v>1596981.1500000001</v>
      </c>
      <c r="AE319" s="20">
        <f t="shared" si="121"/>
        <v>1135474.2000000002</v>
      </c>
      <c r="AF319" s="20">
        <f t="shared" si="122"/>
        <v>525437887.50000006</v>
      </c>
      <c r="AG319">
        <f t="shared" si="123"/>
        <v>19402727.450400002</v>
      </c>
      <c r="AH319">
        <f t="shared" si="124"/>
        <v>21558586.056000002</v>
      </c>
      <c r="AI319">
        <f t="shared" si="125"/>
        <v>3840528909.6000004</v>
      </c>
    </row>
    <row r="320" spans="2:35" x14ac:dyDescent="0.25">
      <c r="B320" s="4">
        <v>2024</v>
      </c>
      <c r="C320" s="4" t="s">
        <v>17</v>
      </c>
      <c r="D320" s="15" t="s">
        <v>307</v>
      </c>
      <c r="E320" s="4" t="str">
        <f t="shared" si="127"/>
        <v>CNG-CT</v>
      </c>
      <c r="F320" s="4" t="s">
        <v>146</v>
      </c>
      <c r="G320" s="4"/>
      <c r="H320" s="4" t="s">
        <v>297</v>
      </c>
      <c r="I320" s="11"/>
      <c r="J320" s="4" t="s">
        <v>75</v>
      </c>
      <c r="K320" s="5">
        <v>219769.788</v>
      </c>
      <c r="L320" s="5">
        <f>K320/_xlfn.XLOOKUP(C320,'Utility target list'!$K$2:$K$8,'Utility target list'!$L$2:$L$8,1,0,1)</f>
        <v>244188.65333333332</v>
      </c>
      <c r="M320" s="8">
        <v>624239</v>
      </c>
      <c r="N320" s="8">
        <v>430587</v>
      </c>
      <c r="O320" s="8">
        <f>SUMIFS(EIAwtransport!$J$2:$J$675,EIAwtransport!$E$2:$E$675,Program_data!$E320,EIAwtransport!$H$2:$H$675,Program_data!$F320,EIAwtransport!$I$2:$I$675,Program_data!O$2)</f>
        <v>145049636</v>
      </c>
      <c r="P320" s="5">
        <f>SUMIFS(EIAwtransport!$J$2:$J$675,EIAwtransport!$E$2:$E$675,Program_data!$E320,EIAwtransport!$H$2:$H$675,Program_data!$F320,EIAwtransport!$I$2:$I$675,Program_data!P$2)</f>
        <v>19183871</v>
      </c>
      <c r="Q320" s="5">
        <f>SUMIFS(EIAwtransport!$J$2:$J$675,EIAwtransport!$E$2:$E$675,Program_data!$E320,EIAwtransport!$H$2:$H$675,Program_data!$F320,EIAwtransport!$I$2:$I$675,Program_data!Q$2)</f>
        <v>15892</v>
      </c>
      <c r="R320" s="8">
        <f>SUMIFS(EIAwtransport!$J$2:$J$675,EIAwtransport!$E$2:$E$675,Program_data!$E320,EIAwtransport!$I$2:$I$675,Program_data!R$2)</f>
        <v>389213250</v>
      </c>
      <c r="S320" s="5">
        <f>SUMIFS(EIAwtransport!$J$2:$J$675,EIAwtransport!$E$2:$E$675,Program_data!$E320,EIAwtransport!$I$2:$I$675,Program_data!S$2)</f>
        <v>36410020</v>
      </c>
      <c r="T320" s="5">
        <f>SUMIFS(EIAwtransport!$J$2:$J$675,EIAwtransport!$E$2:$E$675,Program_data!$E320,EIAwtransport!$I$2:$I$675,Program_data!T$2)</f>
        <v>184892</v>
      </c>
      <c r="U320" s="24">
        <f t="shared" si="133"/>
        <v>5.8262258576073298E-4</v>
      </c>
      <c r="V320" s="24">
        <f t="shared" si="126"/>
        <v>6.4735842862303648E-4</v>
      </c>
      <c r="W320" s="24">
        <f t="shared" si="134"/>
        <v>1.6038482759772438E-3</v>
      </c>
      <c r="X320" s="25">
        <f t="shared" si="135"/>
        <v>1.6548941673124524E-3</v>
      </c>
      <c r="Y320" s="8">
        <f t="shared" si="119"/>
        <v>0.93013397091617911</v>
      </c>
      <c r="Z320" s="27">
        <f t="shared" si="120"/>
        <v>0.42106405701793859</v>
      </c>
      <c r="AA320" s="27"/>
      <c r="AB320" s="27"/>
      <c r="AC320" s="56">
        <f t="shared" si="136"/>
        <v>1.3359839543169277E-2</v>
      </c>
      <c r="AD320" s="20">
        <f t="shared" si="131"/>
        <v>842722.65</v>
      </c>
      <c r="AE320" s="20">
        <f t="shared" si="121"/>
        <v>581292.45000000007</v>
      </c>
      <c r="AF320" s="20">
        <f t="shared" si="122"/>
        <v>525437887.50000006</v>
      </c>
      <c r="AG320">
        <f t="shared" si="123"/>
        <v>23181317.23824</v>
      </c>
      <c r="AH320">
        <f t="shared" si="124"/>
        <v>25757019.1536</v>
      </c>
      <c r="AI320">
        <f t="shared" si="125"/>
        <v>3840528909.6000004</v>
      </c>
    </row>
    <row r="321" spans="2:35" x14ac:dyDescent="0.25">
      <c r="B321" s="4">
        <v>2024</v>
      </c>
      <c r="C321" s="4" t="s">
        <v>17</v>
      </c>
      <c r="D321" s="15" t="s">
        <v>307</v>
      </c>
      <c r="E321" s="4" t="str">
        <f t="shared" si="127"/>
        <v>CNG-CT</v>
      </c>
      <c r="F321" s="4" t="s">
        <v>146</v>
      </c>
      <c r="G321" s="4"/>
      <c r="H321" s="4" t="s">
        <v>75</v>
      </c>
      <c r="I321" s="11"/>
      <c r="J321" s="4" t="s">
        <v>21</v>
      </c>
      <c r="K321" s="5">
        <v>70998.116000000009</v>
      </c>
      <c r="L321" s="5">
        <f>K321/_xlfn.XLOOKUP(C321,'Utility target list'!$K$2:$K$8,'Utility target list'!$L$2:$L$8,1,0,1)</f>
        <v>78886.795555555567</v>
      </c>
      <c r="M321" s="8">
        <v>484608</v>
      </c>
      <c r="N321" s="8">
        <v>251123</v>
      </c>
      <c r="O321" s="8">
        <f>SUMIFS(EIAwtransport!$J$2:$J$675,EIAwtransport!$E$2:$E$675,Program_data!$E321,EIAwtransport!$H$2:$H$675,Program_data!$F321,EIAwtransport!$I$2:$I$675,Program_data!O$2)</f>
        <v>145049636</v>
      </c>
      <c r="P321" s="5">
        <f>SUMIFS(EIAwtransport!$J$2:$J$675,EIAwtransport!$E$2:$E$675,Program_data!$E321,EIAwtransport!$H$2:$H$675,Program_data!$F321,EIAwtransport!$I$2:$I$675,Program_data!P$2)</f>
        <v>19183871</v>
      </c>
      <c r="Q321" s="5">
        <f>SUMIFS(EIAwtransport!$J$2:$J$675,EIAwtransport!$E$2:$E$675,Program_data!$E321,EIAwtransport!$H$2:$H$675,Program_data!$F321,EIAwtransport!$I$2:$I$675,Program_data!Q$2)</f>
        <v>15892</v>
      </c>
      <c r="R321" s="8">
        <f>SUMIFS(EIAwtransport!$J$2:$J$675,EIAwtransport!$E$2:$E$675,Program_data!$E321,EIAwtransport!$I$2:$I$675,Program_data!R$2)</f>
        <v>389213250</v>
      </c>
      <c r="S321" s="5">
        <f>SUMIFS(EIAwtransport!$J$2:$J$675,EIAwtransport!$E$2:$E$675,Program_data!$E321,EIAwtransport!$I$2:$I$675,Program_data!S$2)</f>
        <v>36410020</v>
      </c>
      <c r="T321" s="5">
        <f>SUMIFS(EIAwtransport!$J$2:$J$675,EIAwtransport!$E$2:$E$675,Program_data!$E321,EIAwtransport!$I$2:$I$675,Program_data!T$2)</f>
        <v>184892</v>
      </c>
      <c r="U321" s="24">
        <f t="shared" si="133"/>
        <v>1.8822016576755524E-4</v>
      </c>
      <c r="V321" s="24">
        <f t="shared" si="126"/>
        <v>2.0913351751950584E-4</v>
      </c>
      <c r="W321" s="24">
        <f t="shared" si="134"/>
        <v>1.2450963578449603E-3</v>
      </c>
      <c r="X321" s="25">
        <f t="shared" si="135"/>
        <v>1.2847242044040069E-3</v>
      </c>
      <c r="Y321" s="8">
        <f t="shared" si="119"/>
        <v>0.72207978575152743</v>
      </c>
      <c r="Z321" s="27">
        <f t="shared" si="120"/>
        <v>0.32687962550136918</v>
      </c>
      <c r="AA321" s="27"/>
      <c r="AB321" s="27"/>
      <c r="AC321" s="56">
        <f t="shared" si="136"/>
        <v>4.3159864977770261E-3</v>
      </c>
      <c r="AD321" s="20">
        <f t="shared" si="131"/>
        <v>654220.80000000005</v>
      </c>
      <c r="AE321" s="20">
        <f t="shared" si="121"/>
        <v>339016.05000000005</v>
      </c>
      <c r="AF321" s="20">
        <f t="shared" si="122"/>
        <v>525437887.50000006</v>
      </c>
      <c r="AG321">
        <f t="shared" si="123"/>
        <v>7488881.2756800009</v>
      </c>
      <c r="AH321">
        <f t="shared" si="124"/>
        <v>8320979.1952000018</v>
      </c>
      <c r="AI321">
        <f t="shared" si="125"/>
        <v>3840528909.6000004</v>
      </c>
    </row>
    <row r="322" spans="2:35" x14ac:dyDescent="0.25">
      <c r="B322" s="4">
        <v>2024</v>
      </c>
      <c r="C322" s="4" t="s">
        <v>17</v>
      </c>
      <c r="D322" s="15" t="s">
        <v>307</v>
      </c>
      <c r="E322" s="4" t="str">
        <f t="shared" si="127"/>
        <v>CNG-CT</v>
      </c>
      <c r="F322" s="4" t="s">
        <v>135</v>
      </c>
      <c r="G322" s="4"/>
      <c r="H322" s="4" t="s">
        <v>298</v>
      </c>
      <c r="I322" s="4" t="s">
        <v>167</v>
      </c>
      <c r="J322" s="4" t="s">
        <v>155</v>
      </c>
      <c r="K322" s="5"/>
      <c r="L322" s="49"/>
      <c r="M322" s="8">
        <v>156408</v>
      </c>
      <c r="N322" s="8"/>
      <c r="O322" s="8">
        <f>SUMIFS(EIAwtransport!$J$2:$J$675,EIAwtransport!$E$2:$E$675,Program_data!$E322,EIAwtransport!$H$2:$H$675,Program_data!$F322,EIAwtransport!$I$2:$I$675,Program_data!O$2)</f>
        <v>244163614</v>
      </c>
      <c r="P322" s="5">
        <f>SUMIFS(EIAwtransport!$J$2:$J$675,EIAwtransport!$E$2:$E$675,Program_data!$E322,EIAwtransport!$H$2:$H$675,Program_data!$F322,EIAwtransport!$I$2:$I$675,Program_data!P$2)</f>
        <v>17226149</v>
      </c>
      <c r="Q322" s="5">
        <f>SUMIFS(EIAwtransport!$J$2:$J$675,EIAwtransport!$E$2:$E$675,Program_data!$E322,EIAwtransport!$H$2:$H$675,Program_data!$F322,EIAwtransport!$I$2:$I$675,Program_data!Q$2)</f>
        <v>169000</v>
      </c>
      <c r="R322" s="8">
        <f>SUMIFS(EIAwtransport!$J$2:$J$675,EIAwtransport!$E$2:$E$675,Program_data!$E322,EIAwtransport!$I$2:$I$675,Program_data!R$2)</f>
        <v>389213250</v>
      </c>
      <c r="S322" s="5">
        <f>SUMIFS(EIAwtransport!$J$2:$J$675,EIAwtransport!$E$2:$E$675,Program_data!$E322,EIAwtransport!$I$2:$I$675,Program_data!S$2)</f>
        <v>36410020</v>
      </c>
      <c r="T322" s="5">
        <f>SUMIFS(EIAwtransport!$J$2:$J$675,EIAwtransport!$E$2:$E$675,Program_data!$E322,EIAwtransport!$I$2:$I$675,Program_data!T$2)</f>
        <v>184892</v>
      </c>
      <c r="U322" s="24">
        <f t="shared" si="133"/>
        <v>0</v>
      </c>
      <c r="V322" s="24">
        <f t="shared" si="126"/>
        <v>0</v>
      </c>
      <c r="W322" s="24">
        <f t="shared" si="134"/>
        <v>4.018568227058046E-4</v>
      </c>
      <c r="X322" s="25">
        <f t="shared" si="135"/>
        <v>4.1464677298439542E-4</v>
      </c>
      <c r="Y322" s="8">
        <f t="shared" si="119"/>
        <v>0.27495473903394019</v>
      </c>
      <c r="Z322" s="27">
        <f t="shared" si="120"/>
        <v>0.10550091716483868</v>
      </c>
      <c r="AA322" s="27"/>
      <c r="AB322" s="27"/>
      <c r="AC322" s="56">
        <f t="shared" si="136"/>
        <v>0</v>
      </c>
      <c r="AD322" s="20">
        <f t="shared" si="131"/>
        <v>211150.80000000002</v>
      </c>
      <c r="AE322" s="20">
        <f t="shared" si="121"/>
        <v>0</v>
      </c>
      <c r="AF322" s="20">
        <f t="shared" si="122"/>
        <v>525437887.50000006</v>
      </c>
      <c r="AG322">
        <f t="shared" si="123"/>
        <v>0</v>
      </c>
      <c r="AH322">
        <f t="shared" si="124"/>
        <v>0</v>
      </c>
      <c r="AI322">
        <f t="shared" si="125"/>
        <v>3840528909.6000004</v>
      </c>
    </row>
    <row r="323" spans="2:35" x14ac:dyDescent="0.25">
      <c r="B323" s="4">
        <v>2024</v>
      </c>
      <c r="C323" s="4" t="s">
        <v>17</v>
      </c>
      <c r="D323" s="15" t="s">
        <v>307</v>
      </c>
      <c r="E323" s="4" t="str">
        <f t="shared" si="127"/>
        <v>CNG-CT</v>
      </c>
      <c r="F323" s="4" t="s">
        <v>146</v>
      </c>
      <c r="G323" s="4"/>
      <c r="H323" s="4" t="s">
        <v>299</v>
      </c>
      <c r="I323" s="4" t="s">
        <v>167</v>
      </c>
      <c r="J323" s="4" t="s">
        <v>155</v>
      </c>
      <c r="K323" s="5"/>
      <c r="L323" s="49"/>
      <c r="M323" s="8">
        <v>191720</v>
      </c>
      <c r="N323" s="8"/>
      <c r="O323" s="8">
        <f>SUMIFS(EIAwtransport!$J$2:$J$675,EIAwtransport!$E$2:$E$675,Program_data!$E323,EIAwtransport!$H$2:$H$675,Program_data!$F323,EIAwtransport!$I$2:$I$675,Program_data!O$2)</f>
        <v>145049636</v>
      </c>
      <c r="P323" s="5">
        <f>SUMIFS(EIAwtransport!$J$2:$J$675,EIAwtransport!$E$2:$E$675,Program_data!$E323,EIAwtransport!$H$2:$H$675,Program_data!$F323,EIAwtransport!$I$2:$I$675,Program_data!P$2)</f>
        <v>19183871</v>
      </c>
      <c r="Q323" s="5">
        <f>SUMIFS(EIAwtransport!$J$2:$J$675,EIAwtransport!$E$2:$E$675,Program_data!$E323,EIAwtransport!$H$2:$H$675,Program_data!$F323,EIAwtransport!$I$2:$I$675,Program_data!Q$2)</f>
        <v>15892</v>
      </c>
      <c r="R323" s="8">
        <f>SUMIFS(EIAwtransport!$J$2:$J$675,EIAwtransport!$E$2:$E$675,Program_data!$E323,EIAwtransport!$I$2:$I$675,Program_data!R$2)</f>
        <v>389213250</v>
      </c>
      <c r="S323" s="5">
        <f>SUMIFS(EIAwtransport!$J$2:$J$675,EIAwtransport!$E$2:$E$675,Program_data!$E323,EIAwtransport!$I$2:$I$675,Program_data!S$2)</f>
        <v>36410020</v>
      </c>
      <c r="T323" s="5">
        <f>SUMIFS(EIAwtransport!$J$2:$J$675,EIAwtransport!$E$2:$E$675,Program_data!$E323,EIAwtransport!$I$2:$I$675,Program_data!T$2)</f>
        <v>184892</v>
      </c>
      <c r="U323" s="24">
        <f t="shared" si="133"/>
        <v>0</v>
      </c>
      <c r="V323" s="24">
        <f t="shared" si="126"/>
        <v>0</v>
      </c>
      <c r="W323" s="24">
        <f t="shared" si="134"/>
        <v>4.9258343594417713E-4</v>
      </c>
      <c r="X323" s="25">
        <f t="shared" si="135"/>
        <v>5.0826095414920145E-4</v>
      </c>
      <c r="Y323" s="8">
        <f t="shared" si="119"/>
        <v>0.28566828555096663</v>
      </c>
      <c r="Z323" s="27">
        <f t="shared" si="120"/>
        <v>0.12931970128665332</v>
      </c>
      <c r="AA323" s="27"/>
      <c r="AB323" s="27"/>
      <c r="AC323" s="56">
        <f t="shared" si="136"/>
        <v>0</v>
      </c>
      <c r="AD323" s="20">
        <f t="shared" si="131"/>
        <v>258822.00000000003</v>
      </c>
      <c r="AE323" s="20">
        <f t="shared" si="121"/>
        <v>0</v>
      </c>
      <c r="AF323" s="20">
        <f t="shared" si="122"/>
        <v>525437887.50000006</v>
      </c>
      <c r="AG323">
        <f t="shared" si="123"/>
        <v>0</v>
      </c>
      <c r="AH323">
        <f t="shared" si="124"/>
        <v>0</v>
      </c>
      <c r="AI323">
        <f t="shared" si="125"/>
        <v>3840528909.6000004</v>
      </c>
    </row>
    <row r="324" spans="2:35" x14ac:dyDescent="0.25">
      <c r="B324" s="4">
        <v>2024</v>
      </c>
      <c r="C324" s="4" t="s">
        <v>17</v>
      </c>
      <c r="D324" s="15" t="s">
        <v>307</v>
      </c>
      <c r="E324" s="4" t="str">
        <f t="shared" si="127"/>
        <v>CNG-CT</v>
      </c>
      <c r="F324" s="4" t="s">
        <v>306</v>
      </c>
      <c r="G324" s="4"/>
      <c r="H324" s="4" t="s">
        <v>308</v>
      </c>
      <c r="I324" s="4" t="s">
        <v>167</v>
      </c>
      <c r="J324" s="4" t="s">
        <v>155</v>
      </c>
      <c r="K324" s="5"/>
      <c r="L324" s="49"/>
      <c r="M324" s="8">
        <v>76667</v>
      </c>
      <c r="N324" s="8"/>
      <c r="O324" s="8">
        <f>SUMIFS(EIAwtransport!$J$2:$J$675,EIAwtransport!$E$2:$E$675,Program_data!$E324,EIAwtransport!$H$2:$H$675,Program_data!$F324,EIAwtransport!$I$2:$I$675,Program_data!O$2)</f>
        <v>0</v>
      </c>
      <c r="P324" s="5">
        <f>SUMIFS(EIAwtransport!$J$2:$J$675,EIAwtransport!$E$2:$E$675,Program_data!$E324,EIAwtransport!$H$2:$H$675,Program_data!$F324,EIAwtransport!$I$2:$I$675,Program_data!P$2)</f>
        <v>0</v>
      </c>
      <c r="Q324" s="5">
        <f>SUMIFS(EIAwtransport!$J$2:$J$675,EIAwtransport!$E$2:$E$675,Program_data!$E324,EIAwtransport!$H$2:$H$675,Program_data!$F324,EIAwtransport!$I$2:$I$675,Program_data!Q$2)</f>
        <v>0</v>
      </c>
      <c r="R324" s="8">
        <f>SUMIFS(EIAwtransport!$J$2:$J$675,EIAwtransport!$E$2:$E$675,Program_data!$E324,EIAwtransport!$I$2:$I$675,Program_data!R$2)</f>
        <v>389213250</v>
      </c>
      <c r="S324" s="5">
        <f>SUMIFS(EIAwtransport!$J$2:$J$675,EIAwtransport!$E$2:$E$675,Program_data!$E324,EIAwtransport!$I$2:$I$675,Program_data!S$2)</f>
        <v>36410020</v>
      </c>
      <c r="T324" s="5">
        <f>SUMIFS(EIAwtransport!$J$2:$J$675,EIAwtransport!$E$2:$E$675,Program_data!$E324,EIAwtransport!$I$2:$I$675,Program_data!T$2)</f>
        <v>184892</v>
      </c>
      <c r="U324" s="24">
        <f t="shared" si="133"/>
        <v>0</v>
      </c>
      <c r="V324" s="24">
        <f t="shared" si="126"/>
        <v>0</v>
      </c>
      <c r="W324" s="24">
        <f t="shared" si="134"/>
        <v>1.9697941937999285E-4</v>
      </c>
      <c r="X324" s="25">
        <f t="shared" si="135"/>
        <v>2.0324870942915095E-4</v>
      </c>
      <c r="Y324" s="8" t="str">
        <f t="shared" ref="Y324:Y387" si="137">IFERROR(M324/SUMIFS($K$3:$K$1492,$E$3:$E$1492,E324,$B$3:$B$1492,B324,$F$3:$F$1492,F324,$A$3:$A$1492,""),"")</f>
        <v/>
      </c>
      <c r="Z324" s="27">
        <f t="shared" ref="Z324:Z387" si="138">IFERROR(M324/SUMIFS($K$3:$K$1492,$E$3:$E$1492,E324,$B$3:$B$1492,B324,$A$3:$A$1492,""),"")</f>
        <v>5.1713715515041989E-2</v>
      </c>
      <c r="AA324" s="27"/>
      <c r="AB324" s="27"/>
      <c r="AC324" s="56">
        <f t="shared" si="136"/>
        <v>0</v>
      </c>
      <c r="AD324" s="20">
        <f t="shared" si="131"/>
        <v>103500.45000000001</v>
      </c>
      <c r="AE324" s="20">
        <f t="shared" si="121"/>
        <v>0</v>
      </c>
      <c r="AF324" s="20">
        <f t="shared" si="122"/>
        <v>525437887.50000006</v>
      </c>
      <c r="AG324">
        <f t="shared" si="123"/>
        <v>0</v>
      </c>
      <c r="AH324">
        <f t="shared" si="124"/>
        <v>0</v>
      </c>
      <c r="AI324">
        <f t="shared" si="125"/>
        <v>3840528909.6000004</v>
      </c>
    </row>
    <row r="325" spans="2:35" x14ac:dyDescent="0.25">
      <c r="B325" s="4">
        <v>2024</v>
      </c>
      <c r="C325" s="4" t="s">
        <v>17</v>
      </c>
      <c r="D325" s="15" t="s">
        <v>307</v>
      </c>
      <c r="E325" s="4" t="str">
        <f t="shared" si="127"/>
        <v>CNG-CT</v>
      </c>
      <c r="F325" s="4" t="s">
        <v>306</v>
      </c>
      <c r="G325" s="4"/>
      <c r="H325" s="4" t="s">
        <v>300</v>
      </c>
      <c r="I325" s="4" t="s">
        <v>167</v>
      </c>
      <c r="J325" s="4" t="s">
        <v>155</v>
      </c>
      <c r="K325" s="5"/>
      <c r="L325" s="49"/>
      <c r="M325" s="8">
        <v>82667</v>
      </c>
      <c r="N325" s="8"/>
      <c r="O325" s="8">
        <f>SUMIFS(EIAwtransport!$J$2:$J$675,EIAwtransport!$E$2:$E$675,Program_data!$E325,EIAwtransport!$H$2:$H$675,Program_data!$F325,EIAwtransport!$I$2:$I$675,Program_data!O$2)</f>
        <v>0</v>
      </c>
      <c r="P325" s="5">
        <f>SUMIFS(EIAwtransport!$J$2:$J$675,EIAwtransport!$E$2:$E$675,Program_data!$E325,EIAwtransport!$H$2:$H$675,Program_data!$F325,EIAwtransport!$I$2:$I$675,Program_data!P$2)</f>
        <v>0</v>
      </c>
      <c r="Q325" s="5">
        <f>SUMIFS(EIAwtransport!$J$2:$J$675,EIAwtransport!$E$2:$E$675,Program_data!$E325,EIAwtransport!$H$2:$H$675,Program_data!$F325,EIAwtransport!$I$2:$I$675,Program_data!Q$2)</f>
        <v>0</v>
      </c>
      <c r="R325" s="8">
        <f>SUMIFS(EIAwtransport!$J$2:$J$675,EIAwtransport!$E$2:$E$675,Program_data!$E325,EIAwtransport!$I$2:$I$675,Program_data!R$2)</f>
        <v>389213250</v>
      </c>
      <c r="S325" s="5">
        <f>SUMIFS(EIAwtransport!$J$2:$J$675,EIAwtransport!$E$2:$E$675,Program_data!$E325,EIAwtransport!$I$2:$I$675,Program_data!S$2)</f>
        <v>36410020</v>
      </c>
      <c r="T325" s="5">
        <f>SUMIFS(EIAwtransport!$J$2:$J$675,EIAwtransport!$E$2:$E$675,Program_data!$E325,EIAwtransport!$I$2:$I$675,Program_data!T$2)</f>
        <v>184892</v>
      </c>
      <c r="U325" s="24">
        <f t="shared" si="133"/>
        <v>0</v>
      </c>
      <c r="V325" s="24">
        <f t="shared" si="126"/>
        <v>0</v>
      </c>
      <c r="W325" s="24">
        <f t="shared" si="134"/>
        <v>2.1239513300228089E-4</v>
      </c>
      <c r="X325" s="25">
        <f t="shared" si="135"/>
        <v>2.1915506100903418E-4</v>
      </c>
      <c r="Y325" s="8" t="str">
        <f t="shared" si="137"/>
        <v/>
      </c>
      <c r="Z325" s="27">
        <f t="shared" si="138"/>
        <v>5.5760858263424633E-2</v>
      </c>
      <c r="AA325" s="27"/>
      <c r="AB325" s="27"/>
      <c r="AC325" s="56">
        <f t="shared" si="136"/>
        <v>0</v>
      </c>
      <c r="AD325" s="20">
        <f t="shared" si="131"/>
        <v>111600.45000000001</v>
      </c>
      <c r="AE325" s="20">
        <f t="shared" si="121"/>
        <v>0</v>
      </c>
      <c r="AF325" s="20">
        <f t="shared" si="122"/>
        <v>525437887.50000006</v>
      </c>
      <c r="AG325">
        <f t="shared" si="123"/>
        <v>0</v>
      </c>
      <c r="AH325">
        <f t="shared" si="124"/>
        <v>0</v>
      </c>
      <c r="AI325">
        <f t="shared" si="125"/>
        <v>3840528909.6000004</v>
      </c>
    </row>
    <row r="326" spans="2:35" x14ac:dyDescent="0.25">
      <c r="B326" s="4">
        <v>2024</v>
      </c>
      <c r="C326" s="4" t="s">
        <v>17</v>
      </c>
      <c r="D326" s="15" t="s">
        <v>307</v>
      </c>
      <c r="E326" s="4" t="str">
        <f t="shared" si="127"/>
        <v>CNG-CT</v>
      </c>
      <c r="F326" s="4" t="s">
        <v>306</v>
      </c>
      <c r="G326" s="4"/>
      <c r="H326" s="4" t="s">
        <v>301</v>
      </c>
      <c r="I326" s="4" t="s">
        <v>167</v>
      </c>
      <c r="J326" s="4" t="s">
        <v>155</v>
      </c>
      <c r="K326" s="5"/>
      <c r="L326" s="49"/>
      <c r="M326" s="8">
        <v>80000</v>
      </c>
      <c r="N326" s="8"/>
      <c r="O326" s="8">
        <f>SUMIFS(EIAwtransport!$J$2:$J$675,EIAwtransport!$E$2:$E$675,Program_data!$E326,EIAwtransport!$H$2:$H$675,Program_data!$F326,EIAwtransport!$I$2:$I$675,Program_data!O$2)</f>
        <v>0</v>
      </c>
      <c r="P326" s="5">
        <f>SUMIFS(EIAwtransport!$J$2:$J$675,EIAwtransport!$E$2:$E$675,Program_data!$E326,EIAwtransport!$H$2:$H$675,Program_data!$F326,EIAwtransport!$I$2:$I$675,Program_data!P$2)</f>
        <v>0</v>
      </c>
      <c r="Q326" s="5">
        <f>SUMIFS(EIAwtransport!$J$2:$J$675,EIAwtransport!$E$2:$E$675,Program_data!$E326,EIAwtransport!$H$2:$H$675,Program_data!$F326,EIAwtransport!$I$2:$I$675,Program_data!Q$2)</f>
        <v>0</v>
      </c>
      <c r="R326" s="8">
        <f>SUMIFS(EIAwtransport!$J$2:$J$675,EIAwtransport!$E$2:$E$675,Program_data!$E326,EIAwtransport!$I$2:$I$675,Program_data!R$2)</f>
        <v>389213250</v>
      </c>
      <c r="S326" s="5">
        <f>SUMIFS(EIAwtransport!$J$2:$J$675,EIAwtransport!$E$2:$E$675,Program_data!$E326,EIAwtransport!$I$2:$I$675,Program_data!S$2)</f>
        <v>36410020</v>
      </c>
      <c r="T326" s="5">
        <f>SUMIFS(EIAwtransport!$J$2:$J$675,EIAwtransport!$E$2:$E$675,Program_data!$E326,EIAwtransport!$I$2:$I$675,Program_data!T$2)</f>
        <v>184892</v>
      </c>
      <c r="U326" s="24">
        <f t="shared" si="133"/>
        <v>0</v>
      </c>
      <c r="V326" s="24">
        <f t="shared" si="126"/>
        <v>0</v>
      </c>
      <c r="W326" s="24">
        <f t="shared" si="134"/>
        <v>2.0554284829717384E-4</v>
      </c>
      <c r="X326" s="25">
        <f t="shared" si="135"/>
        <v>2.1208468773177609E-4</v>
      </c>
      <c r="Y326" s="8" t="str">
        <f t="shared" si="137"/>
        <v/>
      </c>
      <c r="Z326" s="27">
        <f t="shared" si="138"/>
        <v>5.3961903311768547E-2</v>
      </c>
      <c r="AA326" s="27"/>
      <c r="AB326" s="27"/>
      <c r="AC326" s="56">
        <f t="shared" si="136"/>
        <v>0</v>
      </c>
      <c r="AD326" s="20">
        <f t="shared" si="131"/>
        <v>108000</v>
      </c>
      <c r="AE326" s="20">
        <f t="shared" si="121"/>
        <v>0</v>
      </c>
      <c r="AF326" s="20">
        <f t="shared" si="122"/>
        <v>525437887.50000006</v>
      </c>
      <c r="AG326">
        <f t="shared" si="123"/>
        <v>0</v>
      </c>
      <c r="AH326">
        <f t="shared" si="124"/>
        <v>0</v>
      </c>
      <c r="AI326">
        <f t="shared" si="125"/>
        <v>3840528909.6000004</v>
      </c>
    </row>
    <row r="327" spans="2:35" x14ac:dyDescent="0.25">
      <c r="B327" s="4">
        <v>2024</v>
      </c>
      <c r="C327" s="4" t="s">
        <v>17</v>
      </c>
      <c r="D327" s="15" t="s">
        <v>307</v>
      </c>
      <c r="E327" s="4" t="str">
        <f t="shared" si="127"/>
        <v>CNG-CT</v>
      </c>
      <c r="F327" s="4" t="s">
        <v>306</v>
      </c>
      <c r="G327" s="4"/>
      <c r="H327" s="4" t="s">
        <v>302</v>
      </c>
      <c r="I327" s="4" t="s">
        <v>167</v>
      </c>
      <c r="J327" s="4" t="s">
        <v>155</v>
      </c>
      <c r="K327" s="5"/>
      <c r="L327" s="49"/>
      <c r="M327" s="8">
        <v>50000</v>
      </c>
      <c r="N327" s="8"/>
      <c r="O327" s="8">
        <f>SUMIFS(EIAwtransport!$J$2:$J$675,EIAwtransport!$E$2:$E$675,Program_data!$E327,EIAwtransport!$H$2:$H$675,Program_data!$F327,EIAwtransport!$I$2:$I$675,Program_data!O$2)</f>
        <v>0</v>
      </c>
      <c r="P327" s="5">
        <f>SUMIFS(EIAwtransport!$J$2:$J$675,EIAwtransport!$E$2:$E$675,Program_data!$E327,EIAwtransport!$H$2:$H$675,Program_data!$F327,EIAwtransport!$I$2:$I$675,Program_data!P$2)</f>
        <v>0</v>
      </c>
      <c r="Q327" s="5">
        <f>SUMIFS(EIAwtransport!$J$2:$J$675,EIAwtransport!$E$2:$E$675,Program_data!$E327,EIAwtransport!$H$2:$H$675,Program_data!$F327,EIAwtransport!$I$2:$I$675,Program_data!Q$2)</f>
        <v>0</v>
      </c>
      <c r="R327" s="8">
        <f>SUMIFS(EIAwtransport!$J$2:$J$675,EIAwtransport!$E$2:$E$675,Program_data!$E327,EIAwtransport!$I$2:$I$675,Program_data!R$2)</f>
        <v>389213250</v>
      </c>
      <c r="S327" s="5">
        <f>SUMIFS(EIAwtransport!$J$2:$J$675,EIAwtransport!$E$2:$E$675,Program_data!$E327,EIAwtransport!$I$2:$I$675,Program_data!S$2)</f>
        <v>36410020</v>
      </c>
      <c r="T327" s="5">
        <f>SUMIFS(EIAwtransport!$J$2:$J$675,EIAwtransport!$E$2:$E$675,Program_data!$E327,EIAwtransport!$I$2:$I$675,Program_data!T$2)</f>
        <v>184892</v>
      </c>
      <c r="U327" s="24">
        <f t="shared" si="133"/>
        <v>0</v>
      </c>
      <c r="V327" s="24">
        <f t="shared" si="126"/>
        <v>0</v>
      </c>
      <c r="W327" s="24">
        <f t="shared" si="134"/>
        <v>1.2846428018573365E-4</v>
      </c>
      <c r="X327" s="25">
        <f t="shared" si="135"/>
        <v>1.3255292983236006E-4</v>
      </c>
      <c r="Y327" s="8" t="str">
        <f t="shared" si="137"/>
        <v/>
      </c>
      <c r="Z327" s="27">
        <f t="shared" si="138"/>
        <v>3.372618956985534E-2</v>
      </c>
      <c r="AA327" s="27"/>
      <c r="AB327" s="27"/>
      <c r="AC327" s="56">
        <f t="shared" si="136"/>
        <v>0</v>
      </c>
      <c r="AD327" s="20">
        <f t="shared" si="131"/>
        <v>67500</v>
      </c>
      <c r="AE327" s="20">
        <f t="shared" si="121"/>
        <v>0</v>
      </c>
      <c r="AF327" s="20">
        <f t="shared" si="122"/>
        <v>525437887.50000006</v>
      </c>
      <c r="AG327">
        <f t="shared" si="123"/>
        <v>0</v>
      </c>
      <c r="AH327">
        <f t="shared" si="124"/>
        <v>0</v>
      </c>
      <c r="AI327">
        <f t="shared" si="125"/>
        <v>3840528909.6000004</v>
      </c>
    </row>
    <row r="328" spans="2:35" x14ac:dyDescent="0.25">
      <c r="B328" s="4">
        <v>2024</v>
      </c>
      <c r="C328" s="4" t="s">
        <v>17</v>
      </c>
      <c r="D328" s="15" t="s">
        <v>307</v>
      </c>
      <c r="E328" s="4" t="str">
        <f t="shared" si="127"/>
        <v>CNG-CT</v>
      </c>
      <c r="F328" s="4" t="s">
        <v>306</v>
      </c>
      <c r="G328" s="4"/>
      <c r="H328" s="4" t="s">
        <v>303</v>
      </c>
      <c r="I328" s="4" t="s">
        <v>167</v>
      </c>
      <c r="J328" s="4" t="s">
        <v>155</v>
      </c>
      <c r="K328" s="5"/>
      <c r="L328" s="49"/>
      <c r="M328" s="8">
        <v>86292</v>
      </c>
      <c r="N328" s="8"/>
      <c r="O328" s="8">
        <f>SUMIFS(EIAwtransport!$J$2:$J$675,EIAwtransport!$E$2:$E$675,Program_data!$E328,EIAwtransport!$H$2:$H$675,Program_data!$F328,EIAwtransport!$I$2:$I$675,Program_data!O$2)</f>
        <v>0</v>
      </c>
      <c r="P328" s="5">
        <f>SUMIFS(EIAwtransport!$J$2:$J$675,EIAwtransport!$E$2:$E$675,Program_data!$E328,EIAwtransport!$H$2:$H$675,Program_data!$F328,EIAwtransport!$I$2:$I$675,Program_data!P$2)</f>
        <v>0</v>
      </c>
      <c r="Q328" s="5">
        <f>SUMIFS(EIAwtransport!$J$2:$J$675,EIAwtransport!$E$2:$E$675,Program_data!$E328,EIAwtransport!$H$2:$H$675,Program_data!$F328,EIAwtransport!$I$2:$I$675,Program_data!Q$2)</f>
        <v>0</v>
      </c>
      <c r="R328" s="8">
        <f>SUMIFS(EIAwtransport!$J$2:$J$675,EIAwtransport!$E$2:$E$675,Program_data!$E328,EIAwtransport!$I$2:$I$675,Program_data!R$2)</f>
        <v>389213250</v>
      </c>
      <c r="S328" s="5">
        <f>SUMIFS(EIAwtransport!$J$2:$J$675,EIAwtransport!$E$2:$E$675,Program_data!$E328,EIAwtransport!$I$2:$I$675,Program_data!S$2)</f>
        <v>36410020</v>
      </c>
      <c r="T328" s="5">
        <f>SUMIFS(EIAwtransport!$J$2:$J$675,EIAwtransport!$E$2:$E$675,Program_data!$E328,EIAwtransport!$I$2:$I$675,Program_data!T$2)</f>
        <v>184892</v>
      </c>
      <c r="U328" s="24">
        <f t="shared" si="133"/>
        <v>0</v>
      </c>
      <c r="V328" s="24">
        <f t="shared" si="126"/>
        <v>0</v>
      </c>
      <c r="W328" s="24">
        <f t="shared" si="134"/>
        <v>2.2170879331574658E-4</v>
      </c>
      <c r="X328" s="25">
        <f t="shared" si="135"/>
        <v>2.287651484218803E-4</v>
      </c>
      <c r="Y328" s="8" t="str">
        <f t="shared" si="137"/>
        <v/>
      </c>
      <c r="Z328" s="27">
        <f t="shared" si="138"/>
        <v>5.8206007007239144E-2</v>
      </c>
      <c r="AA328" s="27"/>
      <c r="AB328" s="27"/>
      <c r="AC328" s="56">
        <f t="shared" si="136"/>
        <v>0</v>
      </c>
      <c r="AD328" s="20">
        <f t="shared" si="131"/>
        <v>116494.20000000001</v>
      </c>
      <c r="AE328" s="20">
        <f t="shared" si="121"/>
        <v>0</v>
      </c>
      <c r="AF328" s="20">
        <f t="shared" si="122"/>
        <v>525437887.50000006</v>
      </c>
      <c r="AG328">
        <f t="shared" si="123"/>
        <v>0</v>
      </c>
      <c r="AH328">
        <f t="shared" si="124"/>
        <v>0</v>
      </c>
      <c r="AI328">
        <f t="shared" si="125"/>
        <v>3840528909.6000004</v>
      </c>
    </row>
    <row r="329" spans="2:35" x14ac:dyDescent="0.25">
      <c r="B329" s="4">
        <v>2024</v>
      </c>
      <c r="C329" s="4" t="s">
        <v>17</v>
      </c>
      <c r="D329" s="15" t="s">
        <v>307</v>
      </c>
      <c r="E329" s="4" t="str">
        <f t="shared" si="127"/>
        <v>CNG-CT</v>
      </c>
      <c r="F329" s="4" t="s">
        <v>306</v>
      </c>
      <c r="G329" s="4"/>
      <c r="H329" s="4" t="s">
        <v>304</v>
      </c>
      <c r="I329" s="4" t="s">
        <v>167</v>
      </c>
      <c r="J329" s="4" t="s">
        <v>155</v>
      </c>
      <c r="K329" s="5"/>
      <c r="L329" s="49"/>
      <c r="M329" s="8">
        <v>20000</v>
      </c>
      <c r="N329" s="8"/>
      <c r="O329" s="8">
        <f>SUMIFS(EIAwtransport!$J$2:$J$675,EIAwtransport!$E$2:$E$675,Program_data!$E329,EIAwtransport!$H$2:$H$675,Program_data!$F329,EIAwtransport!$I$2:$I$675,Program_data!O$2)</f>
        <v>0</v>
      </c>
      <c r="P329" s="5">
        <f>SUMIFS(EIAwtransport!$J$2:$J$675,EIAwtransport!$E$2:$E$675,Program_data!$E329,EIAwtransport!$H$2:$H$675,Program_data!$F329,EIAwtransport!$I$2:$I$675,Program_data!P$2)</f>
        <v>0</v>
      </c>
      <c r="Q329" s="5">
        <f>SUMIFS(EIAwtransport!$J$2:$J$675,EIAwtransport!$E$2:$E$675,Program_data!$E329,EIAwtransport!$H$2:$H$675,Program_data!$F329,EIAwtransport!$I$2:$I$675,Program_data!Q$2)</f>
        <v>0</v>
      </c>
      <c r="R329" s="8">
        <f>SUMIFS(EIAwtransport!$J$2:$J$675,EIAwtransport!$E$2:$E$675,Program_data!$E329,EIAwtransport!$I$2:$I$675,Program_data!R$2)</f>
        <v>389213250</v>
      </c>
      <c r="S329" s="5">
        <f>SUMIFS(EIAwtransport!$J$2:$J$675,EIAwtransport!$E$2:$E$675,Program_data!$E329,EIAwtransport!$I$2:$I$675,Program_data!S$2)</f>
        <v>36410020</v>
      </c>
      <c r="T329" s="5">
        <f>SUMIFS(EIAwtransport!$J$2:$J$675,EIAwtransport!$E$2:$E$675,Program_data!$E329,EIAwtransport!$I$2:$I$675,Program_data!T$2)</f>
        <v>184892</v>
      </c>
      <c r="U329" s="24">
        <f t="shared" si="133"/>
        <v>0</v>
      </c>
      <c r="V329" s="24">
        <f t="shared" si="126"/>
        <v>0</v>
      </c>
      <c r="W329" s="24">
        <f t="shared" si="134"/>
        <v>5.1385712074293461E-5</v>
      </c>
      <c r="X329" s="25">
        <f t="shared" si="135"/>
        <v>5.3021171932944023E-5</v>
      </c>
      <c r="Y329" s="8" t="str">
        <f t="shared" si="137"/>
        <v/>
      </c>
      <c r="Z329" s="27">
        <f t="shared" si="138"/>
        <v>1.3490475827942137E-2</v>
      </c>
      <c r="AA329" s="27"/>
      <c r="AB329" s="27"/>
      <c r="AC329" s="56">
        <f t="shared" si="136"/>
        <v>0</v>
      </c>
      <c r="AD329" s="20">
        <f t="shared" si="131"/>
        <v>27000</v>
      </c>
      <c r="AE329" s="20">
        <f t="shared" si="121"/>
        <v>0</v>
      </c>
      <c r="AF329" s="20">
        <f t="shared" si="122"/>
        <v>525437887.50000006</v>
      </c>
      <c r="AG329">
        <f t="shared" si="123"/>
        <v>0</v>
      </c>
      <c r="AH329">
        <f t="shared" si="124"/>
        <v>0</v>
      </c>
      <c r="AI329">
        <f t="shared" si="125"/>
        <v>3840528909.6000004</v>
      </c>
    </row>
    <row r="330" spans="2:35" x14ac:dyDescent="0.25">
      <c r="B330" s="4">
        <v>2024</v>
      </c>
      <c r="C330" s="4" t="s">
        <v>17</v>
      </c>
      <c r="D330" s="15" t="s">
        <v>307</v>
      </c>
      <c r="E330" s="4" t="str">
        <f t="shared" si="127"/>
        <v>CNG-CT</v>
      </c>
      <c r="F330" s="4" t="s">
        <v>306</v>
      </c>
      <c r="G330" s="4"/>
      <c r="H330" s="4" t="s">
        <v>305</v>
      </c>
      <c r="I330" s="4" t="s">
        <v>167</v>
      </c>
      <c r="J330" s="4" t="s">
        <v>155</v>
      </c>
      <c r="K330" s="5"/>
      <c r="L330" s="49"/>
      <c r="M330" s="8">
        <v>50000</v>
      </c>
      <c r="N330" s="8"/>
      <c r="O330" s="8">
        <f>SUMIFS(EIAwtransport!$J$2:$J$675,EIAwtransport!$E$2:$E$675,Program_data!$E330,EIAwtransport!$H$2:$H$675,Program_data!$F330,EIAwtransport!$I$2:$I$675,Program_data!O$2)</f>
        <v>0</v>
      </c>
      <c r="P330" s="5">
        <f>SUMIFS(EIAwtransport!$J$2:$J$675,EIAwtransport!$E$2:$E$675,Program_data!$E330,EIAwtransport!$H$2:$H$675,Program_data!$F330,EIAwtransport!$I$2:$I$675,Program_data!P$2)</f>
        <v>0</v>
      </c>
      <c r="Q330" s="5">
        <f>SUMIFS(EIAwtransport!$J$2:$J$675,EIAwtransport!$E$2:$E$675,Program_data!$E330,EIAwtransport!$H$2:$H$675,Program_data!$F330,EIAwtransport!$I$2:$I$675,Program_data!Q$2)</f>
        <v>0</v>
      </c>
      <c r="R330" s="8">
        <f>SUMIFS(EIAwtransport!$J$2:$J$675,EIAwtransport!$E$2:$E$675,Program_data!$E330,EIAwtransport!$I$2:$I$675,Program_data!R$2)</f>
        <v>389213250</v>
      </c>
      <c r="S330" s="5">
        <f>SUMIFS(EIAwtransport!$J$2:$J$675,EIAwtransport!$E$2:$E$675,Program_data!$E330,EIAwtransport!$I$2:$I$675,Program_data!S$2)</f>
        <v>36410020</v>
      </c>
      <c r="T330" s="5">
        <f>SUMIFS(EIAwtransport!$J$2:$J$675,EIAwtransport!$E$2:$E$675,Program_data!$E330,EIAwtransport!$I$2:$I$675,Program_data!T$2)</f>
        <v>184892</v>
      </c>
      <c r="U330" s="24">
        <f t="shared" si="133"/>
        <v>0</v>
      </c>
      <c r="V330" s="24">
        <f t="shared" si="126"/>
        <v>0</v>
      </c>
      <c r="W330" s="24">
        <f t="shared" si="134"/>
        <v>1.2846428018573365E-4</v>
      </c>
      <c r="X330" s="25">
        <f t="shared" si="135"/>
        <v>1.3255292983236006E-4</v>
      </c>
      <c r="Y330" s="8" t="str">
        <f t="shared" si="137"/>
        <v/>
      </c>
      <c r="Z330" s="27">
        <f t="shared" si="138"/>
        <v>3.372618956985534E-2</v>
      </c>
      <c r="AA330" s="27"/>
      <c r="AB330" s="27"/>
      <c r="AC330" s="56">
        <f t="shared" si="136"/>
        <v>0</v>
      </c>
      <c r="AD330" s="20">
        <f t="shared" si="131"/>
        <v>67500</v>
      </c>
      <c r="AE330" s="20">
        <f t="shared" si="121"/>
        <v>0</v>
      </c>
      <c r="AF330" s="20">
        <f t="shared" si="122"/>
        <v>525437887.50000006</v>
      </c>
      <c r="AG330">
        <f t="shared" si="123"/>
        <v>0</v>
      </c>
      <c r="AH330">
        <f t="shared" si="124"/>
        <v>0</v>
      </c>
      <c r="AI330">
        <f t="shared" si="125"/>
        <v>3840528909.6000004</v>
      </c>
    </row>
    <row r="331" spans="2:35" x14ac:dyDescent="0.25">
      <c r="B331" s="4">
        <v>2024</v>
      </c>
      <c r="C331" s="4" t="s">
        <v>17</v>
      </c>
      <c r="D331" s="15" t="s">
        <v>307</v>
      </c>
      <c r="E331" s="4" t="str">
        <f t="shared" si="127"/>
        <v>CNG-CT</v>
      </c>
      <c r="F331" s="4" t="s">
        <v>306</v>
      </c>
      <c r="G331" s="4"/>
      <c r="H331" s="4" t="s">
        <v>211</v>
      </c>
      <c r="I331" s="4" t="s">
        <v>167</v>
      </c>
      <c r="J331" s="4" t="s">
        <v>155</v>
      </c>
      <c r="K331" s="5"/>
      <c r="L331" s="49"/>
      <c r="M331" s="8">
        <v>1782929</v>
      </c>
      <c r="N331" s="8"/>
      <c r="O331" s="8">
        <f>SUMIFS(EIAwtransport!$J$2:$J$675,EIAwtransport!$E$2:$E$675,Program_data!$E331,EIAwtransport!$H$2:$H$675,Program_data!$F331,EIAwtransport!$I$2:$I$675,Program_data!O$2)</f>
        <v>0</v>
      </c>
      <c r="P331" s="5">
        <f>SUMIFS(EIAwtransport!$J$2:$J$675,EIAwtransport!$E$2:$E$675,Program_data!$E331,EIAwtransport!$H$2:$H$675,Program_data!$F331,EIAwtransport!$I$2:$I$675,Program_data!P$2)</f>
        <v>0</v>
      </c>
      <c r="Q331" s="5">
        <f>SUMIFS(EIAwtransport!$J$2:$J$675,EIAwtransport!$E$2:$E$675,Program_data!$E331,EIAwtransport!$H$2:$H$675,Program_data!$F331,EIAwtransport!$I$2:$I$675,Program_data!Q$2)</f>
        <v>0</v>
      </c>
      <c r="R331" s="8">
        <f>SUMIFS(EIAwtransport!$J$2:$J$675,EIAwtransport!$E$2:$E$675,Program_data!$E331,EIAwtransport!$I$2:$I$675,Program_data!R$2)</f>
        <v>389213250</v>
      </c>
      <c r="S331" s="5">
        <f>SUMIFS(EIAwtransport!$J$2:$J$675,EIAwtransport!$E$2:$E$675,Program_data!$E331,EIAwtransport!$I$2:$I$675,Program_data!S$2)</f>
        <v>36410020</v>
      </c>
      <c r="T331" s="5">
        <f>SUMIFS(EIAwtransport!$J$2:$J$675,EIAwtransport!$E$2:$E$675,Program_data!$E331,EIAwtransport!$I$2:$I$675,Program_data!T$2)</f>
        <v>184892</v>
      </c>
      <c r="U331" s="24">
        <f t="shared" si="133"/>
        <v>0</v>
      </c>
      <c r="V331" s="24">
        <f t="shared" si="126"/>
        <v>0</v>
      </c>
      <c r="W331" s="24">
        <f t="shared" si="134"/>
        <v>4.5808538121453989E-3</v>
      </c>
      <c r="X331" s="25">
        <f t="shared" si="135"/>
        <v>4.7266492526615977E-3</v>
      </c>
      <c r="Y331" s="8" t="str">
        <f t="shared" si="137"/>
        <v/>
      </c>
      <c r="Z331" s="27">
        <f t="shared" si="138"/>
        <v>1.2026280288718523</v>
      </c>
      <c r="AA331" s="27"/>
      <c r="AB331" s="27"/>
      <c r="AC331" s="56">
        <f t="shared" si="136"/>
        <v>0</v>
      </c>
      <c r="AD331" s="20">
        <f t="shared" si="131"/>
        <v>2406954.1500000004</v>
      </c>
      <c r="AE331" s="20">
        <f t="shared" si="121"/>
        <v>0</v>
      </c>
      <c r="AF331" s="20">
        <f t="shared" si="122"/>
        <v>525437887.50000006</v>
      </c>
      <c r="AG331">
        <f t="shared" si="123"/>
        <v>0</v>
      </c>
      <c r="AH331">
        <f t="shared" si="124"/>
        <v>0</v>
      </c>
      <c r="AI331">
        <f t="shared" si="125"/>
        <v>3840528909.6000004</v>
      </c>
    </row>
    <row r="332" spans="2:35" x14ac:dyDescent="0.25">
      <c r="B332" s="4">
        <v>2024</v>
      </c>
      <c r="C332" s="4" t="s">
        <v>17</v>
      </c>
      <c r="D332" s="15" t="s">
        <v>309</v>
      </c>
      <c r="E332" s="4" t="str">
        <f t="shared" si="127"/>
        <v>SoCTGas-CT</v>
      </c>
      <c r="F332" s="4" t="s">
        <v>135</v>
      </c>
      <c r="G332" s="4"/>
      <c r="H332" s="4" t="s">
        <v>265</v>
      </c>
      <c r="I332" s="11"/>
      <c r="J332" s="4" t="s">
        <v>32</v>
      </c>
      <c r="K332" s="5">
        <v>123781.28</v>
      </c>
      <c r="L332" s="5">
        <f>K332/_xlfn.XLOOKUP(C332,'Utility target list'!$K$2:$K$8,'Utility target list'!$L$2:$L$8,1,0,1)</f>
        <v>137534.75555555554</v>
      </c>
      <c r="M332" s="8">
        <v>673793</v>
      </c>
      <c r="N332" s="8">
        <v>452723</v>
      </c>
      <c r="O332" s="8">
        <f>SUMIFS(EIAwtransport!$J$2:$J$675,EIAwtransport!$E$2:$E$675,Program_data!$E332,EIAwtransport!$H$2:$H$675,Program_data!$F332,EIAwtransport!$I$2:$I$675,Program_data!O$2)</f>
        <v>235806297</v>
      </c>
      <c r="P332" s="5">
        <f>SUMIFS(EIAwtransport!$J$2:$J$675,EIAwtransport!$E$2:$E$675,Program_data!$E332,EIAwtransport!$H$2:$H$675,Program_data!$F332,EIAwtransport!$I$2:$I$675,Program_data!P$2)</f>
        <v>16235932</v>
      </c>
      <c r="Q332" s="5">
        <f>SUMIFS(EIAwtransport!$J$2:$J$675,EIAwtransport!$E$2:$E$675,Program_data!$E332,EIAwtransport!$H$2:$H$675,Program_data!$F332,EIAwtransport!$I$2:$I$675,Program_data!Q$2)</f>
        <v>186847</v>
      </c>
      <c r="R332" s="8">
        <f>SUMIFS(EIAwtransport!$J$2:$J$675,EIAwtransport!$E$2:$E$675,Program_data!$E332,EIAwtransport!$I$2:$I$675,Program_data!R$2)</f>
        <v>392823442</v>
      </c>
      <c r="S332" s="5">
        <f>SUMIFS(EIAwtransport!$J$2:$J$675,EIAwtransport!$E$2:$E$675,Program_data!$E332,EIAwtransport!$I$2:$I$675,Program_data!S$2)</f>
        <v>35589016</v>
      </c>
      <c r="T332" s="5">
        <f>SUMIFS(EIAwtransport!$J$2:$J$675,EIAwtransport!$E$2:$E$675,Program_data!$E332,EIAwtransport!$I$2:$I$675,Program_data!T$2)</f>
        <v>206933</v>
      </c>
      <c r="U332" s="24">
        <f t="shared" si="133"/>
        <v>3.3572156083213988E-4</v>
      </c>
      <c r="V332" s="24">
        <f t="shared" si="126"/>
        <v>3.7302395648015544E-4</v>
      </c>
      <c r="W332" s="24">
        <f t="shared" si="134"/>
        <v>1.7152565961172958E-3</v>
      </c>
      <c r="X332" s="25">
        <f t="shared" si="135"/>
        <v>1.8274721156363066E-3</v>
      </c>
      <c r="Y332" s="8">
        <f t="shared" si="137"/>
        <v>1.1352069211235547</v>
      </c>
      <c r="Z332" s="27">
        <f t="shared" si="138"/>
        <v>0.47636124595372592</v>
      </c>
      <c r="AA332" s="27"/>
      <c r="AB332" s="27"/>
      <c r="AC332" s="56">
        <f t="shared" si="136"/>
        <v>8.1748801304057546E-3</v>
      </c>
      <c r="AD332" s="20">
        <f t="shared" si="131"/>
        <v>909620.55</v>
      </c>
      <c r="AE332" s="20">
        <f t="shared" ref="AE332:AE408" si="139">N332*1.35</f>
        <v>611176.05000000005</v>
      </c>
      <c r="AF332" s="20">
        <f t="shared" ref="AF332:AF408" si="140">R332*1.35</f>
        <v>530311646.70000005</v>
      </c>
      <c r="AG332">
        <f t="shared" ref="AG332:AG408" si="141">K332*105.48</f>
        <v>13056449.4144</v>
      </c>
      <c r="AH332">
        <f t="shared" ref="AH332:AH408" si="142">L332*105.48</f>
        <v>14507166.015999999</v>
      </c>
      <c r="AI332">
        <f t="shared" ref="AI332:AI408" si="143">S332*105.48</f>
        <v>3753929407.6800003</v>
      </c>
    </row>
    <row r="333" spans="2:35" x14ac:dyDescent="0.25">
      <c r="B333" s="4">
        <v>2024</v>
      </c>
      <c r="C333" s="4" t="s">
        <v>17</v>
      </c>
      <c r="D333" s="15" t="s">
        <v>309</v>
      </c>
      <c r="E333" s="4" t="str">
        <f t="shared" si="127"/>
        <v>SoCTGas-CT</v>
      </c>
      <c r="F333" s="4" t="s">
        <v>135</v>
      </c>
      <c r="G333" s="4"/>
      <c r="H333" s="4" t="s">
        <v>277</v>
      </c>
      <c r="I333" s="11"/>
      <c r="J333" s="4" t="s">
        <v>21</v>
      </c>
      <c r="K333" s="5">
        <v>178186.82</v>
      </c>
      <c r="L333" s="5">
        <f>K333/_xlfn.XLOOKUP(C333,'Utility target list'!$K$2:$K$8,'Utility target list'!$L$2:$L$8,1,0,1)</f>
        <v>197985.35555555555</v>
      </c>
      <c r="M333" s="8">
        <v>2545775</v>
      </c>
      <c r="N333" s="8">
        <v>2315815</v>
      </c>
      <c r="O333" s="8">
        <f>SUMIFS(EIAwtransport!$J$2:$J$675,EIAwtransport!$E$2:$E$675,Program_data!$E333,EIAwtransport!$H$2:$H$675,Program_data!$F333,EIAwtransport!$I$2:$I$675,Program_data!O$2)</f>
        <v>235806297</v>
      </c>
      <c r="P333" s="5">
        <f>SUMIFS(EIAwtransport!$J$2:$J$675,EIAwtransport!$E$2:$E$675,Program_data!$E333,EIAwtransport!$H$2:$H$675,Program_data!$F333,EIAwtransport!$I$2:$I$675,Program_data!P$2)</f>
        <v>16235932</v>
      </c>
      <c r="Q333" s="5">
        <f>SUMIFS(EIAwtransport!$J$2:$J$675,EIAwtransport!$E$2:$E$675,Program_data!$E333,EIAwtransport!$H$2:$H$675,Program_data!$F333,EIAwtransport!$I$2:$I$675,Program_data!Q$2)</f>
        <v>186847</v>
      </c>
      <c r="R333" s="8">
        <f>SUMIFS(EIAwtransport!$J$2:$J$675,EIAwtransport!$E$2:$E$675,Program_data!$E333,EIAwtransport!$I$2:$I$675,Program_data!R$2)</f>
        <v>392823442</v>
      </c>
      <c r="S333" s="5">
        <f>SUMIFS(EIAwtransport!$J$2:$J$675,EIAwtransport!$E$2:$E$675,Program_data!$E333,EIAwtransport!$I$2:$I$675,Program_data!S$2)</f>
        <v>35589016</v>
      </c>
      <c r="T333" s="5">
        <f>SUMIFS(EIAwtransport!$J$2:$J$675,EIAwtransport!$E$2:$E$675,Program_data!$E333,EIAwtransport!$I$2:$I$675,Program_data!T$2)</f>
        <v>206933</v>
      </c>
      <c r="U333" s="24">
        <f t="shared" si="133"/>
        <v>4.8328113370709662E-4</v>
      </c>
      <c r="V333" s="24">
        <f t="shared" si="126"/>
        <v>5.3697903745232958E-4</v>
      </c>
      <c r="W333" s="24">
        <f t="shared" si="134"/>
        <v>6.4807104867229386E-3</v>
      </c>
      <c r="X333" s="25">
        <f t="shared" si="135"/>
        <v>6.9046915375850131E-3</v>
      </c>
      <c r="Y333" s="8">
        <f t="shared" si="137"/>
        <v>4.2891235136359649</v>
      </c>
      <c r="Z333" s="27">
        <f t="shared" si="138"/>
        <v>1.7998236118776043</v>
      </c>
      <c r="AA333" s="27"/>
      <c r="AB333" s="27"/>
      <c r="AC333" s="56">
        <f t="shared" si="136"/>
        <v>1.1767982156253246E-2</v>
      </c>
      <c r="AD333" s="20">
        <f t="shared" si="131"/>
        <v>3436796.25</v>
      </c>
      <c r="AE333" s="20">
        <f t="shared" si="139"/>
        <v>3126350.25</v>
      </c>
      <c r="AF333" s="20">
        <f t="shared" si="140"/>
        <v>530311646.70000005</v>
      </c>
      <c r="AG333">
        <f t="shared" si="141"/>
        <v>18795145.773600001</v>
      </c>
      <c r="AH333">
        <f t="shared" si="142"/>
        <v>20883495.304000001</v>
      </c>
      <c r="AI333">
        <f t="shared" si="143"/>
        <v>3753929407.6800003</v>
      </c>
    </row>
    <row r="334" spans="2:35" x14ac:dyDescent="0.25">
      <c r="B334" s="4">
        <v>2024</v>
      </c>
      <c r="C334" s="4" t="s">
        <v>17</v>
      </c>
      <c r="D334" s="15" t="s">
        <v>309</v>
      </c>
      <c r="E334" s="4" t="str">
        <f t="shared" si="127"/>
        <v>SoCTGas-CT</v>
      </c>
      <c r="F334" s="4" t="s">
        <v>135</v>
      </c>
      <c r="G334" s="4"/>
      <c r="H334" s="4" t="s">
        <v>202</v>
      </c>
      <c r="I334" s="11"/>
      <c r="J334" s="4" t="s">
        <v>21</v>
      </c>
      <c r="K334" s="5">
        <v>164882.508</v>
      </c>
      <c r="L334" s="5">
        <f>K334/_xlfn.XLOOKUP(C334,'Utility target list'!$K$2:$K$8,'Utility target list'!$L$2:$L$8,1,0,1)</f>
        <v>183202.78666666665</v>
      </c>
      <c r="M334" s="8">
        <v>1823107</v>
      </c>
      <c r="N334" s="8">
        <v>1294129</v>
      </c>
      <c r="O334" s="8">
        <f>SUMIFS(EIAwtransport!$J$2:$J$675,EIAwtransport!$E$2:$E$675,Program_data!$E334,EIAwtransport!$H$2:$H$675,Program_data!$F334,EIAwtransport!$I$2:$I$675,Program_data!O$2)</f>
        <v>235806297</v>
      </c>
      <c r="P334" s="5">
        <f>SUMIFS(EIAwtransport!$J$2:$J$675,EIAwtransport!$E$2:$E$675,Program_data!$E334,EIAwtransport!$H$2:$H$675,Program_data!$F334,EIAwtransport!$I$2:$I$675,Program_data!P$2)</f>
        <v>16235932</v>
      </c>
      <c r="Q334" s="5">
        <f>SUMIFS(EIAwtransport!$J$2:$J$675,EIAwtransport!$E$2:$E$675,Program_data!$E334,EIAwtransport!$H$2:$H$675,Program_data!$F334,EIAwtransport!$I$2:$I$675,Program_data!Q$2)</f>
        <v>186847</v>
      </c>
      <c r="R334" s="8">
        <f>SUMIFS(EIAwtransport!$J$2:$J$675,EIAwtransport!$E$2:$E$675,Program_data!$E334,EIAwtransport!$I$2:$I$675,Program_data!R$2)</f>
        <v>392823442</v>
      </c>
      <c r="S334" s="5">
        <f>SUMIFS(EIAwtransport!$J$2:$J$675,EIAwtransport!$E$2:$E$675,Program_data!$E334,EIAwtransport!$I$2:$I$675,Program_data!S$2)</f>
        <v>35589016</v>
      </c>
      <c r="T334" s="5">
        <f>SUMIFS(EIAwtransport!$J$2:$J$675,EIAwtransport!$E$2:$E$675,Program_data!$E334,EIAwtransport!$I$2:$I$675,Program_data!T$2)</f>
        <v>206933</v>
      </c>
      <c r="U334" s="24">
        <f t="shared" si="133"/>
        <v>4.4719696661464316E-4</v>
      </c>
      <c r="V334" s="24">
        <f t="shared" si="126"/>
        <v>4.9688551846071465E-4</v>
      </c>
      <c r="W334" s="24">
        <f t="shared" si="134"/>
        <v>4.6410341264715056E-3</v>
      </c>
      <c r="X334" s="25">
        <f t="shared" si="135"/>
        <v>4.9446598678249253E-3</v>
      </c>
      <c r="Y334" s="8">
        <f t="shared" si="137"/>
        <v>3.0715719580773331</v>
      </c>
      <c r="Z334" s="27">
        <f t="shared" si="138"/>
        <v>1.2889084956759114</v>
      </c>
      <c r="AA334" s="27"/>
      <c r="AB334" s="27"/>
      <c r="AC334" s="56">
        <f t="shared" si="136"/>
        <v>1.0889326225263368E-2</v>
      </c>
      <c r="AD334" s="20">
        <f t="shared" si="131"/>
        <v>2461194.4500000002</v>
      </c>
      <c r="AE334" s="20">
        <f t="shared" si="139"/>
        <v>1747074.1500000001</v>
      </c>
      <c r="AF334" s="20">
        <f t="shared" si="140"/>
        <v>530311646.70000005</v>
      </c>
      <c r="AG334">
        <f t="shared" si="141"/>
        <v>17391806.943840001</v>
      </c>
      <c r="AH334">
        <f t="shared" si="142"/>
        <v>19324229.937599998</v>
      </c>
      <c r="AI334">
        <f t="shared" si="143"/>
        <v>3753929407.6800003</v>
      </c>
    </row>
    <row r="335" spans="2:35" x14ac:dyDescent="0.25">
      <c r="B335" s="4">
        <v>2024</v>
      </c>
      <c r="C335" s="4" t="s">
        <v>17</v>
      </c>
      <c r="D335" s="15" t="s">
        <v>309</v>
      </c>
      <c r="E335" s="4" t="str">
        <f t="shared" si="127"/>
        <v>SoCTGas-CT</v>
      </c>
      <c r="F335" s="4" t="s">
        <v>143</v>
      </c>
      <c r="G335" s="4">
        <v>1</v>
      </c>
      <c r="H335" s="4" t="s">
        <v>293</v>
      </c>
      <c r="I335" s="11"/>
      <c r="J335" s="4" t="s">
        <v>27</v>
      </c>
      <c r="K335" s="5">
        <v>194551.476</v>
      </c>
      <c r="L335" s="5">
        <f>K335/_xlfn.XLOOKUP(C335,'Utility target list'!$K$2:$K$8,'Utility target list'!$L$2:$L$8,1,0,1)</f>
        <v>216168.30666666664</v>
      </c>
      <c r="M335" s="8">
        <v>3506727</v>
      </c>
      <c r="N335" s="8">
        <v>3913423</v>
      </c>
      <c r="O335" s="8">
        <f>SUMIFS(EIAwtransport!$J$2:$J$675,EIAwtransport!$E$2:$E$675,Program_data!$E335,EIAwtransport!$H$2:$H$675,Program_data!$F335,EIAwtransport!$I$2:$I$675,Program_data!O$2)</f>
        <v>0</v>
      </c>
      <c r="P335" s="5">
        <f>SUMIFS(EIAwtransport!$J$2:$J$675,EIAwtransport!$E$2:$E$675,Program_data!$E335,EIAwtransport!$H$2:$H$675,Program_data!$F335,EIAwtransport!$I$2:$I$675,Program_data!P$2)</f>
        <v>0</v>
      </c>
      <c r="Q335" s="5">
        <f>SUMIFS(EIAwtransport!$J$2:$J$675,EIAwtransport!$E$2:$E$675,Program_data!$E335,EIAwtransport!$H$2:$H$675,Program_data!$F335,EIAwtransport!$I$2:$I$675,Program_data!Q$2)</f>
        <v>0</v>
      </c>
      <c r="R335" s="8">
        <f>SUMIFS(EIAwtransport!$J$2:$J$675,EIAwtransport!$E$2:$E$675,Program_data!$E335,EIAwtransport!$I$2:$I$675,Program_data!R$2)</f>
        <v>392823442</v>
      </c>
      <c r="S335" s="5">
        <f>SUMIFS(EIAwtransport!$J$2:$J$675,EIAwtransport!$E$2:$E$675,Program_data!$E335,EIAwtransport!$I$2:$I$675,Program_data!S$2)</f>
        <v>35589016</v>
      </c>
      <c r="T335" s="5">
        <f>SUMIFS(EIAwtransport!$J$2:$J$675,EIAwtransport!$E$2:$E$675,Program_data!$E335,EIAwtransport!$I$2:$I$675,Program_data!T$2)</f>
        <v>206933</v>
      </c>
      <c r="U335" s="24">
        <f t="shared" si="133"/>
        <v>5.2766561458175753E-4</v>
      </c>
      <c r="V335" s="24">
        <f t="shared" ref="V335:V350" si="144">IFERROR(L335/10.36/S335,"")</f>
        <v>5.8629512731306376E-4</v>
      </c>
      <c r="W335" s="24">
        <f t="shared" si="134"/>
        <v>8.9269799738682602E-3</v>
      </c>
      <c r="X335" s="25">
        <f t="shared" si="135"/>
        <v>9.511000870666449E-3</v>
      </c>
      <c r="Y335" s="8">
        <f t="shared" si="137"/>
        <v>18.024674354051161</v>
      </c>
      <c r="Z335" s="27">
        <f t="shared" si="138"/>
        <v>2.4792018363793797</v>
      </c>
      <c r="AA335" s="27"/>
      <c r="AB335" s="27"/>
      <c r="AC335" s="56">
        <f t="shared" si="136"/>
        <v>1.2848752214337355E-2</v>
      </c>
      <c r="AD335" s="20">
        <f t="shared" si="131"/>
        <v>4734081.45</v>
      </c>
      <c r="AE335" s="20">
        <f t="shared" si="139"/>
        <v>5283121.0500000007</v>
      </c>
      <c r="AF335" s="20">
        <f t="shared" si="140"/>
        <v>530311646.70000005</v>
      </c>
      <c r="AG335">
        <f t="shared" si="141"/>
        <v>20521289.688480001</v>
      </c>
      <c r="AH335">
        <f t="shared" si="142"/>
        <v>22801432.987199999</v>
      </c>
      <c r="AI335">
        <f t="shared" si="143"/>
        <v>3753929407.6800003</v>
      </c>
    </row>
    <row r="336" spans="2:35" x14ac:dyDescent="0.25">
      <c r="B336" s="4">
        <v>2024</v>
      </c>
      <c r="C336" s="4" t="s">
        <v>17</v>
      </c>
      <c r="D336" s="15" t="s">
        <v>309</v>
      </c>
      <c r="E336" s="4" t="str">
        <f t="shared" si="127"/>
        <v>SoCTGas-CT</v>
      </c>
      <c r="F336" s="4" t="s">
        <v>135</v>
      </c>
      <c r="G336" s="4"/>
      <c r="H336" s="4" t="s">
        <v>294</v>
      </c>
      <c r="I336" s="11"/>
      <c r="J336" s="4" t="s">
        <v>157</v>
      </c>
      <c r="K336" s="5">
        <v>126691.40400000001</v>
      </c>
      <c r="L336" s="5">
        <f>K336/_xlfn.XLOOKUP(C336,'Utility target list'!$K$2:$K$8,'Utility target list'!$L$2:$L$8,1,0,1)</f>
        <v>140768.22666666668</v>
      </c>
      <c r="M336" s="8">
        <v>153821</v>
      </c>
      <c r="N336" s="8"/>
      <c r="O336" s="8">
        <f>SUMIFS(EIAwtransport!$J$2:$J$675,EIAwtransport!$E$2:$E$675,Program_data!$E336,EIAwtransport!$H$2:$H$675,Program_data!$F336,EIAwtransport!$I$2:$I$675,Program_data!O$2)</f>
        <v>235806297</v>
      </c>
      <c r="P336" s="5">
        <f>SUMIFS(EIAwtransport!$J$2:$J$675,EIAwtransport!$E$2:$E$675,Program_data!$E336,EIAwtransport!$H$2:$H$675,Program_data!$F336,EIAwtransport!$I$2:$I$675,Program_data!P$2)</f>
        <v>16235932</v>
      </c>
      <c r="Q336" s="5">
        <f>SUMIFS(EIAwtransport!$J$2:$J$675,EIAwtransport!$E$2:$E$675,Program_data!$E336,EIAwtransport!$H$2:$H$675,Program_data!$F336,EIAwtransport!$I$2:$I$675,Program_data!Q$2)</f>
        <v>186847</v>
      </c>
      <c r="R336" s="8">
        <f>SUMIFS(EIAwtransport!$J$2:$J$675,EIAwtransport!$E$2:$E$675,Program_data!$E336,EIAwtransport!$I$2:$I$675,Program_data!R$2)</f>
        <v>392823442</v>
      </c>
      <c r="S336" s="5">
        <f>SUMIFS(EIAwtransport!$J$2:$J$675,EIAwtransport!$E$2:$E$675,Program_data!$E336,EIAwtransport!$I$2:$I$675,Program_data!S$2)</f>
        <v>35589016</v>
      </c>
      <c r="T336" s="5">
        <f>SUMIFS(EIAwtransport!$J$2:$J$675,EIAwtransport!$E$2:$E$675,Program_data!$E336,EIAwtransport!$I$2:$I$675,Program_data!T$2)</f>
        <v>206933</v>
      </c>
      <c r="U336" s="24">
        <f t="shared" si="133"/>
        <v>3.4361444553566756E-4</v>
      </c>
      <c r="V336" s="24">
        <f t="shared" si="144"/>
        <v>3.8179382837296398E-4</v>
      </c>
      <c r="W336" s="24">
        <f t="shared" si="134"/>
        <v>3.9157795475963474E-4</v>
      </c>
      <c r="X336" s="25">
        <f t="shared" si="135"/>
        <v>4.1719576828386804E-4</v>
      </c>
      <c r="Y336" s="8">
        <f t="shared" si="137"/>
        <v>0.25915772917520119</v>
      </c>
      <c r="Z336" s="27">
        <f t="shared" si="138"/>
        <v>0.1087490716196934</v>
      </c>
      <c r="AA336" s="27"/>
      <c r="AB336" s="27"/>
      <c r="AC336" s="56">
        <f t="shared" si="136"/>
        <v>8.3670732864679406E-3</v>
      </c>
      <c r="AD336" s="20">
        <f t="shared" si="131"/>
        <v>207658.35</v>
      </c>
      <c r="AE336" s="20">
        <f t="shared" si="139"/>
        <v>0</v>
      </c>
      <c r="AF336" s="20">
        <f t="shared" si="140"/>
        <v>530311646.70000005</v>
      </c>
      <c r="AG336">
        <f t="shared" si="141"/>
        <v>13363409.293920001</v>
      </c>
      <c r="AH336">
        <f t="shared" si="142"/>
        <v>14848232.548800003</v>
      </c>
      <c r="AI336">
        <f t="shared" si="143"/>
        <v>3753929407.6800003</v>
      </c>
    </row>
    <row r="337" spans="2:35" x14ac:dyDescent="0.25">
      <c r="B337" s="4">
        <v>2024</v>
      </c>
      <c r="C337" s="4" t="s">
        <v>17</v>
      </c>
      <c r="D337" s="15" t="s">
        <v>309</v>
      </c>
      <c r="E337" s="4" t="str">
        <f t="shared" si="127"/>
        <v>SoCTGas-CT</v>
      </c>
      <c r="F337" s="4" t="s">
        <v>146</v>
      </c>
      <c r="G337" s="4"/>
      <c r="H337" s="4" t="s">
        <v>295</v>
      </c>
      <c r="I337" s="11"/>
      <c r="J337" s="4" t="s">
        <v>21</v>
      </c>
      <c r="K337" s="5">
        <v>179116.11199999999</v>
      </c>
      <c r="L337" s="5">
        <f>K337/_xlfn.XLOOKUP(C337,'Utility target list'!$K$2:$K$8,'Utility target list'!$L$2:$L$8,1,0,1)</f>
        <v>199017.90222222221</v>
      </c>
      <c r="M337" s="8">
        <v>1647316</v>
      </c>
      <c r="N337" s="8">
        <v>1589213</v>
      </c>
      <c r="O337" s="8">
        <f>SUMIFS(EIAwtransport!$J$2:$J$675,EIAwtransport!$E$2:$E$675,Program_data!$E337,EIAwtransport!$H$2:$H$675,Program_data!$F337,EIAwtransport!$I$2:$I$675,Program_data!O$2)</f>
        <v>157017145</v>
      </c>
      <c r="P337" s="5">
        <f>SUMIFS(EIAwtransport!$J$2:$J$675,EIAwtransport!$E$2:$E$675,Program_data!$E337,EIAwtransport!$H$2:$H$675,Program_data!$F337,EIAwtransport!$I$2:$I$675,Program_data!P$2)</f>
        <v>19353084</v>
      </c>
      <c r="Q337" s="5">
        <f>SUMIFS(EIAwtransport!$J$2:$J$675,EIAwtransport!$E$2:$E$675,Program_data!$E337,EIAwtransport!$H$2:$H$675,Program_data!$F337,EIAwtransport!$I$2:$I$675,Program_data!Q$2)</f>
        <v>20086</v>
      </c>
      <c r="R337" s="8">
        <f>SUMIFS(EIAwtransport!$J$2:$J$675,EIAwtransport!$E$2:$E$675,Program_data!$E337,EIAwtransport!$I$2:$I$675,Program_data!R$2)</f>
        <v>392823442</v>
      </c>
      <c r="S337" s="5">
        <f>SUMIFS(EIAwtransport!$J$2:$J$675,EIAwtransport!$E$2:$E$675,Program_data!$E337,EIAwtransport!$I$2:$I$675,Program_data!S$2)</f>
        <v>35589016</v>
      </c>
      <c r="T337" s="5">
        <f>SUMIFS(EIAwtransport!$J$2:$J$675,EIAwtransport!$E$2:$E$675,Program_data!$E337,EIAwtransport!$I$2:$I$675,Program_data!T$2)</f>
        <v>206933</v>
      </c>
      <c r="U337" s="24">
        <f t="shared" si="133"/>
        <v>4.8580157428348118E-4</v>
      </c>
      <c r="V337" s="24">
        <f t="shared" si="144"/>
        <v>5.3977952698164571E-4</v>
      </c>
      <c r="W337" s="24">
        <f t="shared" si="134"/>
        <v>4.1935277375834412E-3</v>
      </c>
      <c r="X337" s="25">
        <f t="shared" si="135"/>
        <v>4.4678767153139591E-3</v>
      </c>
      <c r="Y337" s="8">
        <f t="shared" si="137"/>
        <v>2.6299635941729296</v>
      </c>
      <c r="Z337" s="27">
        <f t="shared" si="138"/>
        <v>1.1646269733278736</v>
      </c>
      <c r="AA337" s="27"/>
      <c r="AB337" s="27"/>
      <c r="AC337" s="56">
        <f t="shared" si="136"/>
        <v>1.1829355335672177E-2</v>
      </c>
      <c r="AD337" s="20">
        <f t="shared" si="131"/>
        <v>2223876.6</v>
      </c>
      <c r="AE337" s="20">
        <f t="shared" si="139"/>
        <v>2145437.5500000003</v>
      </c>
      <c r="AF337" s="20">
        <f t="shared" si="140"/>
        <v>530311646.70000005</v>
      </c>
      <c r="AG337">
        <f t="shared" si="141"/>
        <v>18893167.493760001</v>
      </c>
      <c r="AH337">
        <f t="shared" si="142"/>
        <v>20992408.326400001</v>
      </c>
      <c r="AI337">
        <f t="shared" si="143"/>
        <v>3753929407.6800003</v>
      </c>
    </row>
    <row r="338" spans="2:35" x14ac:dyDescent="0.25">
      <c r="B338" s="4">
        <v>2024</v>
      </c>
      <c r="C338" s="4" t="s">
        <v>17</v>
      </c>
      <c r="D338" s="15" t="s">
        <v>309</v>
      </c>
      <c r="E338" s="4" t="str">
        <f t="shared" si="127"/>
        <v>SoCTGas-CT</v>
      </c>
      <c r="F338" s="4" t="s">
        <v>146</v>
      </c>
      <c r="G338" s="4"/>
      <c r="H338" s="4" t="s">
        <v>296</v>
      </c>
      <c r="I338" s="11"/>
      <c r="J338" s="4" t="s">
        <v>21</v>
      </c>
      <c r="K338" s="5">
        <v>204888.68400000001</v>
      </c>
      <c r="L338" s="5">
        <f>K338/_xlfn.XLOOKUP(C338,'Utility target list'!$K$2:$K$8,'Utility target list'!$L$2:$L$8,1,0,1)</f>
        <v>227654.09333333332</v>
      </c>
      <c r="M338" s="8">
        <v>1086025</v>
      </c>
      <c r="N338" s="8">
        <v>841092</v>
      </c>
      <c r="O338" s="8">
        <f>SUMIFS(EIAwtransport!$J$2:$J$675,EIAwtransport!$E$2:$E$675,Program_data!$E338,EIAwtransport!$H$2:$H$675,Program_data!$F338,EIAwtransport!$I$2:$I$675,Program_data!O$2)</f>
        <v>157017145</v>
      </c>
      <c r="P338" s="5">
        <f>SUMIFS(EIAwtransport!$J$2:$J$675,EIAwtransport!$E$2:$E$675,Program_data!$E338,EIAwtransport!$H$2:$H$675,Program_data!$F338,EIAwtransport!$I$2:$I$675,Program_data!P$2)</f>
        <v>19353084</v>
      </c>
      <c r="Q338" s="5">
        <f>SUMIFS(EIAwtransport!$J$2:$J$675,EIAwtransport!$E$2:$E$675,Program_data!$E338,EIAwtransport!$H$2:$H$675,Program_data!$F338,EIAwtransport!$I$2:$I$675,Program_data!Q$2)</f>
        <v>20086</v>
      </c>
      <c r="R338" s="8">
        <f>SUMIFS(EIAwtransport!$J$2:$J$675,EIAwtransport!$E$2:$E$675,Program_data!$E338,EIAwtransport!$I$2:$I$675,Program_data!R$2)</f>
        <v>392823442</v>
      </c>
      <c r="S338" s="5">
        <f>SUMIFS(EIAwtransport!$J$2:$J$675,EIAwtransport!$E$2:$E$675,Program_data!$E338,EIAwtransport!$I$2:$I$675,Program_data!S$2)</f>
        <v>35589016</v>
      </c>
      <c r="T338" s="5">
        <f>SUMIFS(EIAwtransport!$J$2:$J$675,EIAwtransport!$E$2:$E$675,Program_data!$E338,EIAwtransport!$I$2:$I$675,Program_data!T$2)</f>
        <v>206933</v>
      </c>
      <c r="U338" s="24">
        <f t="shared" si="133"/>
        <v>5.5570235490635651E-4</v>
      </c>
      <c r="V338" s="24">
        <f t="shared" si="144"/>
        <v>6.1744706100706271E-4</v>
      </c>
      <c r="W338" s="24">
        <f t="shared" si="134"/>
        <v>2.7646644367013105E-3</v>
      </c>
      <c r="X338" s="25">
        <f t="shared" si="135"/>
        <v>2.9455343174890803E-3</v>
      </c>
      <c r="Y338" s="8">
        <f t="shared" si="137"/>
        <v>1.7338544713714041</v>
      </c>
      <c r="Z338" s="27">
        <f t="shared" si="138"/>
        <v>0.76780290406236806</v>
      </c>
      <c r="AA338" s="27"/>
      <c r="AB338" s="27"/>
      <c r="AC338" s="56">
        <f t="shared" si="136"/>
        <v>1.353145186232186E-2</v>
      </c>
      <c r="AD338" s="20">
        <f t="shared" si="131"/>
        <v>1466133.75</v>
      </c>
      <c r="AE338" s="20">
        <f t="shared" si="139"/>
        <v>1135474.2000000002</v>
      </c>
      <c r="AF338" s="20">
        <f t="shared" si="140"/>
        <v>530311646.70000005</v>
      </c>
      <c r="AG338">
        <f t="shared" si="141"/>
        <v>21611658.388320003</v>
      </c>
      <c r="AH338">
        <f t="shared" si="142"/>
        <v>24012953.764800001</v>
      </c>
      <c r="AI338">
        <f t="shared" si="143"/>
        <v>3753929407.6800003</v>
      </c>
    </row>
    <row r="339" spans="2:35" x14ac:dyDescent="0.25">
      <c r="B339" s="4">
        <v>2024</v>
      </c>
      <c r="C339" s="4" t="s">
        <v>17</v>
      </c>
      <c r="D339" s="15" t="s">
        <v>309</v>
      </c>
      <c r="E339" s="4" t="str">
        <f t="shared" ref="E339:E376" si="145">D339&amp;"-"&amp;C339</f>
        <v>SoCTGas-CT</v>
      </c>
      <c r="F339" s="4" t="s">
        <v>146</v>
      </c>
      <c r="G339" s="4"/>
      <c r="H339" s="4" t="s">
        <v>297</v>
      </c>
      <c r="I339" s="11"/>
      <c r="J339" s="4" t="s">
        <v>68</v>
      </c>
      <c r="K339" s="5">
        <v>212595.48800000001</v>
      </c>
      <c r="L339" s="5">
        <f>K339/_xlfn.XLOOKUP(C339,'Utility target list'!$K$2:$K$8,'Utility target list'!$L$2:$L$8,1,0,1)</f>
        <v>236217.20888888888</v>
      </c>
      <c r="M339" s="8">
        <v>487917</v>
      </c>
      <c r="N339" s="8">
        <v>430587</v>
      </c>
      <c r="O339" s="8">
        <f>SUMIFS(EIAwtransport!$J$2:$J$675,EIAwtransport!$E$2:$E$675,Program_data!$E339,EIAwtransport!$H$2:$H$675,Program_data!$F339,EIAwtransport!$I$2:$I$675,Program_data!O$2)</f>
        <v>157017145</v>
      </c>
      <c r="P339" s="5">
        <f>SUMIFS(EIAwtransport!$J$2:$J$675,EIAwtransport!$E$2:$E$675,Program_data!$E339,EIAwtransport!$H$2:$H$675,Program_data!$F339,EIAwtransport!$I$2:$I$675,Program_data!P$2)</f>
        <v>19353084</v>
      </c>
      <c r="Q339" s="5">
        <f>SUMIFS(EIAwtransport!$J$2:$J$675,EIAwtransport!$E$2:$E$675,Program_data!$E339,EIAwtransport!$H$2:$H$675,Program_data!$F339,EIAwtransport!$I$2:$I$675,Program_data!Q$2)</f>
        <v>20086</v>
      </c>
      <c r="R339" s="8">
        <f>SUMIFS(EIAwtransport!$J$2:$J$675,EIAwtransport!$E$2:$E$675,Program_data!$E339,EIAwtransport!$I$2:$I$675,Program_data!R$2)</f>
        <v>392823442</v>
      </c>
      <c r="S339" s="5">
        <f>SUMIFS(EIAwtransport!$J$2:$J$675,EIAwtransport!$E$2:$E$675,Program_data!$E339,EIAwtransport!$I$2:$I$675,Program_data!S$2)</f>
        <v>35589016</v>
      </c>
      <c r="T339" s="5">
        <f>SUMIFS(EIAwtransport!$J$2:$J$675,EIAwtransport!$E$2:$E$675,Program_data!$E339,EIAwtransport!$I$2:$I$675,Program_data!T$2)</f>
        <v>206933</v>
      </c>
      <c r="U339" s="24">
        <f t="shared" si="133"/>
        <v>5.7660487157048688E-4</v>
      </c>
      <c r="V339" s="24">
        <f t="shared" si="144"/>
        <v>6.4067207952276317E-4</v>
      </c>
      <c r="W339" s="24">
        <f t="shared" si="134"/>
        <v>1.2420770957961313E-3</v>
      </c>
      <c r="X339" s="25">
        <f t="shared" si="135"/>
        <v>1.3233362653588265E-3</v>
      </c>
      <c r="Y339" s="8">
        <f t="shared" si="137"/>
        <v>0.77896648061335727</v>
      </c>
      <c r="Z339" s="27">
        <f t="shared" si="138"/>
        <v>0.34494978434326878</v>
      </c>
      <c r="AA339" s="27"/>
      <c r="AB339" s="27"/>
      <c r="AC339" s="56">
        <f t="shared" si="136"/>
        <v>1.4040431886510749E-2</v>
      </c>
      <c r="AD339" s="20">
        <f t="shared" si="131"/>
        <v>658687.95000000007</v>
      </c>
      <c r="AE339" s="20">
        <f t="shared" si="139"/>
        <v>581292.45000000007</v>
      </c>
      <c r="AF339" s="20">
        <f t="shared" si="140"/>
        <v>530311646.70000005</v>
      </c>
      <c r="AG339">
        <f t="shared" si="141"/>
        <v>22424572.074240003</v>
      </c>
      <c r="AH339">
        <f t="shared" si="142"/>
        <v>24916191.193599999</v>
      </c>
      <c r="AI339">
        <f t="shared" si="143"/>
        <v>3753929407.6800003</v>
      </c>
    </row>
    <row r="340" spans="2:35" x14ac:dyDescent="0.25">
      <c r="B340" s="4">
        <v>2024</v>
      </c>
      <c r="C340" s="4" t="s">
        <v>17</v>
      </c>
      <c r="D340" s="15" t="s">
        <v>309</v>
      </c>
      <c r="E340" s="4" t="str">
        <f t="shared" si="145"/>
        <v>SoCTGas-CT</v>
      </c>
      <c r="F340" s="4" t="s">
        <v>146</v>
      </c>
      <c r="G340" s="4"/>
      <c r="H340" s="4" t="s">
        <v>75</v>
      </c>
      <c r="I340" s="11"/>
      <c r="J340" s="4" t="s">
        <v>75</v>
      </c>
      <c r="K340" s="5">
        <v>29764.280000000002</v>
      </c>
      <c r="L340" s="5">
        <f>K340/_xlfn.XLOOKUP(C340,'Utility target list'!$K$2:$K$8,'Utility target list'!$L$2:$L$8,1,0,1)</f>
        <v>33071.422222222223</v>
      </c>
      <c r="M340" s="8">
        <v>299602</v>
      </c>
      <c r="N340" s="8">
        <v>251123</v>
      </c>
      <c r="O340" s="8">
        <f>SUMIFS(EIAwtransport!$J$2:$J$675,EIAwtransport!$E$2:$E$675,Program_data!$E340,EIAwtransport!$H$2:$H$675,Program_data!$F340,EIAwtransport!$I$2:$I$675,Program_data!O$2)</f>
        <v>157017145</v>
      </c>
      <c r="P340" s="5">
        <f>SUMIFS(EIAwtransport!$J$2:$J$675,EIAwtransport!$E$2:$E$675,Program_data!$E340,EIAwtransport!$H$2:$H$675,Program_data!$F340,EIAwtransport!$I$2:$I$675,Program_data!P$2)</f>
        <v>19353084</v>
      </c>
      <c r="Q340" s="5">
        <f>SUMIFS(EIAwtransport!$J$2:$J$675,EIAwtransport!$E$2:$E$675,Program_data!$E340,EIAwtransport!$H$2:$H$675,Program_data!$F340,EIAwtransport!$I$2:$I$675,Program_data!Q$2)</f>
        <v>20086</v>
      </c>
      <c r="R340" s="8">
        <f>SUMIFS(EIAwtransport!$J$2:$J$675,EIAwtransport!$E$2:$E$675,Program_data!$E340,EIAwtransport!$I$2:$I$675,Program_data!R$2)</f>
        <v>392823442</v>
      </c>
      <c r="S340" s="5">
        <f>SUMIFS(EIAwtransport!$J$2:$J$675,EIAwtransport!$E$2:$E$675,Program_data!$E340,EIAwtransport!$I$2:$I$675,Program_data!S$2)</f>
        <v>35589016</v>
      </c>
      <c r="T340" s="5">
        <f>SUMIFS(EIAwtransport!$J$2:$J$675,EIAwtransport!$E$2:$E$675,Program_data!$E340,EIAwtransport!$I$2:$I$675,Program_data!T$2)</f>
        <v>206933</v>
      </c>
      <c r="U340" s="24">
        <f t="shared" si="133"/>
        <v>8.0727154692897396E-5</v>
      </c>
      <c r="V340" s="24">
        <f t="shared" si="144"/>
        <v>8.9696838547663764E-5</v>
      </c>
      <c r="W340" s="24">
        <f t="shared" si="134"/>
        <v>7.6268869921464612E-4</v>
      </c>
      <c r="X340" s="25">
        <f t="shared" si="135"/>
        <v>8.1258532040087792E-4</v>
      </c>
      <c r="Y340" s="8">
        <f t="shared" si="137"/>
        <v>0.47831888522991217</v>
      </c>
      <c r="Z340" s="27">
        <f t="shared" si="138"/>
        <v>0.21181398739706139</v>
      </c>
      <c r="AA340" s="27"/>
      <c r="AB340" s="27"/>
      <c r="AC340" s="56">
        <f t="shared" si="136"/>
        <v>1.9657206741425961E-3</v>
      </c>
      <c r="AD340" s="20">
        <f t="shared" si="131"/>
        <v>404462.7</v>
      </c>
      <c r="AE340" s="20">
        <f t="shared" si="139"/>
        <v>339016.05000000005</v>
      </c>
      <c r="AF340" s="20">
        <f t="shared" si="140"/>
        <v>530311646.70000005</v>
      </c>
      <c r="AG340">
        <f t="shared" si="141"/>
        <v>3139536.2544000004</v>
      </c>
      <c r="AH340">
        <f t="shared" si="142"/>
        <v>3488373.6160000004</v>
      </c>
      <c r="AI340">
        <f t="shared" si="143"/>
        <v>3753929407.6800003</v>
      </c>
    </row>
    <row r="341" spans="2:35" x14ac:dyDescent="0.25">
      <c r="B341" s="4">
        <v>2024</v>
      </c>
      <c r="C341" s="4" t="s">
        <v>17</v>
      </c>
      <c r="D341" s="15" t="s">
        <v>309</v>
      </c>
      <c r="E341" s="4" t="str">
        <f t="shared" si="145"/>
        <v>SoCTGas-CT</v>
      </c>
      <c r="F341" s="4" t="s">
        <v>135</v>
      </c>
      <c r="G341" s="4"/>
      <c r="H341" s="4" t="s">
        <v>298</v>
      </c>
      <c r="I341" s="4" t="s">
        <v>167</v>
      </c>
      <c r="J341" s="4" t="s">
        <v>155</v>
      </c>
      <c r="K341" s="5"/>
      <c r="L341" s="49"/>
      <c r="M341" s="8">
        <v>514717</v>
      </c>
      <c r="N341" s="8"/>
      <c r="O341" s="8">
        <f>SUMIFS(EIAwtransport!$J$2:$J$675,EIAwtransport!$E$2:$E$675,Program_data!$E341,EIAwtransport!$H$2:$H$675,Program_data!$F341,EIAwtransport!$I$2:$I$675,Program_data!O$2)</f>
        <v>235806297</v>
      </c>
      <c r="P341" s="5">
        <f>SUMIFS(EIAwtransport!$J$2:$J$675,EIAwtransport!$E$2:$E$675,Program_data!$E341,EIAwtransport!$H$2:$H$675,Program_data!$F341,EIAwtransport!$I$2:$I$675,Program_data!P$2)</f>
        <v>16235932</v>
      </c>
      <c r="Q341" s="5">
        <f>SUMIFS(EIAwtransport!$J$2:$J$675,EIAwtransport!$E$2:$E$675,Program_data!$E341,EIAwtransport!$H$2:$H$675,Program_data!$F341,EIAwtransport!$I$2:$I$675,Program_data!Q$2)</f>
        <v>186847</v>
      </c>
      <c r="R341" s="8">
        <f>SUMIFS(EIAwtransport!$J$2:$J$675,EIAwtransport!$E$2:$E$675,Program_data!$E341,EIAwtransport!$I$2:$I$675,Program_data!R$2)</f>
        <v>392823442</v>
      </c>
      <c r="S341" s="5">
        <f>SUMIFS(EIAwtransport!$J$2:$J$675,EIAwtransport!$E$2:$E$675,Program_data!$E341,EIAwtransport!$I$2:$I$675,Program_data!S$2)</f>
        <v>35589016</v>
      </c>
      <c r="T341" s="5">
        <f>SUMIFS(EIAwtransport!$J$2:$J$675,EIAwtransport!$E$2:$E$675,Program_data!$E341,EIAwtransport!$I$2:$I$675,Program_data!T$2)</f>
        <v>206933</v>
      </c>
      <c r="U341" s="24">
        <f t="shared" si="133"/>
        <v>0</v>
      </c>
      <c r="V341" s="24">
        <f t="shared" si="144"/>
        <v>0</v>
      </c>
      <c r="W341" s="24">
        <f t="shared" si="134"/>
        <v>1.3103011301448756E-3</v>
      </c>
      <c r="X341" s="25">
        <f t="shared" si="135"/>
        <v>1.3960236525816874E-3</v>
      </c>
      <c r="Y341" s="8">
        <f t="shared" si="137"/>
        <v>0.86719556424592237</v>
      </c>
      <c r="Z341" s="27">
        <f t="shared" si="138"/>
        <v>0.36389697048435343</v>
      </c>
      <c r="AA341" s="27"/>
      <c r="AB341" s="27"/>
      <c r="AC341" s="56">
        <f t="shared" si="136"/>
        <v>0</v>
      </c>
      <c r="AD341" s="20">
        <f t="shared" si="131"/>
        <v>694867.95000000007</v>
      </c>
      <c r="AE341" s="20">
        <f t="shared" si="139"/>
        <v>0</v>
      </c>
      <c r="AF341" s="20">
        <f t="shared" si="140"/>
        <v>530311646.70000005</v>
      </c>
      <c r="AG341">
        <f t="shared" si="141"/>
        <v>0</v>
      </c>
      <c r="AH341">
        <f t="shared" si="142"/>
        <v>0</v>
      </c>
      <c r="AI341">
        <f t="shared" si="143"/>
        <v>3753929407.6800003</v>
      </c>
    </row>
    <row r="342" spans="2:35" x14ac:dyDescent="0.25">
      <c r="B342" s="4">
        <v>2024</v>
      </c>
      <c r="C342" s="4" t="s">
        <v>17</v>
      </c>
      <c r="D342" s="15" t="s">
        <v>309</v>
      </c>
      <c r="E342" s="4" t="str">
        <f t="shared" si="145"/>
        <v>SoCTGas-CT</v>
      </c>
      <c r="F342" s="4" t="s">
        <v>146</v>
      </c>
      <c r="G342" s="4"/>
      <c r="H342" s="4" t="s">
        <v>299</v>
      </c>
      <c r="I342" s="4" t="s">
        <v>167</v>
      </c>
      <c r="J342" s="4" t="s">
        <v>155</v>
      </c>
      <c r="K342" s="5"/>
      <c r="L342" s="49"/>
      <c r="M342" s="8">
        <v>204891</v>
      </c>
      <c r="N342" s="8"/>
      <c r="O342" s="8">
        <f>SUMIFS(EIAwtransport!$J$2:$J$675,EIAwtransport!$E$2:$E$675,Program_data!$E342,EIAwtransport!$H$2:$H$675,Program_data!$F342,EIAwtransport!$I$2:$I$675,Program_data!O$2)</f>
        <v>157017145</v>
      </c>
      <c r="P342" s="5">
        <f>SUMIFS(EIAwtransport!$J$2:$J$675,EIAwtransport!$E$2:$E$675,Program_data!$E342,EIAwtransport!$H$2:$H$675,Program_data!$F342,EIAwtransport!$I$2:$I$675,Program_data!P$2)</f>
        <v>19353084</v>
      </c>
      <c r="Q342" s="5">
        <f>SUMIFS(EIAwtransport!$J$2:$J$675,EIAwtransport!$E$2:$E$675,Program_data!$E342,EIAwtransport!$H$2:$H$675,Program_data!$F342,EIAwtransport!$I$2:$I$675,Program_data!Q$2)</f>
        <v>20086</v>
      </c>
      <c r="R342" s="8">
        <f>SUMIFS(EIAwtransport!$J$2:$J$675,EIAwtransport!$E$2:$E$675,Program_data!$E342,EIAwtransport!$I$2:$I$675,Program_data!R$2)</f>
        <v>392823442</v>
      </c>
      <c r="S342" s="5">
        <f>SUMIFS(EIAwtransport!$J$2:$J$675,EIAwtransport!$E$2:$E$675,Program_data!$E342,EIAwtransport!$I$2:$I$675,Program_data!S$2)</f>
        <v>35589016</v>
      </c>
      <c r="T342" s="5">
        <f>SUMIFS(EIAwtransport!$J$2:$J$675,EIAwtransport!$E$2:$E$675,Program_data!$E342,EIAwtransport!$I$2:$I$675,Program_data!T$2)</f>
        <v>206933</v>
      </c>
      <c r="U342" s="24">
        <f t="shared" si="133"/>
        <v>0</v>
      </c>
      <c r="V342" s="24">
        <f t="shared" si="144"/>
        <v>0</v>
      </c>
      <c r="W342" s="24">
        <f t="shared" si="134"/>
        <v>5.2158547096076819E-4</v>
      </c>
      <c r="X342" s="25">
        <f t="shared" si="135"/>
        <v>5.5570863639847626E-4</v>
      </c>
      <c r="Y342" s="8">
        <f t="shared" si="137"/>
        <v>0.32711141685850542</v>
      </c>
      <c r="Z342" s="27">
        <f t="shared" si="138"/>
        <v>0.14485477297137972</v>
      </c>
      <c r="AA342" s="27"/>
      <c r="AB342" s="27"/>
      <c r="AC342" s="56">
        <f t="shared" si="136"/>
        <v>0</v>
      </c>
      <c r="AD342" s="20">
        <f t="shared" si="131"/>
        <v>276602.85000000003</v>
      </c>
      <c r="AE342" s="20">
        <f t="shared" si="139"/>
        <v>0</v>
      </c>
      <c r="AF342" s="20">
        <f t="shared" si="140"/>
        <v>530311646.70000005</v>
      </c>
      <c r="AG342">
        <f t="shared" si="141"/>
        <v>0</v>
      </c>
      <c r="AH342">
        <f t="shared" si="142"/>
        <v>0</v>
      </c>
      <c r="AI342">
        <f t="shared" si="143"/>
        <v>3753929407.6800003</v>
      </c>
    </row>
    <row r="343" spans="2:35" x14ac:dyDescent="0.25">
      <c r="B343" s="4">
        <v>2024</v>
      </c>
      <c r="C343" s="4" t="s">
        <v>17</v>
      </c>
      <c r="D343" s="15" t="s">
        <v>309</v>
      </c>
      <c r="E343" s="4" t="str">
        <f t="shared" si="145"/>
        <v>SoCTGas-CT</v>
      </c>
      <c r="F343" s="4" t="s">
        <v>306</v>
      </c>
      <c r="G343" s="4"/>
      <c r="H343" s="4" t="s">
        <v>308</v>
      </c>
      <c r="I343" s="4" t="s">
        <v>167</v>
      </c>
      <c r="J343" s="4" t="s">
        <v>155</v>
      </c>
      <c r="K343" s="5"/>
      <c r="L343" s="49"/>
      <c r="M343" s="8">
        <v>76667</v>
      </c>
      <c r="N343" s="8"/>
      <c r="O343" s="8">
        <f>SUMIFS(EIAwtransport!$J$2:$J$675,EIAwtransport!$E$2:$E$675,Program_data!$E343,EIAwtransport!$H$2:$H$675,Program_data!$F343,EIAwtransport!$I$2:$I$675,Program_data!O$2)</f>
        <v>0</v>
      </c>
      <c r="P343" s="5">
        <f>SUMIFS(EIAwtransport!$J$2:$J$675,EIAwtransport!$E$2:$E$675,Program_data!$E343,EIAwtransport!$H$2:$H$675,Program_data!$F343,EIAwtransport!$I$2:$I$675,Program_data!P$2)</f>
        <v>0</v>
      </c>
      <c r="Q343" s="5">
        <f>SUMIFS(EIAwtransport!$J$2:$J$675,EIAwtransport!$E$2:$E$675,Program_data!$E343,EIAwtransport!$H$2:$H$675,Program_data!$F343,EIAwtransport!$I$2:$I$675,Program_data!Q$2)</f>
        <v>0</v>
      </c>
      <c r="R343" s="8">
        <f>SUMIFS(EIAwtransport!$J$2:$J$675,EIAwtransport!$E$2:$E$675,Program_data!$E343,EIAwtransport!$I$2:$I$675,Program_data!R$2)</f>
        <v>392823442</v>
      </c>
      <c r="S343" s="5">
        <f>SUMIFS(EIAwtransport!$J$2:$J$675,EIAwtransport!$E$2:$E$675,Program_data!$E343,EIAwtransport!$I$2:$I$675,Program_data!S$2)</f>
        <v>35589016</v>
      </c>
      <c r="T343" s="5">
        <f>SUMIFS(EIAwtransport!$J$2:$J$675,EIAwtransport!$E$2:$E$675,Program_data!$E343,EIAwtransport!$I$2:$I$675,Program_data!T$2)</f>
        <v>206933</v>
      </c>
      <c r="U343" s="24">
        <f t="shared" si="133"/>
        <v>0</v>
      </c>
      <c r="V343" s="24">
        <f t="shared" si="144"/>
        <v>0</v>
      </c>
      <c r="W343" s="24">
        <f t="shared" si="134"/>
        <v>1.9516910602295471E-4</v>
      </c>
      <c r="X343" s="25">
        <f t="shared" si="135"/>
        <v>2.0793745956026365E-4</v>
      </c>
      <c r="Y343" s="8" t="str">
        <f t="shared" si="137"/>
        <v/>
      </c>
      <c r="Z343" s="27">
        <f t="shared" si="138"/>
        <v>5.4202385070094679E-2</v>
      </c>
      <c r="AA343" s="27"/>
      <c r="AB343" s="27"/>
      <c r="AC343" s="56">
        <f t="shared" si="136"/>
        <v>0</v>
      </c>
      <c r="AD343" s="20">
        <f t="shared" si="131"/>
        <v>103500.45000000001</v>
      </c>
      <c r="AE343" s="20">
        <f t="shared" si="139"/>
        <v>0</v>
      </c>
      <c r="AF343" s="20">
        <f t="shared" si="140"/>
        <v>530311646.70000005</v>
      </c>
      <c r="AG343">
        <f t="shared" si="141"/>
        <v>0</v>
      </c>
      <c r="AH343">
        <f t="shared" si="142"/>
        <v>0</v>
      </c>
      <c r="AI343">
        <f t="shared" si="143"/>
        <v>3753929407.6800003</v>
      </c>
    </row>
    <row r="344" spans="2:35" x14ac:dyDescent="0.25">
      <c r="B344" s="4">
        <v>2024</v>
      </c>
      <c r="C344" s="4" t="s">
        <v>17</v>
      </c>
      <c r="D344" s="15" t="s">
        <v>309</v>
      </c>
      <c r="E344" s="4" t="str">
        <f t="shared" si="145"/>
        <v>SoCTGas-CT</v>
      </c>
      <c r="F344" s="4" t="s">
        <v>306</v>
      </c>
      <c r="G344" s="4"/>
      <c r="H344" s="4" t="s">
        <v>300</v>
      </c>
      <c r="I344" s="4" t="s">
        <v>167</v>
      </c>
      <c r="J344" s="4" t="s">
        <v>155</v>
      </c>
      <c r="K344" s="5"/>
      <c r="L344" s="49"/>
      <c r="M344" s="8">
        <v>82667</v>
      </c>
      <c r="N344" s="8"/>
      <c r="O344" s="8">
        <f>SUMIFS(EIAwtransport!$J$2:$J$675,EIAwtransport!$E$2:$E$675,Program_data!$E344,EIAwtransport!$H$2:$H$675,Program_data!$F344,EIAwtransport!$I$2:$I$675,Program_data!O$2)</f>
        <v>0</v>
      </c>
      <c r="P344" s="5">
        <f>SUMIFS(EIAwtransport!$J$2:$J$675,EIAwtransport!$E$2:$E$675,Program_data!$E344,EIAwtransport!$H$2:$H$675,Program_data!$F344,EIAwtransport!$I$2:$I$675,Program_data!P$2)</f>
        <v>0</v>
      </c>
      <c r="Q344" s="5">
        <f>SUMIFS(EIAwtransport!$J$2:$J$675,EIAwtransport!$E$2:$E$675,Program_data!$E344,EIAwtransport!$H$2:$H$675,Program_data!$F344,EIAwtransport!$I$2:$I$675,Program_data!Q$2)</f>
        <v>0</v>
      </c>
      <c r="R344" s="8">
        <f>SUMIFS(EIAwtransport!$J$2:$J$675,EIAwtransport!$E$2:$E$675,Program_data!$E344,EIAwtransport!$I$2:$I$675,Program_data!R$2)</f>
        <v>392823442</v>
      </c>
      <c r="S344" s="5">
        <f>SUMIFS(EIAwtransport!$J$2:$J$675,EIAwtransport!$E$2:$E$675,Program_data!$E344,EIAwtransport!$I$2:$I$675,Program_data!S$2)</f>
        <v>35589016</v>
      </c>
      <c r="T344" s="5">
        <f>SUMIFS(EIAwtransport!$J$2:$J$675,EIAwtransport!$E$2:$E$675,Program_data!$E344,EIAwtransport!$I$2:$I$675,Program_data!T$2)</f>
        <v>206933</v>
      </c>
      <c r="U344" s="24">
        <f t="shared" si="133"/>
        <v>0</v>
      </c>
      <c r="V344" s="24">
        <f t="shared" si="144"/>
        <v>0</v>
      </c>
      <c r="W344" s="24">
        <f t="shared" si="134"/>
        <v>2.1044314356371839E-4</v>
      </c>
      <c r="X344" s="25">
        <f t="shared" si="135"/>
        <v>2.2421075520717278E-4</v>
      </c>
      <c r="Y344" s="8" t="str">
        <f t="shared" si="137"/>
        <v/>
      </c>
      <c r="Z344" s="27">
        <f t="shared" si="138"/>
        <v>5.8444292415113633E-2</v>
      </c>
      <c r="AA344" s="27"/>
      <c r="AB344" s="27"/>
      <c r="AC344" s="56">
        <f t="shared" si="136"/>
        <v>0</v>
      </c>
      <c r="AD344" s="20">
        <f t="shared" si="131"/>
        <v>111600.45000000001</v>
      </c>
      <c r="AE344" s="20">
        <f t="shared" si="139"/>
        <v>0</v>
      </c>
      <c r="AF344" s="20">
        <f t="shared" si="140"/>
        <v>530311646.70000005</v>
      </c>
      <c r="AG344">
        <f t="shared" si="141"/>
        <v>0</v>
      </c>
      <c r="AH344">
        <f t="shared" si="142"/>
        <v>0</v>
      </c>
      <c r="AI344">
        <f t="shared" si="143"/>
        <v>3753929407.6800003</v>
      </c>
    </row>
    <row r="345" spans="2:35" x14ac:dyDescent="0.25">
      <c r="B345" s="4">
        <v>2024</v>
      </c>
      <c r="C345" s="4" t="s">
        <v>17</v>
      </c>
      <c r="D345" s="15" t="s">
        <v>309</v>
      </c>
      <c r="E345" s="4" t="str">
        <f t="shared" si="145"/>
        <v>SoCTGas-CT</v>
      </c>
      <c r="F345" s="4" t="s">
        <v>306</v>
      </c>
      <c r="G345" s="4"/>
      <c r="H345" s="4" t="s">
        <v>301</v>
      </c>
      <c r="I345" s="4" t="s">
        <v>167</v>
      </c>
      <c r="J345" s="4" t="s">
        <v>155</v>
      </c>
      <c r="K345" s="5"/>
      <c r="L345" s="49"/>
      <c r="M345" s="8">
        <v>80000</v>
      </c>
      <c r="N345" s="8"/>
      <c r="O345" s="8">
        <f>SUMIFS(EIAwtransport!$J$2:$J$675,EIAwtransport!$E$2:$E$675,Program_data!$E345,EIAwtransport!$H$2:$H$675,Program_data!$F345,EIAwtransport!$I$2:$I$675,Program_data!O$2)</f>
        <v>0</v>
      </c>
      <c r="P345" s="5">
        <f>SUMIFS(EIAwtransport!$J$2:$J$675,EIAwtransport!$E$2:$E$675,Program_data!$E345,EIAwtransport!$H$2:$H$675,Program_data!$F345,EIAwtransport!$I$2:$I$675,Program_data!P$2)</f>
        <v>0</v>
      </c>
      <c r="Q345" s="5">
        <f>SUMIFS(EIAwtransport!$J$2:$J$675,EIAwtransport!$E$2:$E$675,Program_data!$E345,EIAwtransport!$H$2:$H$675,Program_data!$F345,EIAwtransport!$I$2:$I$675,Program_data!Q$2)</f>
        <v>0</v>
      </c>
      <c r="R345" s="8">
        <f>SUMIFS(EIAwtransport!$J$2:$J$675,EIAwtransport!$E$2:$E$675,Program_data!$E345,EIAwtransport!$I$2:$I$675,Program_data!R$2)</f>
        <v>392823442</v>
      </c>
      <c r="S345" s="5">
        <f>SUMIFS(EIAwtransport!$J$2:$J$675,EIAwtransport!$E$2:$E$675,Program_data!$E345,EIAwtransport!$I$2:$I$675,Program_data!S$2)</f>
        <v>35589016</v>
      </c>
      <c r="T345" s="5">
        <f>SUMIFS(EIAwtransport!$J$2:$J$675,EIAwtransport!$E$2:$E$675,Program_data!$E345,EIAwtransport!$I$2:$I$675,Program_data!T$2)</f>
        <v>206933</v>
      </c>
      <c r="U345" s="24">
        <f t="shared" si="133"/>
        <v>0</v>
      </c>
      <c r="V345" s="24">
        <f t="shared" si="144"/>
        <v>0</v>
      </c>
      <c r="W345" s="24">
        <f t="shared" si="134"/>
        <v>2.0365383387684893E-4</v>
      </c>
      <c r="X345" s="25">
        <f t="shared" si="135"/>
        <v>2.1697727529212165E-4</v>
      </c>
      <c r="Y345" s="8" t="str">
        <f t="shared" si="137"/>
        <v/>
      </c>
      <c r="Z345" s="27">
        <f t="shared" si="138"/>
        <v>5.6558764600252706E-2</v>
      </c>
      <c r="AA345" s="27"/>
      <c r="AB345" s="27"/>
      <c r="AC345" s="56">
        <f t="shared" si="136"/>
        <v>0</v>
      </c>
      <c r="AD345" s="20">
        <f t="shared" si="131"/>
        <v>108000</v>
      </c>
      <c r="AE345" s="20">
        <f t="shared" si="139"/>
        <v>0</v>
      </c>
      <c r="AF345" s="20">
        <f t="shared" si="140"/>
        <v>530311646.70000005</v>
      </c>
      <c r="AG345">
        <f t="shared" si="141"/>
        <v>0</v>
      </c>
      <c r="AH345">
        <f t="shared" si="142"/>
        <v>0</v>
      </c>
      <c r="AI345">
        <f t="shared" si="143"/>
        <v>3753929407.6800003</v>
      </c>
    </row>
    <row r="346" spans="2:35" x14ac:dyDescent="0.25">
      <c r="B346" s="4">
        <v>2024</v>
      </c>
      <c r="C346" s="4" t="s">
        <v>17</v>
      </c>
      <c r="D346" s="15" t="s">
        <v>309</v>
      </c>
      <c r="E346" s="4" t="str">
        <f t="shared" si="145"/>
        <v>SoCTGas-CT</v>
      </c>
      <c r="F346" s="4" t="s">
        <v>306</v>
      </c>
      <c r="G346" s="4"/>
      <c r="H346" s="4" t="s">
        <v>302</v>
      </c>
      <c r="I346" s="4" t="s">
        <v>167</v>
      </c>
      <c r="J346" s="4" t="s">
        <v>155</v>
      </c>
      <c r="K346" s="5"/>
      <c r="L346" s="49"/>
      <c r="M346" s="8">
        <v>50000</v>
      </c>
      <c r="N346" s="8"/>
      <c r="O346" s="8">
        <f>SUMIFS(EIAwtransport!$J$2:$J$675,EIAwtransport!$E$2:$E$675,Program_data!$E346,EIAwtransport!$H$2:$H$675,Program_data!$F346,EIAwtransport!$I$2:$I$675,Program_data!O$2)</f>
        <v>0</v>
      </c>
      <c r="P346" s="5">
        <f>SUMIFS(EIAwtransport!$J$2:$J$675,EIAwtransport!$E$2:$E$675,Program_data!$E346,EIAwtransport!$H$2:$H$675,Program_data!$F346,EIAwtransport!$I$2:$I$675,Program_data!P$2)</f>
        <v>0</v>
      </c>
      <c r="Q346" s="5">
        <f>SUMIFS(EIAwtransport!$J$2:$J$675,EIAwtransport!$E$2:$E$675,Program_data!$E346,EIAwtransport!$H$2:$H$675,Program_data!$F346,EIAwtransport!$I$2:$I$675,Program_data!Q$2)</f>
        <v>0</v>
      </c>
      <c r="R346" s="8">
        <f>SUMIFS(EIAwtransport!$J$2:$J$675,EIAwtransport!$E$2:$E$675,Program_data!$E346,EIAwtransport!$I$2:$I$675,Program_data!R$2)</f>
        <v>392823442</v>
      </c>
      <c r="S346" s="5">
        <f>SUMIFS(EIAwtransport!$J$2:$J$675,EIAwtransport!$E$2:$E$675,Program_data!$E346,EIAwtransport!$I$2:$I$675,Program_data!S$2)</f>
        <v>35589016</v>
      </c>
      <c r="T346" s="5">
        <f>SUMIFS(EIAwtransport!$J$2:$J$675,EIAwtransport!$E$2:$E$675,Program_data!$E346,EIAwtransport!$I$2:$I$675,Program_data!T$2)</f>
        <v>206933</v>
      </c>
      <c r="U346" s="24">
        <f t="shared" si="133"/>
        <v>0</v>
      </c>
      <c r="V346" s="24">
        <f t="shared" si="144"/>
        <v>0</v>
      </c>
      <c r="W346" s="24">
        <f t="shared" si="134"/>
        <v>1.2728364617303059E-4</v>
      </c>
      <c r="X346" s="25">
        <f t="shared" si="135"/>
        <v>1.3561079705757604E-4</v>
      </c>
      <c r="Y346" s="8" t="str">
        <f t="shared" si="137"/>
        <v/>
      </c>
      <c r="Z346" s="27">
        <f t="shared" si="138"/>
        <v>3.5349227875157943E-2</v>
      </c>
      <c r="AA346" s="27"/>
      <c r="AB346" s="27"/>
      <c r="AC346" s="56">
        <f t="shared" si="136"/>
        <v>0</v>
      </c>
      <c r="AD346" s="20">
        <f t="shared" ref="AD346:AD422" si="146">M346*1.35</f>
        <v>67500</v>
      </c>
      <c r="AE346" s="20">
        <f t="shared" si="139"/>
        <v>0</v>
      </c>
      <c r="AF346" s="20">
        <f t="shared" si="140"/>
        <v>530311646.70000005</v>
      </c>
      <c r="AG346">
        <f t="shared" si="141"/>
        <v>0</v>
      </c>
      <c r="AH346">
        <f t="shared" si="142"/>
        <v>0</v>
      </c>
      <c r="AI346">
        <f t="shared" si="143"/>
        <v>3753929407.6800003</v>
      </c>
    </row>
    <row r="347" spans="2:35" x14ac:dyDescent="0.25">
      <c r="B347" s="4">
        <v>2024</v>
      </c>
      <c r="C347" s="4" t="s">
        <v>17</v>
      </c>
      <c r="D347" s="15" t="s">
        <v>309</v>
      </c>
      <c r="E347" s="4" t="str">
        <f t="shared" si="145"/>
        <v>SoCTGas-CT</v>
      </c>
      <c r="F347" s="4" t="s">
        <v>306</v>
      </c>
      <c r="G347" s="4"/>
      <c r="H347" s="4" t="s">
        <v>303</v>
      </c>
      <c r="I347" s="4" t="s">
        <v>167</v>
      </c>
      <c r="J347" s="4" t="s">
        <v>155</v>
      </c>
      <c r="K347" s="5"/>
      <c r="L347" s="49"/>
      <c r="M347" s="8">
        <v>86292</v>
      </c>
      <c r="N347" s="8"/>
      <c r="O347" s="8">
        <f>SUMIFS(EIAwtransport!$J$2:$J$675,EIAwtransport!$E$2:$E$675,Program_data!$E347,EIAwtransport!$H$2:$H$675,Program_data!$F347,EIAwtransport!$I$2:$I$675,Program_data!O$2)</f>
        <v>0</v>
      </c>
      <c r="P347" s="5">
        <f>SUMIFS(EIAwtransport!$J$2:$J$675,EIAwtransport!$E$2:$E$675,Program_data!$E347,EIAwtransport!$H$2:$H$675,Program_data!$F347,EIAwtransport!$I$2:$I$675,Program_data!P$2)</f>
        <v>0</v>
      </c>
      <c r="Q347" s="5">
        <f>SUMIFS(EIAwtransport!$J$2:$J$675,EIAwtransport!$E$2:$E$675,Program_data!$E347,EIAwtransport!$H$2:$H$675,Program_data!$F347,EIAwtransport!$I$2:$I$675,Program_data!Q$2)</f>
        <v>0</v>
      </c>
      <c r="R347" s="8">
        <f>SUMIFS(EIAwtransport!$J$2:$J$675,EIAwtransport!$E$2:$E$675,Program_data!$E347,EIAwtransport!$I$2:$I$675,Program_data!R$2)</f>
        <v>392823442</v>
      </c>
      <c r="S347" s="5">
        <f>SUMIFS(EIAwtransport!$J$2:$J$675,EIAwtransport!$E$2:$E$675,Program_data!$E347,EIAwtransport!$I$2:$I$675,Program_data!S$2)</f>
        <v>35589016</v>
      </c>
      <c r="T347" s="5">
        <f>SUMIFS(EIAwtransport!$J$2:$J$675,EIAwtransport!$E$2:$E$675,Program_data!$E347,EIAwtransport!$I$2:$I$675,Program_data!T$2)</f>
        <v>206933</v>
      </c>
      <c r="U347" s="24">
        <f t="shared" si="133"/>
        <v>0</v>
      </c>
      <c r="V347" s="24">
        <f t="shared" si="144"/>
        <v>0</v>
      </c>
      <c r="W347" s="24">
        <f t="shared" si="134"/>
        <v>2.1967120791126311E-4</v>
      </c>
      <c r="X347" s="25">
        <f t="shared" si="135"/>
        <v>2.3404253799384702E-4</v>
      </c>
      <c r="Y347" s="8" t="str">
        <f t="shared" si="137"/>
        <v/>
      </c>
      <c r="Z347" s="27">
        <f t="shared" si="138"/>
        <v>6.1007111436062585E-2</v>
      </c>
      <c r="AA347" s="27"/>
      <c r="AB347" s="27"/>
      <c r="AC347" s="56">
        <f t="shared" si="136"/>
        <v>0</v>
      </c>
      <c r="AD347" s="20">
        <f t="shared" si="146"/>
        <v>116494.20000000001</v>
      </c>
      <c r="AE347" s="20">
        <f t="shared" si="139"/>
        <v>0</v>
      </c>
      <c r="AF347" s="20">
        <f t="shared" si="140"/>
        <v>530311646.70000005</v>
      </c>
      <c r="AG347">
        <f t="shared" si="141"/>
        <v>0</v>
      </c>
      <c r="AH347">
        <f t="shared" si="142"/>
        <v>0</v>
      </c>
      <c r="AI347">
        <f t="shared" si="143"/>
        <v>3753929407.6800003</v>
      </c>
    </row>
    <row r="348" spans="2:35" x14ac:dyDescent="0.25">
      <c r="B348" s="4">
        <v>2024</v>
      </c>
      <c r="C348" s="4" t="s">
        <v>17</v>
      </c>
      <c r="D348" s="15" t="s">
        <v>309</v>
      </c>
      <c r="E348" s="4" t="str">
        <f t="shared" si="145"/>
        <v>SoCTGas-CT</v>
      </c>
      <c r="F348" s="4" t="s">
        <v>306</v>
      </c>
      <c r="G348" s="4"/>
      <c r="H348" s="4" t="s">
        <v>304</v>
      </c>
      <c r="I348" s="4" t="s">
        <v>167</v>
      </c>
      <c r="J348" s="4" t="s">
        <v>155</v>
      </c>
      <c r="K348" s="5"/>
      <c r="L348" s="49"/>
      <c r="M348" s="8">
        <v>75000</v>
      </c>
      <c r="N348" s="8"/>
      <c r="O348" s="8">
        <f>SUMIFS(EIAwtransport!$J$2:$J$675,EIAwtransport!$E$2:$E$675,Program_data!$E348,EIAwtransport!$H$2:$H$675,Program_data!$F348,EIAwtransport!$I$2:$I$675,Program_data!O$2)</f>
        <v>0</v>
      </c>
      <c r="P348" s="5">
        <f>SUMIFS(EIAwtransport!$J$2:$J$675,EIAwtransport!$E$2:$E$675,Program_data!$E348,EIAwtransport!$H$2:$H$675,Program_data!$F348,EIAwtransport!$I$2:$I$675,Program_data!P$2)</f>
        <v>0</v>
      </c>
      <c r="Q348" s="5">
        <f>SUMIFS(EIAwtransport!$J$2:$J$675,EIAwtransport!$E$2:$E$675,Program_data!$E348,EIAwtransport!$H$2:$H$675,Program_data!$F348,EIAwtransport!$I$2:$I$675,Program_data!Q$2)</f>
        <v>0</v>
      </c>
      <c r="R348" s="8">
        <f>SUMIFS(EIAwtransport!$J$2:$J$675,EIAwtransport!$E$2:$E$675,Program_data!$E348,EIAwtransport!$I$2:$I$675,Program_data!R$2)</f>
        <v>392823442</v>
      </c>
      <c r="S348" s="5">
        <f>SUMIFS(EIAwtransport!$J$2:$J$675,EIAwtransport!$E$2:$E$675,Program_data!$E348,EIAwtransport!$I$2:$I$675,Program_data!S$2)</f>
        <v>35589016</v>
      </c>
      <c r="T348" s="5">
        <f>SUMIFS(EIAwtransport!$J$2:$J$675,EIAwtransport!$E$2:$E$675,Program_data!$E348,EIAwtransport!$I$2:$I$675,Program_data!T$2)</f>
        <v>206933</v>
      </c>
      <c r="U348" s="24">
        <f t="shared" si="133"/>
        <v>0</v>
      </c>
      <c r="V348" s="24">
        <f t="shared" si="144"/>
        <v>0</v>
      </c>
      <c r="W348" s="24">
        <f t="shared" si="134"/>
        <v>1.9092546925954587E-4</v>
      </c>
      <c r="X348" s="25">
        <f t="shared" si="135"/>
        <v>2.0341619558636407E-4</v>
      </c>
      <c r="Y348" s="8" t="str">
        <f t="shared" si="137"/>
        <v/>
      </c>
      <c r="Z348" s="27">
        <f t="shared" si="138"/>
        <v>5.3023841812736915E-2</v>
      </c>
      <c r="AA348" s="27"/>
      <c r="AB348" s="27"/>
      <c r="AC348" s="56">
        <f t="shared" si="136"/>
        <v>0</v>
      </c>
      <c r="AD348" s="20">
        <f t="shared" si="146"/>
        <v>101250</v>
      </c>
      <c r="AE348" s="20">
        <f t="shared" si="139"/>
        <v>0</v>
      </c>
      <c r="AF348" s="20">
        <f t="shared" si="140"/>
        <v>530311646.70000005</v>
      </c>
      <c r="AG348">
        <f t="shared" si="141"/>
        <v>0</v>
      </c>
      <c r="AH348">
        <f t="shared" si="142"/>
        <v>0</v>
      </c>
      <c r="AI348">
        <f t="shared" si="143"/>
        <v>3753929407.6800003</v>
      </c>
    </row>
    <row r="349" spans="2:35" x14ac:dyDescent="0.25">
      <c r="B349" s="4">
        <v>2024</v>
      </c>
      <c r="C349" s="4" t="s">
        <v>17</v>
      </c>
      <c r="D349" s="15" t="s">
        <v>309</v>
      </c>
      <c r="E349" s="4" t="str">
        <f t="shared" si="145"/>
        <v>SoCTGas-CT</v>
      </c>
      <c r="F349" s="4" t="s">
        <v>306</v>
      </c>
      <c r="G349" s="4"/>
      <c r="H349" s="4" t="s">
        <v>305</v>
      </c>
      <c r="I349" s="4" t="s">
        <v>167</v>
      </c>
      <c r="J349" s="4" t="s">
        <v>155</v>
      </c>
      <c r="K349" s="5"/>
      <c r="L349" s="49"/>
      <c r="M349" s="8">
        <v>50000</v>
      </c>
      <c r="N349" s="8"/>
      <c r="O349" s="8">
        <f>SUMIFS(EIAwtransport!$J$2:$J$675,EIAwtransport!$E$2:$E$675,Program_data!$E349,EIAwtransport!$H$2:$H$675,Program_data!$F349,EIAwtransport!$I$2:$I$675,Program_data!O$2)</f>
        <v>0</v>
      </c>
      <c r="P349" s="5">
        <f>SUMIFS(EIAwtransport!$J$2:$J$675,EIAwtransport!$E$2:$E$675,Program_data!$E349,EIAwtransport!$H$2:$H$675,Program_data!$F349,EIAwtransport!$I$2:$I$675,Program_data!P$2)</f>
        <v>0</v>
      </c>
      <c r="Q349" s="5">
        <f>SUMIFS(EIAwtransport!$J$2:$J$675,EIAwtransport!$E$2:$E$675,Program_data!$E349,EIAwtransport!$H$2:$H$675,Program_data!$F349,EIAwtransport!$I$2:$I$675,Program_data!Q$2)</f>
        <v>0</v>
      </c>
      <c r="R349" s="8">
        <f>SUMIFS(EIAwtransport!$J$2:$J$675,EIAwtransport!$E$2:$E$675,Program_data!$E349,EIAwtransport!$I$2:$I$675,Program_data!R$2)</f>
        <v>392823442</v>
      </c>
      <c r="S349" s="5">
        <f>SUMIFS(EIAwtransport!$J$2:$J$675,EIAwtransport!$E$2:$E$675,Program_data!$E349,EIAwtransport!$I$2:$I$675,Program_data!S$2)</f>
        <v>35589016</v>
      </c>
      <c r="T349" s="5">
        <f>SUMIFS(EIAwtransport!$J$2:$J$675,EIAwtransport!$E$2:$E$675,Program_data!$E349,EIAwtransport!$I$2:$I$675,Program_data!T$2)</f>
        <v>206933</v>
      </c>
      <c r="U349" s="24">
        <f t="shared" si="133"/>
        <v>0</v>
      </c>
      <c r="V349" s="24">
        <f t="shared" si="144"/>
        <v>0</v>
      </c>
      <c r="W349" s="24">
        <f t="shared" si="134"/>
        <v>1.2728364617303059E-4</v>
      </c>
      <c r="X349" s="25">
        <f t="shared" si="135"/>
        <v>1.3561079705757604E-4</v>
      </c>
      <c r="Y349" s="8" t="str">
        <f t="shared" si="137"/>
        <v/>
      </c>
      <c r="Z349" s="27">
        <f t="shared" si="138"/>
        <v>3.5349227875157943E-2</v>
      </c>
      <c r="AA349" s="27"/>
      <c r="AB349" s="27"/>
      <c r="AC349" s="56">
        <f t="shared" ref="AC349:AC362" si="147">IFERROR(K349/SUMIFS($M$3:$M$1234,$E$3:$E$1234,E349,$B$3:$B$1234,B349),"")</f>
        <v>0</v>
      </c>
      <c r="AD349" s="20">
        <f t="shared" si="146"/>
        <v>67500</v>
      </c>
      <c r="AE349" s="20">
        <f t="shared" si="139"/>
        <v>0</v>
      </c>
      <c r="AF349" s="20">
        <f t="shared" si="140"/>
        <v>530311646.70000005</v>
      </c>
      <c r="AG349">
        <f t="shared" si="141"/>
        <v>0</v>
      </c>
      <c r="AH349">
        <f t="shared" si="142"/>
        <v>0</v>
      </c>
      <c r="AI349">
        <f t="shared" si="143"/>
        <v>3753929407.6800003</v>
      </c>
    </row>
    <row r="350" spans="2:35" x14ac:dyDescent="0.25">
      <c r="B350" s="4">
        <v>2024</v>
      </c>
      <c r="C350" s="4" t="s">
        <v>17</v>
      </c>
      <c r="D350" s="15" t="s">
        <v>309</v>
      </c>
      <c r="E350" s="4" t="str">
        <f t="shared" si="145"/>
        <v>SoCTGas-CT</v>
      </c>
      <c r="F350" s="4" t="s">
        <v>306</v>
      </c>
      <c r="G350" s="4"/>
      <c r="H350" s="4" t="s">
        <v>211</v>
      </c>
      <c r="I350" s="4" t="s">
        <v>167</v>
      </c>
      <c r="J350" s="4" t="s">
        <v>155</v>
      </c>
      <c r="K350" s="5"/>
      <c r="L350" s="49"/>
      <c r="M350" s="8">
        <v>1697346</v>
      </c>
      <c r="N350" s="8"/>
      <c r="O350" s="8">
        <f>SUMIFS(EIAwtransport!$J$2:$J$675,EIAwtransport!$E$2:$E$675,Program_data!$E350,EIAwtransport!$H$2:$H$675,Program_data!$F350,EIAwtransport!$I$2:$I$675,Program_data!O$2)</f>
        <v>0</v>
      </c>
      <c r="P350" s="5">
        <f>SUMIFS(EIAwtransport!$J$2:$J$675,EIAwtransport!$E$2:$E$675,Program_data!$E350,EIAwtransport!$H$2:$H$675,Program_data!$F350,EIAwtransport!$I$2:$I$675,Program_data!P$2)</f>
        <v>0</v>
      </c>
      <c r="Q350" s="5">
        <f>SUMIFS(EIAwtransport!$J$2:$J$675,EIAwtransport!$E$2:$E$675,Program_data!$E350,EIAwtransport!$H$2:$H$675,Program_data!$F350,EIAwtransport!$I$2:$I$675,Program_data!Q$2)</f>
        <v>0</v>
      </c>
      <c r="R350" s="8">
        <f>SUMIFS(EIAwtransport!$J$2:$J$675,EIAwtransport!$E$2:$E$675,Program_data!$E350,EIAwtransport!$I$2:$I$675,Program_data!R$2)</f>
        <v>392823442</v>
      </c>
      <c r="S350" s="5">
        <f>SUMIFS(EIAwtransport!$J$2:$J$675,EIAwtransport!$E$2:$E$675,Program_data!$E350,EIAwtransport!$I$2:$I$675,Program_data!S$2)</f>
        <v>35589016</v>
      </c>
      <c r="T350" s="5">
        <f>SUMIFS(EIAwtransport!$J$2:$J$675,EIAwtransport!$E$2:$E$675,Program_data!$E350,EIAwtransport!$I$2:$I$675,Program_data!T$2)</f>
        <v>206933</v>
      </c>
      <c r="U350" s="24">
        <f t="shared" si="133"/>
        <v>0</v>
      </c>
      <c r="V350" s="24">
        <f t="shared" si="144"/>
        <v>0</v>
      </c>
      <c r="W350" s="24">
        <f t="shared" si="134"/>
        <v>4.3208877539441751E-3</v>
      </c>
      <c r="X350" s="25">
        <f t="shared" si="135"/>
        <v>4.6035688788497696E-3</v>
      </c>
      <c r="Y350" s="8" t="str">
        <f t="shared" si="137"/>
        <v/>
      </c>
      <c r="Z350" s="27">
        <f t="shared" si="138"/>
        <v>1.1999974107397566</v>
      </c>
      <c r="AA350" s="27"/>
      <c r="AB350" s="27"/>
      <c r="AC350" s="56">
        <f t="shared" si="147"/>
        <v>0</v>
      </c>
      <c r="AD350" s="20">
        <f t="shared" si="146"/>
        <v>2291417.1</v>
      </c>
      <c r="AE350" s="20">
        <f t="shared" si="139"/>
        <v>0</v>
      </c>
      <c r="AF350" s="20">
        <f t="shared" si="140"/>
        <v>530311646.70000005</v>
      </c>
      <c r="AG350">
        <f t="shared" si="141"/>
        <v>0</v>
      </c>
      <c r="AH350">
        <f t="shared" si="142"/>
        <v>0</v>
      </c>
      <c r="AI350">
        <f t="shared" si="143"/>
        <v>3753929407.6800003</v>
      </c>
    </row>
    <row r="351" spans="2:35" x14ac:dyDescent="0.25">
      <c r="B351" s="4">
        <v>2023</v>
      </c>
      <c r="C351" s="4" t="s">
        <v>33</v>
      </c>
      <c r="D351" s="1" t="s">
        <v>81</v>
      </c>
      <c r="E351" s="4" t="str">
        <f t="shared" si="145"/>
        <v>FortisBC-CAN</v>
      </c>
      <c r="F351" s="4" t="s">
        <v>135</v>
      </c>
      <c r="G351" s="4"/>
      <c r="H351" s="11"/>
      <c r="I351" s="11"/>
      <c r="J351" s="4" t="s">
        <v>142</v>
      </c>
      <c r="K351" s="5">
        <v>2372566.2865490001</v>
      </c>
      <c r="L351" s="5">
        <f>K351/_xlfn.XLOOKUP(C351,'Utility target list'!$K$2:$K$8,'Utility target list'!$L$2:$L$8,1,0,1)</f>
        <v>2636184.762832222</v>
      </c>
      <c r="M351" s="8">
        <v>43994000</v>
      </c>
      <c r="N351" s="8"/>
      <c r="O351" s="8">
        <f>SUMIFS(EIAwtransport!$J$2:$J$675,EIAwtransport!$E$2:$E$675,Program_data!$E351,EIAwtransport!$H$2:$H$675,Program_data!$F351,EIAwtransport!$I$2:$I$675,Program_data!O$2)</f>
        <v>874680000</v>
      </c>
      <c r="P351" s="5">
        <f>SUMIFS(EIAwtransport!$J$2:$J$675,EIAwtransport!$E$2:$E$675,Program_data!$E351,EIAwtransport!$H$2:$H$675,Program_data!$F351,EIAwtransport!$I$2:$I$675,Program_data!P$2)</f>
        <v>82460085.7641761</v>
      </c>
      <c r="Q351" s="5">
        <f>SUMIFS(EIAwtransport!$J$2:$J$675,EIAwtransport!$E$2:$E$675,Program_data!$E351,EIAwtransport!$H$2:$H$675,Program_data!$F351,EIAwtransport!$I$2:$I$675,Program_data!Q$2)</f>
        <v>976170</v>
      </c>
      <c r="R351" s="8">
        <f>SUMIFS(EIAwtransport!$J$2:$J$675,EIAwtransport!$E$2:$E$675,Program_data!$E351,EIAwtransport!$I$2:$I$675,Program_data!R$2)</f>
        <v>1429680000</v>
      </c>
      <c r="S351" s="5">
        <f>SUMIFS(EIAwtransport!$J$2:$J$675,EIAwtransport!$E$2:$E$675,Program_data!$E351,EIAwtransport!$I$2:$I$675,Program_data!S$2)</f>
        <v>158285451.98410821</v>
      </c>
      <c r="T351" s="5">
        <f>SUMIFS(EIAwtransport!$J$2:$J$675,EIAwtransport!$E$2:$E$675,Program_data!$E351,EIAwtransport!$I$2:$I$675,Program_data!T$2)</f>
        <v>1074614</v>
      </c>
      <c r="U351" s="24">
        <f t="shared" ref="U351:U376" si="148">IFERROR(K351/10.36/S351,"")</f>
        <v>1.4468303116342289E-3</v>
      </c>
      <c r="V351" s="24">
        <f t="shared" ref="V351:V412" si="149">IFERROR(L351/10.36/S351,"")</f>
        <v>1.6075892351491432E-3</v>
      </c>
      <c r="W351" s="24">
        <f t="shared" ref="W351:W376" si="150">IFERROR(M351/R351,"")</f>
        <v>3.0771920989312293E-2</v>
      </c>
      <c r="X351" s="25">
        <f t="shared" ref="X351:X376" si="151">IFERROR(M351/S351/10.36,"")</f>
        <v>2.682827160231659E-2</v>
      </c>
      <c r="Y351" s="8">
        <f t="shared" si="137"/>
        <v>18.542790669082283</v>
      </c>
      <c r="Z351" s="27">
        <f t="shared" si="138"/>
        <v>2.8984971877448711</v>
      </c>
      <c r="AA351" s="27"/>
      <c r="AB351" s="27"/>
      <c r="AC351" s="56">
        <f t="shared" si="147"/>
        <v>2.3627208288551606E-2</v>
      </c>
      <c r="AD351" s="20">
        <f t="shared" si="146"/>
        <v>59391900.000000007</v>
      </c>
      <c r="AE351" s="20">
        <f t="shared" si="139"/>
        <v>0</v>
      </c>
      <c r="AF351" s="20">
        <f t="shared" si="140"/>
        <v>1930068000.0000002</v>
      </c>
      <c r="AG351">
        <f t="shared" si="141"/>
        <v>250258291.90518853</v>
      </c>
      <c r="AH351">
        <f t="shared" si="142"/>
        <v>278064768.78354281</v>
      </c>
      <c r="AI351">
        <f t="shared" si="143"/>
        <v>16695949475.283735</v>
      </c>
    </row>
    <row r="352" spans="2:35" x14ac:dyDescent="0.25">
      <c r="B352" s="4">
        <v>2023</v>
      </c>
      <c r="C352" s="4" t="s">
        <v>33</v>
      </c>
      <c r="D352" s="1" t="s">
        <v>81</v>
      </c>
      <c r="E352" s="4" t="str">
        <f t="shared" si="145"/>
        <v>FortisBC-CAN</v>
      </c>
      <c r="F352" s="4" t="s">
        <v>146</v>
      </c>
      <c r="G352" s="4"/>
      <c r="H352" s="11"/>
      <c r="I352" s="11"/>
      <c r="J352" s="4" t="s">
        <v>142</v>
      </c>
      <c r="K352" s="5">
        <v>5343944.4605359994</v>
      </c>
      <c r="L352" s="5">
        <f>K352/_xlfn.XLOOKUP(C352,'Utility target list'!$K$2:$K$8,'Utility target list'!$L$2:$L$8,1,0,1)</f>
        <v>5937716.0672622211</v>
      </c>
      <c r="M352" s="8">
        <v>26570000</v>
      </c>
      <c r="N352" s="8"/>
      <c r="O352" s="8">
        <f>SUMIFS(EIAwtransport!$J$2:$J$675,EIAwtransport!$E$2:$E$675,Program_data!$E352,EIAwtransport!$H$2:$H$675,Program_data!$F352,EIAwtransport!$I$2:$I$675,Program_data!O$2)</f>
        <v>555000000</v>
      </c>
      <c r="P352" s="5">
        <f>SUMIFS(EIAwtransport!$J$2:$J$675,EIAwtransport!$E$2:$E$675,Program_data!$E352,EIAwtransport!$H$2:$H$675,Program_data!$F352,EIAwtransport!$I$2:$I$675,Program_data!P$2)</f>
        <v>75825366.219932109</v>
      </c>
      <c r="Q352" s="5">
        <f>SUMIFS(EIAwtransport!$J$2:$J$675,EIAwtransport!$E$2:$E$675,Program_data!$E352,EIAwtransport!$H$2:$H$675,Program_data!$F352,EIAwtransport!$I$2:$I$675,Program_data!Q$2)</f>
        <v>98444</v>
      </c>
      <c r="R352" s="8">
        <f>SUMIFS(EIAwtransport!$J$2:$J$675,EIAwtransport!$E$2:$E$675,Program_data!$E352,EIAwtransport!$I$2:$I$675,Program_data!R$2)</f>
        <v>1429680000</v>
      </c>
      <c r="S352" s="5">
        <f>SUMIFS(EIAwtransport!$J$2:$J$675,EIAwtransport!$E$2:$E$675,Program_data!$E352,EIAwtransport!$I$2:$I$675,Program_data!S$2)</f>
        <v>158285451.98410821</v>
      </c>
      <c r="T352" s="5">
        <f>SUMIFS(EIAwtransport!$J$2:$J$675,EIAwtransport!$E$2:$E$675,Program_data!$E352,EIAwtransport!$I$2:$I$675,Program_data!T$2)</f>
        <v>1074614</v>
      </c>
      <c r="U352" s="24">
        <f t="shared" si="148"/>
        <v>3.2588260538926905E-3</v>
      </c>
      <c r="V352" s="24">
        <f t="shared" si="149"/>
        <v>3.6209178376585445E-3</v>
      </c>
      <c r="W352" s="24">
        <f t="shared" si="150"/>
        <v>1.8584578367187063E-2</v>
      </c>
      <c r="X352" s="25">
        <f t="shared" si="151"/>
        <v>1.6202827123552116E-2</v>
      </c>
      <c r="Y352" s="8">
        <f t="shared" si="137"/>
        <v>2.3512764307243987</v>
      </c>
      <c r="Z352" s="27">
        <f t="shared" si="138"/>
        <v>1.7505357612033736</v>
      </c>
      <c r="AA352" s="27"/>
      <c r="AB352" s="27"/>
      <c r="AC352" s="56">
        <f t="shared" si="147"/>
        <v>5.3217686505690781E-2</v>
      </c>
      <c r="AD352" s="20">
        <f t="shared" si="146"/>
        <v>35869500</v>
      </c>
      <c r="AE352" s="20">
        <f t="shared" si="139"/>
        <v>0</v>
      </c>
      <c r="AF352" s="20">
        <f t="shared" si="140"/>
        <v>1930068000.0000002</v>
      </c>
      <c r="AG352">
        <f t="shared" si="141"/>
        <v>563679261.69733727</v>
      </c>
      <c r="AH352">
        <f t="shared" si="142"/>
        <v>626310290.77481914</v>
      </c>
      <c r="AI352">
        <f t="shared" si="143"/>
        <v>16695949475.283735</v>
      </c>
    </row>
    <row r="353" spans="1:35" x14ac:dyDescent="0.25">
      <c r="B353" s="4">
        <v>2023</v>
      </c>
      <c r="C353" s="4" t="s">
        <v>33</v>
      </c>
      <c r="D353" s="1" t="s">
        <v>81</v>
      </c>
      <c r="E353" s="4" t="str">
        <f t="shared" si="145"/>
        <v>FortisBC-CAN</v>
      </c>
      <c r="F353" s="4" t="s">
        <v>146</v>
      </c>
      <c r="G353" s="4"/>
      <c r="H353" s="11"/>
      <c r="I353" s="11"/>
      <c r="J353" s="4" t="s">
        <v>142</v>
      </c>
      <c r="K353" s="5">
        <v>5956300.6543330001</v>
      </c>
      <c r="L353" s="5">
        <f>K353/_xlfn.XLOOKUP(C353,'Utility target list'!$K$2:$K$8,'Utility target list'!$L$2:$L$8,1,0,1)</f>
        <v>6618111.8381477781</v>
      </c>
      <c r="M353" s="8">
        <v>6848000</v>
      </c>
      <c r="N353" s="8"/>
      <c r="O353" s="8">
        <f>SUMIFS(EIAwtransport!$J$2:$J$675,EIAwtransport!$E$2:$E$675,Program_data!$E353,EIAwtransport!$H$2:$H$675,Program_data!$F353,EIAwtransport!$I$2:$I$675,Program_data!O$2)</f>
        <v>555000000</v>
      </c>
      <c r="P353" s="5">
        <f>SUMIFS(EIAwtransport!$J$2:$J$675,EIAwtransport!$E$2:$E$675,Program_data!$E353,EIAwtransport!$H$2:$H$675,Program_data!$F353,EIAwtransport!$I$2:$I$675,Program_data!P$2)</f>
        <v>75825366.219932109</v>
      </c>
      <c r="Q353" s="5">
        <f>SUMIFS(EIAwtransport!$J$2:$J$675,EIAwtransport!$E$2:$E$675,Program_data!$E353,EIAwtransport!$H$2:$H$675,Program_data!$F353,EIAwtransport!$I$2:$I$675,Program_data!Q$2)</f>
        <v>98444</v>
      </c>
      <c r="R353" s="8">
        <f>SUMIFS(EIAwtransport!$J$2:$J$675,EIAwtransport!$E$2:$E$675,Program_data!$E353,EIAwtransport!$I$2:$I$675,Program_data!R$2)</f>
        <v>1429680000</v>
      </c>
      <c r="S353" s="5">
        <f>SUMIFS(EIAwtransport!$J$2:$J$675,EIAwtransport!$E$2:$E$675,Program_data!$E353,EIAwtransport!$I$2:$I$675,Program_data!S$2)</f>
        <v>158285451.98410821</v>
      </c>
      <c r="T353" s="5">
        <f>SUMIFS(EIAwtransport!$J$2:$J$675,EIAwtransport!$E$2:$E$675,Program_data!$E353,EIAwtransport!$I$2:$I$675,Program_data!T$2)</f>
        <v>1074614</v>
      </c>
      <c r="U353" s="24">
        <f t="shared" si="148"/>
        <v>3.6322510274015038E-3</v>
      </c>
      <c r="V353" s="24">
        <f t="shared" si="149"/>
        <v>4.0358344748905595E-3</v>
      </c>
      <c r="W353" s="24">
        <f t="shared" si="150"/>
        <v>4.7898830507526156E-3</v>
      </c>
      <c r="X353" s="25">
        <f t="shared" si="151"/>
        <v>4.1760240926640912E-3</v>
      </c>
      <c r="Y353" s="8">
        <f t="shared" si="137"/>
        <v>0.60600455391797825</v>
      </c>
      <c r="Z353" s="27">
        <f t="shared" si="138"/>
        <v>0.45117308591346267</v>
      </c>
      <c r="AA353" s="27"/>
      <c r="AB353" s="27"/>
      <c r="AC353" s="56">
        <f t="shared" si="147"/>
        <v>5.9315837448681345E-2</v>
      </c>
      <c r="AD353" s="20">
        <f t="shared" si="146"/>
        <v>9244800</v>
      </c>
      <c r="AE353" s="20">
        <f t="shared" si="139"/>
        <v>0</v>
      </c>
      <c r="AF353" s="20">
        <f t="shared" si="140"/>
        <v>1930068000.0000002</v>
      </c>
      <c r="AG353">
        <f t="shared" si="141"/>
        <v>628270593.01904488</v>
      </c>
      <c r="AH353">
        <f t="shared" si="142"/>
        <v>698078436.68782771</v>
      </c>
      <c r="AI353">
        <f t="shared" si="143"/>
        <v>16695949475.283735</v>
      </c>
    </row>
    <row r="354" spans="1:35" x14ac:dyDescent="0.25">
      <c r="B354" s="4">
        <v>2023</v>
      </c>
      <c r="C354" s="4" t="s">
        <v>33</v>
      </c>
      <c r="D354" s="1" t="s">
        <v>81</v>
      </c>
      <c r="E354" s="4" t="str">
        <f t="shared" si="145"/>
        <v>FortisBC-CAN</v>
      </c>
      <c r="F354" s="4" t="s">
        <v>143</v>
      </c>
      <c r="G354" s="4">
        <v>1</v>
      </c>
      <c r="H354" s="11"/>
      <c r="I354" s="11"/>
      <c r="J354" s="4" t="s">
        <v>108</v>
      </c>
      <c r="K354" s="5">
        <v>733686.26076799992</v>
      </c>
      <c r="L354" s="5">
        <f>K354/_xlfn.XLOOKUP(C354,'Utility target list'!$K$2:$K$8,'Utility target list'!$L$2:$L$8,1,0,1)</f>
        <v>815206.9564088888</v>
      </c>
      <c r="M354" s="8">
        <v>13251000</v>
      </c>
      <c r="N354" s="8"/>
      <c r="O354" s="8">
        <f>SUMIFS(EIAwtransport!$J$2:$J$675,EIAwtransport!$E$2:$E$675,Program_data!$E354,EIAwtransport!$H$2:$H$675,Program_data!$F354,EIAwtransport!$I$2:$I$675,Program_data!O$2)</f>
        <v>0</v>
      </c>
      <c r="P354" s="5">
        <f>SUMIFS(EIAwtransport!$J$2:$J$675,EIAwtransport!$E$2:$E$675,Program_data!$E354,EIAwtransport!$H$2:$H$675,Program_data!$F354,EIAwtransport!$I$2:$I$675,Program_data!P$2)</f>
        <v>0</v>
      </c>
      <c r="Q354" s="5">
        <f>SUMIFS(EIAwtransport!$J$2:$J$675,EIAwtransport!$E$2:$E$675,Program_data!$E354,EIAwtransport!$H$2:$H$675,Program_data!$F354,EIAwtransport!$I$2:$I$675,Program_data!Q$2)</f>
        <v>0</v>
      </c>
      <c r="R354" s="8">
        <f>SUMIFS(EIAwtransport!$J$2:$J$675,EIAwtransport!$E$2:$E$675,Program_data!$E354,EIAwtransport!$I$2:$I$675,Program_data!R$2)</f>
        <v>1429680000</v>
      </c>
      <c r="S354" s="5">
        <f>SUMIFS(EIAwtransport!$J$2:$J$675,EIAwtransport!$E$2:$E$675,Program_data!$E354,EIAwtransport!$I$2:$I$675,Program_data!S$2)</f>
        <v>158285451.98410821</v>
      </c>
      <c r="T354" s="5">
        <f>SUMIFS(EIAwtransport!$J$2:$J$675,EIAwtransport!$E$2:$E$675,Program_data!$E354,EIAwtransport!$I$2:$I$675,Program_data!T$2)</f>
        <v>1074614</v>
      </c>
      <c r="U354" s="24">
        <f t="shared" si="148"/>
        <v>4.4741406270791426E-4</v>
      </c>
      <c r="V354" s="24">
        <f t="shared" si="149"/>
        <v>4.9712673634212689E-4</v>
      </c>
      <c r="W354" s="24">
        <f t="shared" si="150"/>
        <v>9.2685076380728555E-3</v>
      </c>
      <c r="X354" s="25">
        <f t="shared" si="151"/>
        <v>8.0806797972972945E-3</v>
      </c>
      <c r="Y354" s="8">
        <f t="shared" si="137"/>
        <v>18.060853403645947</v>
      </c>
      <c r="Z354" s="27">
        <f t="shared" si="138"/>
        <v>0.87302782731298101</v>
      </c>
      <c r="AA354" s="27"/>
      <c r="AB354" s="27"/>
      <c r="AC354" s="56">
        <f t="shared" si="147"/>
        <v>7.306416769003561E-3</v>
      </c>
      <c r="AD354" s="20">
        <f t="shared" si="146"/>
        <v>17888850</v>
      </c>
      <c r="AE354" s="20">
        <f t="shared" si="139"/>
        <v>0</v>
      </c>
      <c r="AF354" s="20">
        <f t="shared" si="140"/>
        <v>1930068000.0000002</v>
      </c>
      <c r="AG354">
        <f t="shared" si="141"/>
        <v>77389226.785808638</v>
      </c>
      <c r="AH354">
        <f t="shared" si="142"/>
        <v>85988029.762009591</v>
      </c>
      <c r="AI354">
        <f t="shared" si="143"/>
        <v>16695949475.283735</v>
      </c>
    </row>
    <row r="355" spans="1:35" x14ac:dyDescent="0.25">
      <c r="B355" s="4">
        <v>2023</v>
      </c>
      <c r="C355" s="4" t="s">
        <v>33</v>
      </c>
      <c r="D355" s="1" t="s">
        <v>81</v>
      </c>
      <c r="E355" s="4" t="str">
        <f t="shared" si="145"/>
        <v>FortisBC-CAN</v>
      </c>
      <c r="F355" s="4" t="s">
        <v>155</v>
      </c>
      <c r="G355" s="4"/>
      <c r="H355" s="11"/>
      <c r="I355" s="4" t="s">
        <v>167</v>
      </c>
      <c r="J355" s="4" t="s">
        <v>155</v>
      </c>
      <c r="K355" s="5">
        <v>771712.68281999999</v>
      </c>
      <c r="L355" s="5"/>
      <c r="M355" s="8">
        <v>9713000</v>
      </c>
      <c r="N355" s="8"/>
      <c r="O355" s="8">
        <f>SUMIFS(EIAwtransport!$J$2:$J$675,EIAwtransport!$E$2:$E$675,Program_data!$E355,EIAwtransport!$H$2:$H$675,Program_data!$F355,EIAwtransport!$I$2:$I$675,Program_data!O$2)</f>
        <v>0</v>
      </c>
      <c r="P355" s="5">
        <f>SUMIFS(EIAwtransport!$J$2:$J$675,EIAwtransport!$E$2:$E$675,Program_data!$E355,EIAwtransport!$H$2:$H$675,Program_data!$F355,EIAwtransport!$I$2:$I$675,Program_data!P$2)</f>
        <v>0</v>
      </c>
      <c r="Q355" s="5">
        <f>SUMIFS(EIAwtransport!$J$2:$J$675,EIAwtransport!$E$2:$E$675,Program_data!$E355,EIAwtransport!$H$2:$H$675,Program_data!$F355,EIAwtransport!$I$2:$I$675,Program_data!Q$2)</f>
        <v>0</v>
      </c>
      <c r="R355" s="8">
        <f>SUMIFS(EIAwtransport!$J$2:$J$675,EIAwtransport!$E$2:$E$675,Program_data!$E355,EIAwtransport!$I$2:$I$675,Program_data!R$2)</f>
        <v>1429680000</v>
      </c>
      <c r="S355" s="5">
        <f>SUMIFS(EIAwtransport!$J$2:$J$675,EIAwtransport!$E$2:$E$675,Program_data!$E355,EIAwtransport!$I$2:$I$675,Program_data!S$2)</f>
        <v>158285451.98410821</v>
      </c>
      <c r="T355" s="5">
        <f>SUMIFS(EIAwtransport!$J$2:$J$675,EIAwtransport!$E$2:$E$675,Program_data!$E355,EIAwtransport!$I$2:$I$675,Program_data!T$2)</f>
        <v>1074614</v>
      </c>
      <c r="U355" s="24">
        <f t="shared" si="148"/>
        <v>4.7060320620192196E-4</v>
      </c>
      <c r="V355" s="24">
        <f t="shared" si="149"/>
        <v>0</v>
      </c>
      <c r="W355" s="24">
        <f t="shared" si="150"/>
        <v>6.7938279894801633E-3</v>
      </c>
      <c r="X355" s="25">
        <f t="shared" si="151"/>
        <v>5.9231486583011562E-3</v>
      </c>
      <c r="Y355" s="8">
        <f t="shared" si="137"/>
        <v>12.586290488976625</v>
      </c>
      <c r="Z355" s="27">
        <f t="shared" si="138"/>
        <v>0.63993051744705942</v>
      </c>
      <c r="AA355" s="27"/>
      <c r="AB355" s="27"/>
      <c r="AC355" s="56">
        <f t="shared" si="147"/>
        <v>7.6851030039824051E-3</v>
      </c>
      <c r="AD355" s="20">
        <f t="shared" si="146"/>
        <v>13112550</v>
      </c>
      <c r="AE355" s="20">
        <f t="shared" si="139"/>
        <v>0</v>
      </c>
      <c r="AF355" s="20">
        <f t="shared" si="140"/>
        <v>1930068000.0000002</v>
      </c>
      <c r="AG355">
        <f t="shared" si="141"/>
        <v>81400253.783853605</v>
      </c>
      <c r="AH355">
        <f t="shared" si="142"/>
        <v>0</v>
      </c>
      <c r="AI355">
        <f t="shared" si="143"/>
        <v>16695949475.283735</v>
      </c>
    </row>
    <row r="356" spans="1:35" x14ac:dyDescent="0.25">
      <c r="B356" s="4">
        <v>2023</v>
      </c>
      <c r="C356" s="4" t="s">
        <v>33</v>
      </c>
      <c r="D356" s="1" t="s">
        <v>81</v>
      </c>
      <c r="E356" s="4" t="str">
        <f t="shared" si="145"/>
        <v>FortisBC-CAN</v>
      </c>
      <c r="F356" s="4" t="s">
        <v>155</v>
      </c>
      <c r="G356" s="4"/>
      <c r="H356" s="11"/>
      <c r="I356" s="4" t="s">
        <v>167</v>
      </c>
      <c r="J356" s="4" t="s">
        <v>155</v>
      </c>
      <c r="K356" s="5"/>
      <c r="L356" s="5"/>
      <c r="M356" s="8">
        <v>40700</v>
      </c>
      <c r="N356" s="8"/>
      <c r="O356" s="8">
        <f>SUMIFS(EIAwtransport!$J$2:$J$675,EIAwtransport!$E$2:$E$675,Program_data!$E356,EIAwtransport!$H$2:$H$675,Program_data!$F356,EIAwtransport!$I$2:$I$675,Program_data!O$2)</f>
        <v>0</v>
      </c>
      <c r="P356" s="5">
        <f>SUMIFS(EIAwtransport!$J$2:$J$675,EIAwtransport!$E$2:$E$675,Program_data!$E356,EIAwtransport!$H$2:$H$675,Program_data!$F356,EIAwtransport!$I$2:$I$675,Program_data!P$2)</f>
        <v>0</v>
      </c>
      <c r="Q356" s="5">
        <f>SUMIFS(EIAwtransport!$J$2:$J$675,EIAwtransport!$E$2:$E$675,Program_data!$E356,EIAwtransport!$H$2:$H$675,Program_data!$F356,EIAwtransport!$I$2:$I$675,Program_data!Q$2)</f>
        <v>0</v>
      </c>
      <c r="R356" s="8">
        <f>SUMIFS(EIAwtransport!$J$2:$J$675,EIAwtransport!$E$2:$E$675,Program_data!$E356,EIAwtransport!$I$2:$I$675,Program_data!R$2)</f>
        <v>1429680000</v>
      </c>
      <c r="S356" s="5">
        <f>SUMIFS(EIAwtransport!$J$2:$J$675,EIAwtransport!$E$2:$E$675,Program_data!$E356,EIAwtransport!$I$2:$I$675,Program_data!S$2)</f>
        <v>158285451.98410821</v>
      </c>
      <c r="T356" s="5">
        <f>SUMIFS(EIAwtransport!$J$2:$J$675,EIAwtransport!$E$2:$E$675,Program_data!$E356,EIAwtransport!$I$2:$I$675,Program_data!T$2)</f>
        <v>1074614</v>
      </c>
      <c r="U356" s="24">
        <f t="shared" si="148"/>
        <v>0</v>
      </c>
      <c r="V356" s="24">
        <f t="shared" si="149"/>
        <v>0</v>
      </c>
      <c r="W356" s="24">
        <f t="shared" si="150"/>
        <v>2.846790890269151E-5</v>
      </c>
      <c r="X356" s="25">
        <f t="shared" si="151"/>
        <v>2.4819535714285707E-5</v>
      </c>
      <c r="Y356" s="8">
        <f t="shared" si="137"/>
        <v>5.2739835571023228E-2</v>
      </c>
      <c r="Z356" s="27">
        <f t="shared" si="138"/>
        <v>2.6814755544214267E-3</v>
      </c>
      <c r="AA356" s="27"/>
      <c r="AB356" s="27"/>
      <c r="AC356" s="56">
        <f t="shared" si="147"/>
        <v>0</v>
      </c>
      <c r="AD356" s="20">
        <f t="shared" si="146"/>
        <v>54945</v>
      </c>
      <c r="AE356" s="20">
        <f t="shared" si="139"/>
        <v>0</v>
      </c>
      <c r="AF356" s="20">
        <f t="shared" si="140"/>
        <v>1930068000.0000002</v>
      </c>
      <c r="AG356">
        <f t="shared" si="141"/>
        <v>0</v>
      </c>
      <c r="AH356">
        <f t="shared" si="142"/>
        <v>0</v>
      </c>
      <c r="AI356">
        <f t="shared" si="143"/>
        <v>16695949475.283735</v>
      </c>
    </row>
    <row r="357" spans="1:35" x14ac:dyDescent="0.25">
      <c r="B357" s="4">
        <v>2023</v>
      </c>
      <c r="C357" s="4" t="s">
        <v>33</v>
      </c>
      <c r="D357" s="1" t="s">
        <v>77</v>
      </c>
      <c r="E357" s="4" t="str">
        <f t="shared" si="145"/>
        <v>Enbridge-CAN</v>
      </c>
      <c r="F357" s="4" t="s">
        <v>135</v>
      </c>
      <c r="G357" s="4"/>
      <c r="H357" s="11"/>
      <c r="I357" s="11"/>
      <c r="J357" s="4" t="s">
        <v>155</v>
      </c>
      <c r="K357" s="5"/>
      <c r="L357" s="5">
        <f>K357/_xlfn.XLOOKUP(C357,'Utility target list'!$K$2:$K$8,'Utility target list'!$L$2:$L$8,1,0,1)</f>
        <v>0</v>
      </c>
      <c r="M357" s="8"/>
      <c r="N357" s="8"/>
      <c r="O357" s="8">
        <f>SUMIFS(EIAwtransport!$J$2:$J$675,EIAwtransport!$E$2:$E$675,Program_data!$E357,EIAwtransport!$H$2:$H$675,Program_data!$F357,EIAwtransport!$I$2:$I$675,Program_data!O$2)</f>
        <v>1047994412.7701588</v>
      </c>
      <c r="P357" s="5">
        <f>SUMIFS(EIAwtransport!$J$2:$J$675,EIAwtransport!$E$2:$E$675,Program_data!$E357,EIAwtransport!$H$2:$H$675,Program_data!$F357,EIAwtransport!$I$2:$I$675,Program_data!P$2)</f>
        <v>270776347.77599996</v>
      </c>
      <c r="Q357" s="5">
        <f>SUMIFS(EIAwtransport!$J$2:$J$675,EIAwtransport!$E$2:$E$675,Program_data!$E357,EIAwtransport!$H$2:$H$675,Program_data!$F357,EIAwtransport!$I$2:$I$675,Program_data!Q$2)</f>
        <v>3711979</v>
      </c>
      <c r="R357" s="8">
        <f>SUMIFS(EIAwtransport!$J$2:$J$675,EIAwtransport!$E$2:$E$675,Program_data!$E357,EIAwtransport!$I$2:$I$675,Program_data!R$2)</f>
        <v>3425062807.5999999</v>
      </c>
      <c r="S357" s="5">
        <f>SUMIFS(EIAwtransport!$J$2:$J$675,EIAwtransport!$E$2:$E$675,Program_data!$E357,EIAwtransport!$I$2:$I$675,Program_data!S$2)</f>
        <v>884953189.29599977</v>
      </c>
      <c r="T357" s="5">
        <f>SUMIFS(EIAwtransport!$J$2:$J$675,EIAwtransport!$E$2:$E$675,Program_data!$E357,EIAwtransport!$I$2:$I$675,Program_data!T$2)</f>
        <v>3728492</v>
      </c>
      <c r="U357" s="24">
        <f t="shared" si="148"/>
        <v>0</v>
      </c>
      <c r="V357" s="24">
        <f t="shared" si="149"/>
        <v>0</v>
      </c>
      <c r="W357" s="24">
        <f t="shared" si="150"/>
        <v>0</v>
      </c>
      <c r="X357" s="25">
        <f t="shared" si="151"/>
        <v>0</v>
      </c>
      <c r="Y357" s="8">
        <f t="shared" si="137"/>
        <v>0</v>
      </c>
      <c r="Z357" s="27">
        <f t="shared" si="138"/>
        <v>0</v>
      </c>
      <c r="AA357" s="27"/>
      <c r="AB357" s="27"/>
      <c r="AC357" s="56" t="str">
        <f t="shared" si="147"/>
        <v/>
      </c>
      <c r="AD357" s="20">
        <f t="shared" si="146"/>
        <v>0</v>
      </c>
      <c r="AE357" s="20">
        <f t="shared" si="139"/>
        <v>0</v>
      </c>
      <c r="AF357" s="20">
        <f t="shared" si="140"/>
        <v>4623834790.2600002</v>
      </c>
      <c r="AG357">
        <f t="shared" si="141"/>
        <v>0</v>
      </c>
      <c r="AH357">
        <f t="shared" si="142"/>
        <v>0</v>
      </c>
      <c r="AI357">
        <f t="shared" si="143"/>
        <v>93344862406.942062</v>
      </c>
    </row>
    <row r="358" spans="1:35" x14ac:dyDescent="0.25">
      <c r="B358" s="4">
        <v>2023</v>
      </c>
      <c r="C358" s="4" t="s">
        <v>33</v>
      </c>
      <c r="D358" s="1" t="s">
        <v>77</v>
      </c>
      <c r="E358" s="4" t="str">
        <f t="shared" si="145"/>
        <v>Enbridge-CAN</v>
      </c>
      <c r="F358" s="4" t="s">
        <v>143</v>
      </c>
      <c r="G358" s="4">
        <v>1</v>
      </c>
      <c r="H358" s="11"/>
      <c r="I358" s="11"/>
      <c r="J358" s="4" t="s">
        <v>155</v>
      </c>
      <c r="K358" s="5"/>
      <c r="L358" s="5"/>
      <c r="M358" s="8"/>
      <c r="N358" s="8"/>
      <c r="O358" s="8">
        <f>SUMIFS(EIAwtransport!$J$2:$J$675,EIAwtransport!$E$2:$E$675,Program_data!$E358,EIAwtransport!$H$2:$H$675,Program_data!$F358,EIAwtransport!$I$2:$I$675,Program_data!O$2)</f>
        <v>0</v>
      </c>
      <c r="P358" s="5">
        <f>SUMIFS(EIAwtransport!$J$2:$J$675,EIAwtransport!$E$2:$E$675,Program_data!$E358,EIAwtransport!$H$2:$H$675,Program_data!$F358,EIAwtransport!$I$2:$I$675,Program_data!P$2)</f>
        <v>0</v>
      </c>
      <c r="Q358" s="5">
        <f>SUMIFS(EIAwtransport!$J$2:$J$675,EIAwtransport!$E$2:$E$675,Program_data!$E358,EIAwtransport!$H$2:$H$675,Program_data!$F358,EIAwtransport!$I$2:$I$675,Program_data!Q$2)</f>
        <v>0</v>
      </c>
      <c r="R358" s="8">
        <f>SUMIFS(EIAwtransport!$J$2:$J$675,EIAwtransport!$E$2:$E$675,Program_data!$E358,EIAwtransport!$I$2:$I$675,Program_data!R$2)</f>
        <v>3425062807.5999999</v>
      </c>
      <c r="S358" s="5">
        <f>SUMIFS(EIAwtransport!$J$2:$J$675,EIAwtransport!$E$2:$E$675,Program_data!$E358,EIAwtransport!$I$2:$I$675,Program_data!S$2)</f>
        <v>884953189.29599977</v>
      </c>
      <c r="T358" s="5">
        <f>SUMIFS(EIAwtransport!$J$2:$J$675,EIAwtransport!$E$2:$E$675,Program_data!$E358,EIAwtransport!$I$2:$I$675,Program_data!T$2)</f>
        <v>3728492</v>
      </c>
      <c r="U358" s="24">
        <f t="shared" si="148"/>
        <v>0</v>
      </c>
      <c r="V358" s="24">
        <f t="shared" si="149"/>
        <v>0</v>
      </c>
      <c r="W358" s="24">
        <f t="shared" si="150"/>
        <v>0</v>
      </c>
      <c r="X358" s="25">
        <f t="shared" si="151"/>
        <v>0</v>
      </c>
      <c r="Y358" s="8">
        <f t="shared" si="137"/>
        <v>0</v>
      </c>
      <c r="Z358" s="27">
        <f t="shared" si="138"/>
        <v>0</v>
      </c>
      <c r="AA358" s="27"/>
      <c r="AB358" s="27"/>
      <c r="AC358" s="56" t="str">
        <f t="shared" si="147"/>
        <v/>
      </c>
      <c r="AD358" s="20">
        <f t="shared" si="146"/>
        <v>0</v>
      </c>
      <c r="AE358" s="20">
        <f t="shared" si="139"/>
        <v>0</v>
      </c>
      <c r="AF358" s="20">
        <f t="shared" si="140"/>
        <v>4623834790.2600002</v>
      </c>
      <c r="AG358">
        <f t="shared" si="141"/>
        <v>0</v>
      </c>
      <c r="AH358">
        <f t="shared" si="142"/>
        <v>0</v>
      </c>
      <c r="AI358">
        <f t="shared" si="143"/>
        <v>93344862406.942062</v>
      </c>
    </row>
    <row r="359" spans="1:35" x14ac:dyDescent="0.25">
      <c r="B359" s="4">
        <v>2023</v>
      </c>
      <c r="C359" s="4" t="s">
        <v>33</v>
      </c>
      <c r="D359" s="1" t="s">
        <v>77</v>
      </c>
      <c r="E359" s="4" t="str">
        <f t="shared" si="145"/>
        <v>Enbridge-CAN</v>
      </c>
      <c r="F359" s="4" t="s">
        <v>146</v>
      </c>
      <c r="G359" s="4"/>
      <c r="H359" s="11"/>
      <c r="I359" s="11"/>
      <c r="J359" s="4" t="s">
        <v>155</v>
      </c>
      <c r="K359" s="5"/>
      <c r="L359" s="5">
        <f>K359/_xlfn.XLOOKUP(C359,'Utility target list'!$K$2:$K$8,'Utility target list'!$L$2:$L$8,1,0,1)</f>
        <v>0</v>
      </c>
      <c r="M359" s="8"/>
      <c r="N359" s="8"/>
      <c r="O359" s="8">
        <f>SUMIFS(EIAwtransport!$J$2:$J$675,EIAwtransport!$E$2:$E$675,Program_data!$E359,EIAwtransport!$H$2:$H$675,Program_data!$F359,EIAwtransport!$I$2:$I$675,Program_data!O$2)</f>
        <v>2377068394.8298411</v>
      </c>
      <c r="P359" s="5">
        <f>SUMIFS(EIAwtransport!$J$2:$J$675,EIAwtransport!$E$2:$E$675,Program_data!$E359,EIAwtransport!$H$2:$H$675,Program_data!$F359,EIAwtransport!$I$2:$I$675,Program_data!P$2)</f>
        <v>614176841.51999986</v>
      </c>
      <c r="Q359" s="5">
        <f>SUMIFS(EIAwtransport!$J$2:$J$675,EIAwtransport!$E$2:$E$675,Program_data!$E359,EIAwtransport!$H$2:$H$675,Program_data!$F359,EIAwtransport!$I$2:$I$675,Program_data!Q$2)</f>
        <v>16513</v>
      </c>
      <c r="R359" s="8">
        <f>SUMIFS(EIAwtransport!$J$2:$J$675,EIAwtransport!$E$2:$E$675,Program_data!$E359,EIAwtransport!$I$2:$I$675,Program_data!R$2)</f>
        <v>3425062807.5999999</v>
      </c>
      <c r="S359" s="5">
        <f>SUMIFS(EIAwtransport!$J$2:$J$675,EIAwtransport!$E$2:$E$675,Program_data!$E359,EIAwtransport!$I$2:$I$675,Program_data!S$2)</f>
        <v>884953189.29599977</v>
      </c>
      <c r="T359" s="5">
        <f>SUMIFS(EIAwtransport!$J$2:$J$675,EIAwtransport!$E$2:$E$675,Program_data!$E359,EIAwtransport!$I$2:$I$675,Program_data!T$2)</f>
        <v>3728492</v>
      </c>
      <c r="U359" s="24">
        <f t="shared" si="148"/>
        <v>0</v>
      </c>
      <c r="V359" s="24">
        <f t="shared" si="149"/>
        <v>0</v>
      </c>
      <c r="W359" s="24">
        <f t="shared" si="150"/>
        <v>0</v>
      </c>
      <c r="X359" s="25">
        <f t="shared" si="151"/>
        <v>0</v>
      </c>
      <c r="Y359" s="8">
        <f t="shared" si="137"/>
        <v>0</v>
      </c>
      <c r="Z359" s="27">
        <f t="shared" si="138"/>
        <v>0</v>
      </c>
      <c r="AA359" s="27"/>
      <c r="AB359" s="27"/>
      <c r="AC359" s="56" t="str">
        <f t="shared" si="147"/>
        <v/>
      </c>
      <c r="AD359" s="20">
        <f t="shared" si="146"/>
        <v>0</v>
      </c>
      <c r="AE359" s="20">
        <f t="shared" si="139"/>
        <v>0</v>
      </c>
      <c r="AF359" s="20">
        <f t="shared" si="140"/>
        <v>4623834790.2600002</v>
      </c>
      <c r="AG359">
        <f t="shared" si="141"/>
        <v>0</v>
      </c>
      <c r="AH359">
        <f t="shared" si="142"/>
        <v>0</v>
      </c>
      <c r="AI359">
        <f t="shared" si="143"/>
        <v>93344862406.942062</v>
      </c>
    </row>
    <row r="360" spans="1:35" x14ac:dyDescent="0.25">
      <c r="B360" s="4">
        <v>2023</v>
      </c>
      <c r="C360" s="4" t="s">
        <v>33</v>
      </c>
      <c r="D360" s="1" t="s">
        <v>77</v>
      </c>
      <c r="E360" s="4" t="str">
        <f t="shared" si="145"/>
        <v>Enbridge-CAN</v>
      </c>
      <c r="F360" s="4" t="s">
        <v>155</v>
      </c>
      <c r="G360" s="4"/>
      <c r="H360" s="11"/>
      <c r="I360" s="4" t="s">
        <v>167</v>
      </c>
      <c r="J360" s="4" t="s">
        <v>155</v>
      </c>
      <c r="K360" s="5"/>
      <c r="L360" s="5"/>
      <c r="M360" s="8"/>
      <c r="N360" s="8"/>
      <c r="O360" s="8">
        <f>SUMIFS(EIAwtransport!$J$2:$J$675,EIAwtransport!$E$2:$E$675,Program_data!$E360,EIAwtransport!$H$2:$H$675,Program_data!$F360,EIAwtransport!$I$2:$I$675,Program_data!O$2)</f>
        <v>0</v>
      </c>
      <c r="P360" s="5">
        <f>SUMIFS(EIAwtransport!$J$2:$J$675,EIAwtransport!$E$2:$E$675,Program_data!$E360,EIAwtransport!$H$2:$H$675,Program_data!$F360,EIAwtransport!$I$2:$I$675,Program_data!P$2)</f>
        <v>0</v>
      </c>
      <c r="Q360" s="5">
        <f>SUMIFS(EIAwtransport!$J$2:$J$675,EIAwtransport!$E$2:$E$675,Program_data!$E360,EIAwtransport!$H$2:$H$675,Program_data!$F360,EIAwtransport!$I$2:$I$675,Program_data!Q$2)</f>
        <v>0</v>
      </c>
      <c r="R360" s="8">
        <f>SUMIFS(EIAwtransport!$J$2:$J$675,EIAwtransport!$E$2:$E$675,Program_data!$E360,EIAwtransport!$I$2:$I$675,Program_data!R$2)</f>
        <v>3425062807.5999999</v>
      </c>
      <c r="S360" s="5">
        <f>SUMIFS(EIAwtransport!$J$2:$J$675,EIAwtransport!$E$2:$E$675,Program_data!$E360,EIAwtransport!$I$2:$I$675,Program_data!S$2)</f>
        <v>884953189.29599977</v>
      </c>
      <c r="T360" s="5">
        <f>SUMIFS(EIAwtransport!$J$2:$J$675,EIAwtransport!$E$2:$E$675,Program_data!$E360,EIAwtransport!$I$2:$I$675,Program_data!T$2)</f>
        <v>3728492</v>
      </c>
      <c r="U360" s="24">
        <f t="shared" si="148"/>
        <v>0</v>
      </c>
      <c r="V360" s="24">
        <f t="shared" si="149"/>
        <v>0</v>
      </c>
      <c r="W360" s="24">
        <f t="shared" si="150"/>
        <v>0</v>
      </c>
      <c r="X360" s="25">
        <f t="shared" si="151"/>
        <v>0</v>
      </c>
      <c r="Y360" s="8" t="str">
        <f t="shared" si="137"/>
        <v/>
      </c>
      <c r="Z360" s="27">
        <f t="shared" si="138"/>
        <v>0</v>
      </c>
      <c r="AA360" s="27"/>
      <c r="AB360" s="27"/>
      <c r="AC360" s="56" t="str">
        <f t="shared" si="147"/>
        <v/>
      </c>
      <c r="AD360" s="20">
        <f t="shared" si="146"/>
        <v>0</v>
      </c>
      <c r="AE360" s="20">
        <f t="shared" si="139"/>
        <v>0</v>
      </c>
      <c r="AF360" s="20">
        <f t="shared" si="140"/>
        <v>4623834790.2600002</v>
      </c>
      <c r="AG360">
        <f t="shared" si="141"/>
        <v>0</v>
      </c>
      <c r="AH360">
        <f t="shared" si="142"/>
        <v>0</v>
      </c>
      <c r="AI360">
        <f t="shared" si="143"/>
        <v>93344862406.942062</v>
      </c>
    </row>
    <row r="361" spans="1:35" x14ac:dyDescent="0.25">
      <c r="A361" t="s">
        <v>310</v>
      </c>
      <c r="B361" s="4">
        <v>2024</v>
      </c>
      <c r="C361" s="4" t="s">
        <v>28</v>
      </c>
      <c r="D361" s="1" t="s">
        <v>311</v>
      </c>
      <c r="E361" s="4" t="str">
        <f t="shared" si="145"/>
        <v>North Shore-IL</v>
      </c>
      <c r="F361" s="4" t="s">
        <v>135</v>
      </c>
      <c r="G361" s="4"/>
      <c r="H361" s="11"/>
      <c r="I361" s="11"/>
      <c r="J361" s="4" t="s">
        <v>21</v>
      </c>
      <c r="K361" s="5">
        <v>531479</v>
      </c>
      <c r="L361" s="5">
        <f>K361/_xlfn.XLOOKUP(C361,'Utility target list'!$K$2:$K$8,'Utility target list'!$L$2:$L$8,1,0,1)</f>
        <v>590532.22222222225</v>
      </c>
      <c r="M361" s="8">
        <v>1168715</v>
      </c>
      <c r="N361" s="39"/>
      <c r="O361" s="8">
        <f>SUMIFS(EIAwtransport!$J$2:$J$675,EIAwtransport!$E$2:$E$675,Program_data!$E361,EIAwtransport!$H$2:$H$675,Program_data!$F361,EIAwtransport!$I$2:$I$675,Program_data!O$2)</f>
        <v>167544558</v>
      </c>
      <c r="P361" s="5">
        <f>SUMIFS(EIAwtransport!$J$2:$J$675,EIAwtransport!$E$2:$E$675,Program_data!$E361,EIAwtransport!$H$2:$H$675,Program_data!$F361,EIAwtransport!$I$2:$I$675,Program_data!P$2)</f>
        <v>18513926</v>
      </c>
      <c r="Q361" s="5">
        <f>SUMIFS(EIAwtransport!$J$2:$J$675,EIAwtransport!$E$2:$E$675,Program_data!$E361,EIAwtransport!$H$2:$H$675,Program_data!$F361,EIAwtransport!$I$2:$I$675,Program_data!Q$2)</f>
        <v>151220</v>
      </c>
      <c r="R361" s="8">
        <f>SUMIFS(EIAwtransport!$J$2:$J$675,EIAwtransport!$E$2:$E$675,Program_data!$E361,EIAwtransport!$I$2:$I$675,Program_data!R$2)</f>
        <v>217334481</v>
      </c>
      <c r="S361" s="5">
        <f>SUMIFS(EIAwtransport!$J$2:$J$675,EIAwtransport!$E$2:$E$675,Program_data!$E361,EIAwtransport!$I$2:$I$675,Program_data!S$2)</f>
        <v>32931441</v>
      </c>
      <c r="T361" s="5">
        <f>SUMIFS(EIAwtransport!$J$2:$J$675,EIAwtransport!$E$2:$E$675,Program_data!$E361,EIAwtransport!$I$2:$I$675,Program_data!T$2)</f>
        <v>163669</v>
      </c>
      <c r="U361" s="24">
        <f t="shared" si="148"/>
        <v>1.5578140590951299E-3</v>
      </c>
      <c r="V361" s="24">
        <f t="shared" si="149"/>
        <v>1.7309045101056998E-3</v>
      </c>
      <c r="W361" s="24">
        <f t="shared" si="150"/>
        <v>5.3774946093344484E-3</v>
      </c>
      <c r="X361" s="25">
        <f t="shared" si="151"/>
        <v>3.4256116574227103E-3</v>
      </c>
      <c r="Y361" s="8">
        <f t="shared" si="137"/>
        <v>2.1990276008572467</v>
      </c>
      <c r="Z361" s="27">
        <f t="shared" si="138"/>
        <v>0.78527634156092418</v>
      </c>
      <c r="AA361" s="27"/>
      <c r="AB361" s="27"/>
      <c r="AC361" s="56">
        <f t="shared" si="147"/>
        <v>7.1857240318764018E-2</v>
      </c>
      <c r="AD361" s="20">
        <f t="shared" si="146"/>
        <v>1577765.25</v>
      </c>
      <c r="AE361" s="20">
        <f t="shared" si="139"/>
        <v>0</v>
      </c>
      <c r="AF361" s="20">
        <f t="shared" si="140"/>
        <v>293401549.35000002</v>
      </c>
      <c r="AG361">
        <f t="shared" si="141"/>
        <v>56060404.920000002</v>
      </c>
      <c r="AH361">
        <f t="shared" si="142"/>
        <v>62289338.800000004</v>
      </c>
      <c r="AI361">
        <f t="shared" si="143"/>
        <v>3473608396.6800003</v>
      </c>
    </row>
    <row r="362" spans="1:35" ht="15.95" customHeight="1" x14ac:dyDescent="0.25">
      <c r="A362" t="s">
        <v>310</v>
      </c>
      <c r="B362" s="4">
        <v>2024</v>
      </c>
      <c r="C362" s="4" t="s">
        <v>28</v>
      </c>
      <c r="D362" s="1" t="s">
        <v>311</v>
      </c>
      <c r="E362" s="4" t="str">
        <f t="shared" si="145"/>
        <v>North Shore-IL</v>
      </c>
      <c r="F362" s="4" t="s">
        <v>143</v>
      </c>
      <c r="G362" s="4">
        <v>1</v>
      </c>
      <c r="H362" s="11"/>
      <c r="I362" s="11"/>
      <c r="J362" s="4" t="s">
        <v>21</v>
      </c>
      <c r="K362" s="5">
        <v>104071</v>
      </c>
      <c r="L362" s="5">
        <f>K362/_xlfn.XLOOKUP(C362,'Utility target list'!$K$2:$K$8,'Utility target list'!$L$2:$L$8,1,0,1)</f>
        <v>115634.44444444444</v>
      </c>
      <c r="M362" s="8">
        <v>773839</v>
      </c>
      <c r="N362" s="8"/>
      <c r="O362" s="8">
        <f>SUMIFS(EIAwtransport!$J$2:$J$675,EIAwtransport!$E$2:$E$675,Program_data!$E362,EIAwtransport!$H$2:$H$675,Program_data!$F362,EIAwtransport!$I$2:$I$675,Program_data!O$2)</f>
        <v>0</v>
      </c>
      <c r="P362" s="5">
        <f>SUMIFS(EIAwtransport!$J$2:$J$675,EIAwtransport!$E$2:$E$675,Program_data!$E362,EIAwtransport!$H$2:$H$675,Program_data!$F362,EIAwtransport!$I$2:$I$675,Program_data!P$2)</f>
        <v>0</v>
      </c>
      <c r="Q362" s="5">
        <f>SUMIFS(EIAwtransport!$J$2:$J$675,EIAwtransport!$E$2:$E$675,Program_data!$E362,EIAwtransport!$H$2:$H$675,Program_data!$F362,EIAwtransport!$I$2:$I$675,Program_data!Q$2)</f>
        <v>0</v>
      </c>
      <c r="R362" s="8">
        <f>SUMIFS(EIAwtransport!$J$2:$J$675,EIAwtransport!$E$2:$E$675,Program_data!$E362,EIAwtransport!$I$2:$I$675,Program_data!R$2)</f>
        <v>217334481</v>
      </c>
      <c r="S362" s="5">
        <f>SUMIFS(EIAwtransport!$J$2:$J$675,EIAwtransport!$E$2:$E$675,Program_data!$E362,EIAwtransport!$I$2:$I$675,Program_data!S$2)</f>
        <v>32931441</v>
      </c>
      <c r="T362" s="5">
        <f>SUMIFS(EIAwtransport!$J$2:$J$675,EIAwtransport!$E$2:$E$675,Program_data!$E362,EIAwtransport!$I$2:$I$675,Program_data!T$2)</f>
        <v>163669</v>
      </c>
      <c r="U362" s="24">
        <f t="shared" si="148"/>
        <v>3.0504171744149676E-4</v>
      </c>
      <c r="V362" s="24">
        <f t="shared" si="149"/>
        <v>3.3893524160166305E-4</v>
      </c>
      <c r="W362" s="24">
        <f t="shared" si="150"/>
        <v>3.5605900933869763E-3</v>
      </c>
      <c r="X362" s="25">
        <f t="shared" si="151"/>
        <v>2.2681936138137463E-3</v>
      </c>
      <c r="Y362" s="8">
        <f t="shared" si="137"/>
        <v>7.4356833315717159</v>
      </c>
      <c r="Z362" s="27">
        <f t="shared" si="138"/>
        <v>0.51995350352922998</v>
      </c>
      <c r="AA362" s="27"/>
      <c r="AB362" s="27"/>
      <c r="AC362" s="90">
        <f t="shared" si="147"/>
        <v>1.4070649747617667E-2</v>
      </c>
      <c r="AD362" s="20">
        <f t="shared" si="146"/>
        <v>1044682.65</v>
      </c>
      <c r="AE362" s="20">
        <f t="shared" si="139"/>
        <v>0</v>
      </c>
      <c r="AF362" s="20">
        <f t="shared" si="140"/>
        <v>293401549.35000002</v>
      </c>
      <c r="AG362">
        <f t="shared" si="141"/>
        <v>10977409.08</v>
      </c>
      <c r="AH362">
        <f t="shared" si="142"/>
        <v>12197121.199999999</v>
      </c>
      <c r="AI362">
        <f t="shared" si="143"/>
        <v>3473608396.6800003</v>
      </c>
    </row>
    <row r="363" spans="1:35" ht="15.95" customHeight="1" x14ac:dyDescent="0.25">
      <c r="B363" s="4">
        <v>2024</v>
      </c>
      <c r="C363" s="4" t="s">
        <v>28</v>
      </c>
      <c r="D363" s="1" t="s">
        <v>311</v>
      </c>
      <c r="E363" s="4" t="str">
        <f t="shared" ref="E363:E372" si="152">D363&amp;"-"&amp;C363</f>
        <v>North Shore-IL</v>
      </c>
      <c r="F363" s="4" t="s">
        <v>135</v>
      </c>
      <c r="G363" s="4"/>
      <c r="H363" s="11" t="s">
        <v>312</v>
      </c>
      <c r="I363" s="11"/>
      <c r="J363" s="4" t="s">
        <v>42</v>
      </c>
      <c r="K363" s="5">
        <v>22384</v>
      </c>
      <c r="L363" s="5">
        <f t="shared" ref="L363:L372" si="153">K363/0.9</f>
        <v>24871.111111111109</v>
      </c>
      <c r="M363" s="8">
        <v>27153</v>
      </c>
      <c r="N363" s="8">
        <v>24673</v>
      </c>
      <c r="O363" s="8">
        <f>SUMIFS(EIAwtransport!$J$2:$J$675,EIAwtransport!$E$2:$E$675,Program_data!$E363,EIAwtransport!$H$2:$H$675,Program_data!$F363,EIAwtransport!$I$2:$I$675,Program_data!O$2)</f>
        <v>167544558</v>
      </c>
      <c r="P363" s="5">
        <f>SUMIFS(EIAwtransport!$J$2:$J$675,EIAwtransport!$E$2:$E$675,Program_data!$E363,EIAwtransport!$H$2:$H$675,Program_data!$F363,EIAwtransport!$I$2:$I$675,Program_data!P$2)</f>
        <v>18513926</v>
      </c>
      <c r="Q363" s="5">
        <f>SUMIFS(EIAwtransport!$J$2:$J$675,EIAwtransport!$E$2:$E$675,Program_data!$E363,EIAwtransport!$H$2:$H$675,Program_data!$F363,EIAwtransport!$I$2:$I$675,Program_data!Q$2)</f>
        <v>151220</v>
      </c>
      <c r="R363" s="8">
        <f>SUMIFS(EIAwtransport!$J$2:$J$675,EIAwtransport!$E$2:$E$675,Program_data!$E363,EIAwtransport!$I$2:$I$675,Program_data!R$2)</f>
        <v>217334481</v>
      </c>
      <c r="S363" s="5">
        <f>SUMIFS(EIAwtransport!$J$2:$J$675,EIAwtransport!$E$2:$E$675,Program_data!$E363,EIAwtransport!$I$2:$I$675,Program_data!S$2)</f>
        <v>32931441</v>
      </c>
      <c r="T363" s="5">
        <f>SUMIFS(EIAwtransport!$J$2:$J$675,EIAwtransport!$E$2:$E$675,Program_data!$E363,EIAwtransport!$I$2:$I$675,Program_data!T$2)</f>
        <v>163669</v>
      </c>
      <c r="U363" s="24">
        <f t="shared" si="148"/>
        <v>6.5609572342059395E-5</v>
      </c>
      <c r="V363" s="24">
        <f t="shared" si="149"/>
        <v>7.2899524824510437E-5</v>
      </c>
      <c r="W363" s="24">
        <f t="shared" si="150"/>
        <v>1.2493645681561225E-4</v>
      </c>
      <c r="X363" s="25">
        <f t="shared" si="151"/>
        <v>7.9587952010540505E-5</v>
      </c>
      <c r="Y363" s="8">
        <f t="shared" si="137"/>
        <v>5.1090468117613634E-2</v>
      </c>
      <c r="Z363" s="27">
        <f t="shared" si="138"/>
        <v>1.8244489462703715E-2</v>
      </c>
      <c r="AA363" s="27"/>
      <c r="AB363" s="27"/>
      <c r="AC363" s="90"/>
      <c r="AD363" s="20"/>
      <c r="AE363" s="20"/>
      <c r="AF363" s="20"/>
    </row>
    <row r="364" spans="1:35" ht="15.95" customHeight="1" x14ac:dyDescent="0.25">
      <c r="B364" s="4">
        <v>2024</v>
      </c>
      <c r="C364" s="4" t="s">
        <v>28</v>
      </c>
      <c r="D364" s="1" t="s">
        <v>311</v>
      </c>
      <c r="E364" s="4" t="str">
        <f t="shared" si="152"/>
        <v>North Shore-IL</v>
      </c>
      <c r="F364" s="4" t="s">
        <v>135</v>
      </c>
      <c r="G364" s="4"/>
      <c r="H364" s="11" t="s">
        <v>313</v>
      </c>
      <c r="I364" s="11"/>
      <c r="J364" s="4" t="s">
        <v>157</v>
      </c>
      <c r="K364" s="5">
        <v>374980</v>
      </c>
      <c r="L364" s="5">
        <f t="shared" si="153"/>
        <v>416644.44444444444</v>
      </c>
      <c r="M364" s="8">
        <v>689409</v>
      </c>
      <c r="N364" s="8">
        <v>338885</v>
      </c>
      <c r="O364" s="8">
        <f>SUMIFS(EIAwtransport!$J$2:$J$675,EIAwtransport!$E$2:$E$675,Program_data!$E364,EIAwtransport!$H$2:$H$675,Program_data!$F364,EIAwtransport!$I$2:$I$675,Program_data!O$2)</f>
        <v>167544558</v>
      </c>
      <c r="P364" s="5">
        <f>SUMIFS(EIAwtransport!$J$2:$J$675,EIAwtransport!$E$2:$E$675,Program_data!$E364,EIAwtransport!$H$2:$H$675,Program_data!$F364,EIAwtransport!$I$2:$I$675,Program_data!P$2)</f>
        <v>18513926</v>
      </c>
      <c r="Q364" s="5">
        <f>SUMIFS(EIAwtransport!$J$2:$J$675,EIAwtransport!$E$2:$E$675,Program_data!$E364,EIAwtransport!$H$2:$H$675,Program_data!$F364,EIAwtransport!$I$2:$I$675,Program_data!Q$2)</f>
        <v>151220</v>
      </c>
      <c r="R364" s="8">
        <f>SUMIFS(EIAwtransport!$J$2:$J$675,EIAwtransport!$E$2:$E$675,Program_data!$E364,EIAwtransport!$I$2:$I$675,Program_data!R$2)</f>
        <v>217334481</v>
      </c>
      <c r="S364" s="5">
        <f>SUMIFS(EIAwtransport!$J$2:$J$675,EIAwtransport!$E$2:$E$675,Program_data!$E364,EIAwtransport!$I$2:$I$675,Program_data!S$2)</f>
        <v>32931441</v>
      </c>
      <c r="T364" s="5">
        <f>SUMIFS(EIAwtransport!$J$2:$J$675,EIAwtransport!$E$2:$E$675,Program_data!$E364,EIAwtransport!$I$2:$I$675,Program_data!T$2)</f>
        <v>163669</v>
      </c>
      <c r="U364" s="24">
        <f t="shared" si="148"/>
        <v>1.0991010291648245E-3</v>
      </c>
      <c r="V364" s="24">
        <f t="shared" si="149"/>
        <v>1.2212233657386939E-3</v>
      </c>
      <c r="W364" s="24">
        <f t="shared" si="150"/>
        <v>3.1721105497291061E-3</v>
      </c>
      <c r="X364" s="25">
        <f t="shared" si="151"/>
        <v>2.0207214822537001E-3</v>
      </c>
      <c r="Y364" s="8">
        <f t="shared" si="137"/>
        <v>1.2971763169629837</v>
      </c>
      <c r="Z364" s="27">
        <f t="shared" si="138"/>
        <v>0.46322377770386719</v>
      </c>
      <c r="AA364" s="27"/>
      <c r="AB364" s="27"/>
      <c r="AC364" s="90"/>
      <c r="AD364" s="20"/>
      <c r="AE364" s="20"/>
      <c r="AF364" s="20"/>
    </row>
    <row r="365" spans="1:35" ht="15.95" customHeight="1" x14ac:dyDescent="0.25">
      <c r="B365" s="4">
        <v>2024</v>
      </c>
      <c r="C365" s="4" t="s">
        <v>28</v>
      </c>
      <c r="D365" s="1" t="s">
        <v>311</v>
      </c>
      <c r="E365" s="4" t="str">
        <f t="shared" si="152"/>
        <v>North Shore-IL</v>
      </c>
      <c r="F365" s="4" t="s">
        <v>135</v>
      </c>
      <c r="G365" s="4"/>
      <c r="H365" s="11" t="s">
        <v>314</v>
      </c>
      <c r="I365" s="11"/>
      <c r="J365" s="4" t="s">
        <v>21</v>
      </c>
      <c r="K365" s="5">
        <v>52165</v>
      </c>
      <c r="L365" s="5">
        <f t="shared" si="153"/>
        <v>57961.111111111109</v>
      </c>
      <c r="M365" s="8">
        <v>27153</v>
      </c>
      <c r="N365" s="8">
        <v>144499</v>
      </c>
      <c r="O365" s="8">
        <f>SUMIFS(EIAwtransport!$J$2:$J$675,EIAwtransport!$E$2:$E$675,Program_data!$E365,EIAwtransport!$H$2:$H$675,Program_data!$F365,EIAwtransport!$I$2:$I$675,Program_data!O$2)</f>
        <v>167544558</v>
      </c>
      <c r="P365" s="5">
        <f>SUMIFS(EIAwtransport!$J$2:$J$675,EIAwtransport!$E$2:$E$675,Program_data!$E365,EIAwtransport!$H$2:$H$675,Program_data!$F365,EIAwtransport!$I$2:$I$675,Program_data!P$2)</f>
        <v>18513926</v>
      </c>
      <c r="Q365" s="5">
        <f>SUMIFS(EIAwtransport!$J$2:$J$675,EIAwtransport!$E$2:$E$675,Program_data!$E365,EIAwtransport!$H$2:$H$675,Program_data!$F365,EIAwtransport!$I$2:$I$675,Program_data!Q$2)</f>
        <v>151220</v>
      </c>
      <c r="R365" s="8">
        <f>SUMIFS(EIAwtransport!$J$2:$J$675,EIAwtransport!$E$2:$E$675,Program_data!$E365,EIAwtransport!$I$2:$I$675,Program_data!R$2)</f>
        <v>217334481</v>
      </c>
      <c r="S365" s="5">
        <f>SUMIFS(EIAwtransport!$J$2:$J$675,EIAwtransport!$E$2:$E$675,Program_data!$E365,EIAwtransport!$I$2:$I$675,Program_data!S$2)</f>
        <v>32931441</v>
      </c>
      <c r="T365" s="5">
        <f>SUMIFS(EIAwtransport!$J$2:$J$675,EIAwtransport!$E$2:$E$675,Program_data!$E365,EIAwtransport!$I$2:$I$675,Program_data!T$2)</f>
        <v>163669</v>
      </c>
      <c r="U365" s="24">
        <f t="shared" si="148"/>
        <v>1.5290043518689816E-4</v>
      </c>
      <c r="V365" s="24">
        <f t="shared" si="149"/>
        <v>1.6988937242988682E-4</v>
      </c>
      <c r="W365" s="24">
        <f t="shared" si="150"/>
        <v>1.2493645681561225E-4</v>
      </c>
      <c r="X365" s="25">
        <f t="shared" si="151"/>
        <v>7.9587952010540505E-5</v>
      </c>
      <c r="Y365" s="8">
        <f t="shared" si="137"/>
        <v>5.1090468117613634E-2</v>
      </c>
      <c r="Z365" s="27">
        <f t="shared" si="138"/>
        <v>1.8244489462703715E-2</v>
      </c>
      <c r="AA365" s="27"/>
      <c r="AB365" s="27"/>
      <c r="AC365" s="90"/>
      <c r="AD365" s="20"/>
      <c r="AE365" s="20"/>
      <c r="AF365" s="20"/>
    </row>
    <row r="366" spans="1:35" ht="15.95" customHeight="1" x14ac:dyDescent="0.25">
      <c r="B366" s="4">
        <v>2024</v>
      </c>
      <c r="C366" s="4" t="s">
        <v>28</v>
      </c>
      <c r="D366" s="1" t="s">
        <v>311</v>
      </c>
      <c r="E366" s="4" t="str">
        <f t="shared" si="152"/>
        <v>North Shore-IL</v>
      </c>
      <c r="F366" s="4" t="s">
        <v>135</v>
      </c>
      <c r="G366" s="4"/>
      <c r="H366" s="11" t="s">
        <v>315</v>
      </c>
      <c r="I366" s="11"/>
      <c r="J366" s="4" t="s">
        <v>21</v>
      </c>
      <c r="K366" s="5">
        <v>81940</v>
      </c>
      <c r="L366" s="5">
        <f t="shared" si="153"/>
        <v>91044.444444444438</v>
      </c>
      <c r="M366" s="8">
        <v>172795</v>
      </c>
      <c r="N366" s="8">
        <v>98360</v>
      </c>
      <c r="O366" s="8">
        <f>SUMIFS(EIAwtransport!$J$2:$J$675,EIAwtransport!$E$2:$E$675,Program_data!$E366,EIAwtransport!$H$2:$H$675,Program_data!$F366,EIAwtransport!$I$2:$I$675,Program_data!O$2)</f>
        <v>167544558</v>
      </c>
      <c r="P366" s="5">
        <f>SUMIFS(EIAwtransport!$J$2:$J$675,EIAwtransport!$E$2:$E$675,Program_data!$E366,EIAwtransport!$H$2:$H$675,Program_data!$F366,EIAwtransport!$I$2:$I$675,Program_data!P$2)</f>
        <v>18513926</v>
      </c>
      <c r="Q366" s="5">
        <f>SUMIFS(EIAwtransport!$J$2:$J$675,EIAwtransport!$E$2:$E$675,Program_data!$E366,EIAwtransport!$H$2:$H$675,Program_data!$F366,EIAwtransport!$I$2:$I$675,Program_data!Q$2)</f>
        <v>151220</v>
      </c>
      <c r="R366" s="8">
        <f>SUMIFS(EIAwtransport!$J$2:$J$675,EIAwtransport!$E$2:$E$675,Program_data!$E366,EIAwtransport!$I$2:$I$675,Program_data!R$2)</f>
        <v>217334481</v>
      </c>
      <c r="S366" s="5">
        <f>SUMIFS(EIAwtransport!$J$2:$J$675,EIAwtransport!$E$2:$E$675,Program_data!$E366,EIAwtransport!$I$2:$I$675,Program_data!S$2)</f>
        <v>32931441</v>
      </c>
      <c r="T366" s="5">
        <f>SUMIFS(EIAwtransport!$J$2:$J$675,EIAwtransport!$E$2:$E$675,Program_data!$E366,EIAwtransport!$I$2:$I$675,Program_data!T$2)</f>
        <v>163669</v>
      </c>
      <c r="U366" s="24">
        <f t="shared" si="148"/>
        <v>2.4017371147732071E-4</v>
      </c>
      <c r="V366" s="24">
        <f t="shared" si="149"/>
        <v>2.6685967941924524E-4</v>
      </c>
      <c r="W366" s="24">
        <f t="shared" si="150"/>
        <v>7.9506481992611198E-4</v>
      </c>
      <c r="X366" s="25">
        <f t="shared" si="151"/>
        <v>5.0647811172472082E-4</v>
      </c>
      <c r="Y366" s="8">
        <f t="shared" si="137"/>
        <v>0.32512714758527778</v>
      </c>
      <c r="Z366" s="27">
        <f t="shared" si="138"/>
        <v>0.11610343449003382</v>
      </c>
      <c r="AA366" s="27"/>
      <c r="AB366" s="27"/>
      <c r="AC366" s="90"/>
      <c r="AD366" s="20"/>
      <c r="AE366" s="20"/>
      <c r="AF366" s="20"/>
    </row>
    <row r="367" spans="1:35" ht="15.95" customHeight="1" x14ac:dyDescent="0.25">
      <c r="B367" s="4">
        <v>2024</v>
      </c>
      <c r="C367" s="4" t="s">
        <v>28</v>
      </c>
      <c r="D367" s="1" t="s">
        <v>311</v>
      </c>
      <c r="E367" s="4" t="str">
        <f t="shared" si="152"/>
        <v>North Shore-IL</v>
      </c>
      <c r="F367" s="4" t="s">
        <v>143</v>
      </c>
      <c r="G367" s="4">
        <v>1</v>
      </c>
      <c r="H367" s="11" t="s">
        <v>316</v>
      </c>
      <c r="I367" s="11"/>
      <c r="J367" s="4" t="s">
        <v>21</v>
      </c>
      <c r="K367" s="5">
        <v>35654</v>
      </c>
      <c r="L367" s="5">
        <f t="shared" si="153"/>
        <v>39615.555555555555</v>
      </c>
      <c r="M367" s="8">
        <v>374526</v>
      </c>
      <c r="N367" s="8">
        <v>257559</v>
      </c>
      <c r="O367" s="8">
        <f>SUMIFS(EIAwtransport!$J$2:$J$675,EIAwtransport!$E$2:$E$675,Program_data!$E367,EIAwtransport!$H$2:$H$675,Program_data!$F367,EIAwtransport!$I$2:$I$675,Program_data!O$2)</f>
        <v>0</v>
      </c>
      <c r="P367" s="5">
        <f>SUMIFS(EIAwtransport!$J$2:$J$675,EIAwtransport!$E$2:$E$675,Program_data!$E367,EIAwtransport!$H$2:$H$675,Program_data!$F367,EIAwtransport!$I$2:$I$675,Program_data!P$2)</f>
        <v>0</v>
      </c>
      <c r="Q367" s="5">
        <f>SUMIFS(EIAwtransport!$J$2:$J$675,EIAwtransport!$E$2:$E$675,Program_data!$E367,EIAwtransport!$H$2:$H$675,Program_data!$F367,EIAwtransport!$I$2:$I$675,Program_data!Q$2)</f>
        <v>0</v>
      </c>
      <c r="R367" s="8">
        <f>SUMIFS(EIAwtransport!$J$2:$J$675,EIAwtransport!$E$2:$E$675,Program_data!$E367,EIAwtransport!$I$2:$I$675,Program_data!R$2)</f>
        <v>217334481</v>
      </c>
      <c r="S367" s="5">
        <f>SUMIFS(EIAwtransport!$J$2:$J$675,EIAwtransport!$E$2:$E$675,Program_data!$E367,EIAwtransport!$I$2:$I$675,Program_data!S$2)</f>
        <v>32931441</v>
      </c>
      <c r="T367" s="5">
        <f>SUMIFS(EIAwtransport!$J$2:$J$675,EIAwtransport!$E$2:$E$675,Program_data!$E367,EIAwtransport!$I$2:$I$675,Program_data!T$2)</f>
        <v>163669</v>
      </c>
      <c r="U367" s="24">
        <f t="shared" si="148"/>
        <v>1.0450516852590179E-4</v>
      </c>
      <c r="V367" s="24">
        <f t="shared" si="149"/>
        <v>1.1611685391766866E-4</v>
      </c>
      <c r="W367" s="24">
        <f t="shared" si="150"/>
        <v>1.7232700410755345E-3</v>
      </c>
      <c r="X367" s="25">
        <f t="shared" si="151"/>
        <v>1.0977703132139982E-3</v>
      </c>
      <c r="Y367" s="8">
        <f t="shared" si="137"/>
        <v>3.5987546963130939</v>
      </c>
      <c r="Z367" s="27">
        <f t="shared" si="138"/>
        <v>0.25164938167084933</v>
      </c>
      <c r="AA367" s="27"/>
      <c r="AB367" s="27"/>
      <c r="AC367" s="90"/>
      <c r="AD367" s="20"/>
      <c r="AE367" s="20"/>
      <c r="AF367" s="20"/>
    </row>
    <row r="368" spans="1:35" ht="15.95" customHeight="1" x14ac:dyDescent="0.25">
      <c r="B368" s="4">
        <v>2024</v>
      </c>
      <c r="C368" s="4" t="s">
        <v>28</v>
      </c>
      <c r="D368" s="1" t="s">
        <v>311</v>
      </c>
      <c r="E368" s="4" t="str">
        <f t="shared" si="152"/>
        <v>North Shore-IL</v>
      </c>
      <c r="F368" s="4" t="s">
        <v>143</v>
      </c>
      <c r="G368" s="4">
        <v>1</v>
      </c>
      <c r="H368" s="11" t="s">
        <v>317</v>
      </c>
      <c r="I368" s="11"/>
      <c r="J368" s="4" t="s">
        <v>21</v>
      </c>
      <c r="K368" s="5">
        <v>68417</v>
      </c>
      <c r="L368" s="5">
        <f t="shared" si="153"/>
        <v>76018.888888888891</v>
      </c>
      <c r="M368" s="27">
        <v>399313</v>
      </c>
      <c r="N368" s="8">
        <v>332939</v>
      </c>
      <c r="O368" s="8">
        <f>SUMIFS(EIAwtransport!$J$2:$J$675,EIAwtransport!$E$2:$E$675,Program_data!$E368,EIAwtransport!$H$2:$H$675,Program_data!$F368,EIAwtransport!$I$2:$I$675,Program_data!O$2)</f>
        <v>0</v>
      </c>
      <c r="P368" s="5">
        <f>SUMIFS(EIAwtransport!$J$2:$J$675,EIAwtransport!$E$2:$E$675,Program_data!$E368,EIAwtransport!$H$2:$H$675,Program_data!$F368,EIAwtransport!$I$2:$I$675,Program_data!P$2)</f>
        <v>0</v>
      </c>
      <c r="Q368" s="5">
        <f>SUMIFS(EIAwtransport!$J$2:$J$675,EIAwtransport!$E$2:$E$675,Program_data!$E368,EIAwtransport!$H$2:$H$675,Program_data!$F368,EIAwtransport!$I$2:$I$675,Program_data!Q$2)</f>
        <v>0</v>
      </c>
      <c r="R368" s="8">
        <f>SUMIFS(EIAwtransport!$J$2:$J$675,EIAwtransport!$E$2:$E$675,Program_data!$E368,EIAwtransport!$I$2:$I$675,Program_data!R$2)</f>
        <v>217334481</v>
      </c>
      <c r="S368" s="5">
        <f>SUMIFS(EIAwtransport!$J$2:$J$675,EIAwtransport!$E$2:$E$675,Program_data!$E368,EIAwtransport!$I$2:$I$675,Program_data!S$2)</f>
        <v>32931441</v>
      </c>
      <c r="T368" s="5">
        <f>SUMIFS(EIAwtransport!$J$2:$J$675,EIAwtransport!$E$2:$E$675,Program_data!$E368,EIAwtransport!$I$2:$I$675,Program_data!T$2)</f>
        <v>163669</v>
      </c>
      <c r="U368" s="24">
        <f t="shared" si="148"/>
        <v>2.0053654891559496E-4</v>
      </c>
      <c r="V368" s="24">
        <f t="shared" si="149"/>
        <v>2.228183876839944E-4</v>
      </c>
      <c r="W368" s="24">
        <f t="shared" si="150"/>
        <v>1.8373200523114416E-3</v>
      </c>
      <c r="X368" s="25">
        <f t="shared" si="151"/>
        <v>1.1704233005997483E-3</v>
      </c>
      <c r="Y368" s="8">
        <f t="shared" si="137"/>
        <v>3.8369286352586216</v>
      </c>
      <c r="Z368" s="27">
        <f t="shared" si="138"/>
        <v>0.2683041218583806</v>
      </c>
      <c r="AA368" s="27"/>
      <c r="AB368" s="27"/>
      <c r="AC368" s="90"/>
      <c r="AD368" s="20"/>
      <c r="AE368" s="20"/>
      <c r="AF368" s="20"/>
    </row>
    <row r="369" spans="1:35" ht="15.95" customHeight="1" x14ac:dyDescent="0.25">
      <c r="B369" s="4">
        <v>2024</v>
      </c>
      <c r="C369" s="4" t="s">
        <v>28</v>
      </c>
      <c r="D369" s="1" t="s">
        <v>311</v>
      </c>
      <c r="E369" s="4" t="str">
        <f t="shared" si="152"/>
        <v>North Shore-IL</v>
      </c>
      <c r="F369" s="4" t="s">
        <v>146</v>
      </c>
      <c r="G369" s="4"/>
      <c r="H369" s="11" t="s">
        <v>318</v>
      </c>
      <c r="I369" s="11"/>
      <c r="J369" s="4" t="s">
        <v>21</v>
      </c>
      <c r="K369" s="5">
        <v>165242</v>
      </c>
      <c r="L369" s="5">
        <f t="shared" si="153"/>
        <v>183602.22222222222</v>
      </c>
      <c r="M369" s="27">
        <v>328946</v>
      </c>
      <c r="N369" s="8">
        <v>177849</v>
      </c>
      <c r="O369" s="8">
        <f>SUMIFS(EIAwtransport!$J$2:$J$675,EIAwtransport!$E$2:$E$675,Program_data!$E369,EIAwtransport!$H$2:$H$675,Program_data!$F369,EIAwtransport!$I$2:$I$675,Program_data!O$2)</f>
        <v>49789923</v>
      </c>
      <c r="P369" s="5">
        <f>SUMIFS(EIAwtransport!$J$2:$J$675,EIAwtransport!$E$2:$E$675,Program_data!$E369,EIAwtransport!$H$2:$H$675,Program_data!$F369,EIAwtransport!$I$2:$I$675,Program_data!P$2)</f>
        <v>14417515</v>
      </c>
      <c r="Q369" s="5">
        <f>SUMIFS(EIAwtransport!$J$2:$J$675,EIAwtransport!$E$2:$E$675,Program_data!$E369,EIAwtransport!$H$2:$H$675,Program_data!$F369,EIAwtransport!$I$2:$I$675,Program_data!Q$2)</f>
        <v>12449</v>
      </c>
      <c r="R369" s="8">
        <f>SUMIFS(EIAwtransport!$J$2:$J$675,EIAwtransport!$E$2:$E$675,Program_data!$E369,EIAwtransport!$I$2:$I$675,Program_data!R$2)</f>
        <v>217334481</v>
      </c>
      <c r="S369" s="5">
        <f>SUMIFS(EIAwtransport!$J$2:$J$675,EIAwtransport!$E$2:$E$675,Program_data!$E369,EIAwtransport!$I$2:$I$675,Program_data!S$2)</f>
        <v>32931441</v>
      </c>
      <c r="T369" s="5">
        <f>SUMIFS(EIAwtransport!$J$2:$J$675,EIAwtransport!$E$2:$E$675,Program_data!$E369,EIAwtransport!$I$2:$I$675,Program_data!T$2)</f>
        <v>163669</v>
      </c>
      <c r="U369" s="24">
        <f t="shared" si="148"/>
        <v>4.8433957080712018E-4</v>
      </c>
      <c r="V369" s="24">
        <f t="shared" si="149"/>
        <v>5.3815507867457793E-4</v>
      </c>
      <c r="W369" s="24">
        <f t="shared" si="150"/>
        <v>1.513547222173181E-3</v>
      </c>
      <c r="X369" s="25">
        <f t="shared" si="151"/>
        <v>9.6417112149888625E-4</v>
      </c>
      <c r="Y369" s="8">
        <f t="shared" si="137"/>
        <v>0.38574954998270294</v>
      </c>
      <c r="Z369" s="27">
        <f t="shared" si="138"/>
        <v>0.22102352707982678</v>
      </c>
      <c r="AA369" s="27"/>
      <c r="AB369" s="27"/>
      <c r="AC369" s="90"/>
      <c r="AD369" s="20"/>
      <c r="AE369" s="20"/>
      <c r="AF369" s="20"/>
    </row>
    <row r="370" spans="1:35" ht="15.95" customHeight="1" x14ac:dyDescent="0.25">
      <c r="B370" s="4">
        <v>2024</v>
      </c>
      <c r="C370" s="4" t="s">
        <v>28</v>
      </c>
      <c r="D370" s="1" t="s">
        <v>311</v>
      </c>
      <c r="E370" s="4" t="str">
        <f t="shared" si="152"/>
        <v>North Shore-IL</v>
      </c>
      <c r="F370" s="4" t="s">
        <v>146</v>
      </c>
      <c r="G370" s="4"/>
      <c r="H370" s="11" t="s">
        <v>319</v>
      </c>
      <c r="I370" s="11"/>
      <c r="J370" s="4" t="s">
        <v>21</v>
      </c>
      <c r="K370" s="5">
        <v>601692</v>
      </c>
      <c r="L370" s="5">
        <f t="shared" si="153"/>
        <v>668546.66666666663</v>
      </c>
      <c r="M370" s="27">
        <v>695681</v>
      </c>
      <c r="N370" s="8">
        <v>424018</v>
      </c>
      <c r="O370" s="8">
        <f>SUMIFS(EIAwtransport!$J$2:$J$675,EIAwtransport!$E$2:$E$675,Program_data!$E370,EIAwtransport!$H$2:$H$675,Program_data!$F370,EIAwtransport!$I$2:$I$675,Program_data!O$2)</f>
        <v>49789923</v>
      </c>
      <c r="P370" s="5">
        <f>SUMIFS(EIAwtransport!$J$2:$J$675,EIAwtransport!$E$2:$E$675,Program_data!$E370,EIAwtransport!$H$2:$H$675,Program_data!$F370,EIAwtransport!$I$2:$I$675,Program_data!P$2)</f>
        <v>14417515</v>
      </c>
      <c r="Q370" s="5">
        <f>SUMIFS(EIAwtransport!$J$2:$J$675,EIAwtransport!$E$2:$E$675,Program_data!$E370,EIAwtransport!$H$2:$H$675,Program_data!$F370,EIAwtransport!$I$2:$I$675,Program_data!Q$2)</f>
        <v>12449</v>
      </c>
      <c r="R370" s="8">
        <f>SUMIFS(EIAwtransport!$J$2:$J$675,EIAwtransport!$E$2:$E$675,Program_data!$E370,EIAwtransport!$I$2:$I$675,Program_data!R$2)</f>
        <v>217334481</v>
      </c>
      <c r="S370" s="5">
        <f>SUMIFS(EIAwtransport!$J$2:$J$675,EIAwtransport!$E$2:$E$675,Program_data!$E370,EIAwtransport!$I$2:$I$675,Program_data!S$2)</f>
        <v>32931441</v>
      </c>
      <c r="T370" s="5">
        <f>SUMIFS(EIAwtransport!$J$2:$J$675,EIAwtransport!$E$2:$E$675,Program_data!$E370,EIAwtransport!$I$2:$I$675,Program_data!T$2)</f>
        <v>163669</v>
      </c>
      <c r="U370" s="24">
        <f t="shared" si="148"/>
        <v>1.7636148499659756E-3</v>
      </c>
      <c r="V370" s="24">
        <f t="shared" si="149"/>
        <v>1.9595720555177507E-3</v>
      </c>
      <c r="W370" s="24">
        <f t="shared" si="150"/>
        <v>3.2009692930409879E-3</v>
      </c>
      <c r="X370" s="25">
        <f t="shared" si="151"/>
        <v>2.039105293803441E-3</v>
      </c>
      <c r="Y370" s="8">
        <f t="shared" si="137"/>
        <v>0.81581363713654143</v>
      </c>
      <c r="Z370" s="27">
        <f t="shared" si="138"/>
        <v>0.46743802430314085</v>
      </c>
      <c r="AA370" s="27"/>
      <c r="AB370" s="27"/>
      <c r="AC370" s="90"/>
      <c r="AD370" s="20"/>
      <c r="AE370" s="20"/>
      <c r="AF370" s="20"/>
    </row>
    <row r="371" spans="1:35" ht="15.95" customHeight="1" x14ac:dyDescent="0.25">
      <c r="B371" s="4">
        <v>2024</v>
      </c>
      <c r="C371" s="4" t="s">
        <v>28</v>
      </c>
      <c r="D371" s="1" t="s">
        <v>311</v>
      </c>
      <c r="E371" s="4" t="str">
        <f t="shared" si="152"/>
        <v>North Shore-IL</v>
      </c>
      <c r="F371" s="4" t="s">
        <v>146</v>
      </c>
      <c r="G371" s="4"/>
      <c r="H371" s="11" t="s">
        <v>320</v>
      </c>
      <c r="I371" s="11"/>
      <c r="J371" s="4" t="s">
        <v>21</v>
      </c>
      <c r="K371" s="5">
        <v>45760</v>
      </c>
      <c r="L371" s="5">
        <f t="shared" si="153"/>
        <v>50844.444444444445</v>
      </c>
      <c r="M371" s="27">
        <v>359724</v>
      </c>
      <c r="N371" s="8">
        <v>259051</v>
      </c>
      <c r="O371" s="8">
        <f>SUMIFS(EIAwtransport!$J$2:$J$675,EIAwtransport!$E$2:$E$675,Program_data!$E371,EIAwtransport!$H$2:$H$675,Program_data!$F371,EIAwtransport!$I$2:$I$675,Program_data!O$2)</f>
        <v>49789923</v>
      </c>
      <c r="P371" s="5">
        <f>SUMIFS(EIAwtransport!$J$2:$J$675,EIAwtransport!$E$2:$E$675,Program_data!$E371,EIAwtransport!$H$2:$H$675,Program_data!$F371,EIAwtransport!$I$2:$I$675,Program_data!P$2)</f>
        <v>14417515</v>
      </c>
      <c r="Q371" s="5">
        <f>SUMIFS(EIAwtransport!$J$2:$J$675,EIAwtransport!$E$2:$E$675,Program_data!$E371,EIAwtransport!$H$2:$H$675,Program_data!$F371,EIAwtransport!$I$2:$I$675,Program_data!Q$2)</f>
        <v>12449</v>
      </c>
      <c r="R371" s="8">
        <f>SUMIFS(EIAwtransport!$J$2:$J$675,EIAwtransport!$E$2:$E$675,Program_data!$E371,EIAwtransport!$I$2:$I$675,Program_data!R$2)</f>
        <v>217334481</v>
      </c>
      <c r="S371" s="5">
        <f>SUMIFS(EIAwtransport!$J$2:$J$675,EIAwtransport!$E$2:$E$675,Program_data!$E371,EIAwtransport!$I$2:$I$675,Program_data!S$2)</f>
        <v>32931441</v>
      </c>
      <c r="T371" s="5">
        <f>SUMIFS(EIAwtransport!$J$2:$J$675,EIAwtransport!$E$2:$E$675,Program_data!$E371,EIAwtransport!$I$2:$I$675,Program_data!T$2)</f>
        <v>163669</v>
      </c>
      <c r="U371" s="24">
        <f t="shared" si="148"/>
        <v>1.3412678834759818E-4</v>
      </c>
      <c r="V371" s="24">
        <f t="shared" si="149"/>
        <v>1.4902976483066466E-4</v>
      </c>
      <c r="W371" s="24">
        <f t="shared" si="150"/>
        <v>1.6551630387632785E-3</v>
      </c>
      <c r="X371" s="25">
        <f t="shared" si="151"/>
        <v>1.0543842834692179E-3</v>
      </c>
      <c r="Y371" s="8">
        <f t="shared" si="137"/>
        <v>0.42184240306304932</v>
      </c>
      <c r="Z371" s="27">
        <f t="shared" si="138"/>
        <v>0.24170370594341808</v>
      </c>
      <c r="AA371" s="27"/>
      <c r="AB371" s="27"/>
      <c r="AC371" s="90"/>
      <c r="AD371" s="20"/>
      <c r="AE371" s="20"/>
      <c r="AF371" s="20"/>
    </row>
    <row r="372" spans="1:35" ht="15.95" customHeight="1" x14ac:dyDescent="0.25">
      <c r="B372" s="4">
        <v>2024</v>
      </c>
      <c r="C372" s="4" t="s">
        <v>28</v>
      </c>
      <c r="D372" s="1" t="s">
        <v>311</v>
      </c>
      <c r="E372" s="4" t="str">
        <f t="shared" si="152"/>
        <v>North Shore-IL</v>
      </c>
      <c r="F372" s="4" t="s">
        <v>146</v>
      </c>
      <c r="G372" s="4"/>
      <c r="H372" s="11" t="s">
        <v>321</v>
      </c>
      <c r="I372" s="11"/>
      <c r="J372" s="4" t="s">
        <v>21</v>
      </c>
      <c r="K372" s="5">
        <v>40051</v>
      </c>
      <c r="L372" s="5">
        <f t="shared" si="153"/>
        <v>44501.111111111109</v>
      </c>
      <c r="M372" s="27">
        <v>123018</v>
      </c>
      <c r="N372" s="8">
        <v>76464</v>
      </c>
      <c r="O372" s="8">
        <f>SUMIFS(EIAwtransport!$J$2:$J$675,EIAwtransport!$E$2:$E$675,Program_data!$E372,EIAwtransport!$H$2:$H$675,Program_data!$F372,EIAwtransport!$I$2:$I$675,Program_data!O$2)</f>
        <v>49789923</v>
      </c>
      <c r="P372" s="5">
        <f>SUMIFS(EIAwtransport!$J$2:$J$675,EIAwtransport!$E$2:$E$675,Program_data!$E372,EIAwtransport!$H$2:$H$675,Program_data!$F372,EIAwtransport!$I$2:$I$675,Program_data!P$2)</f>
        <v>14417515</v>
      </c>
      <c r="Q372" s="5">
        <f>SUMIFS(EIAwtransport!$J$2:$J$675,EIAwtransport!$E$2:$E$675,Program_data!$E372,EIAwtransport!$H$2:$H$675,Program_data!$F372,EIAwtransport!$I$2:$I$675,Program_data!Q$2)</f>
        <v>12449</v>
      </c>
      <c r="R372" s="8">
        <f>SUMIFS(EIAwtransport!$J$2:$J$675,EIAwtransport!$E$2:$E$675,Program_data!$E372,EIAwtransport!$I$2:$I$675,Program_data!R$2)</f>
        <v>217334481</v>
      </c>
      <c r="S372" s="5">
        <f>SUMIFS(EIAwtransport!$J$2:$J$675,EIAwtransport!$E$2:$E$675,Program_data!$E372,EIAwtransport!$I$2:$I$675,Program_data!S$2)</f>
        <v>32931441</v>
      </c>
      <c r="T372" s="5">
        <f>SUMIFS(EIAwtransport!$J$2:$J$675,EIAwtransport!$E$2:$E$675,Program_data!$E372,EIAwtransport!$I$2:$I$675,Program_data!T$2)</f>
        <v>163669</v>
      </c>
      <c r="U372" s="24">
        <f t="shared" si="148"/>
        <v>1.1739318182057813E-4</v>
      </c>
      <c r="V372" s="24">
        <f t="shared" si="149"/>
        <v>1.3043686868953125E-4</v>
      </c>
      <c r="W372" s="24">
        <f t="shared" si="150"/>
        <v>5.6603075330692696E-4</v>
      </c>
      <c r="X372" s="25">
        <f t="shared" si="151"/>
        <v>3.6057712519547275E-4</v>
      </c>
      <c r="Y372" s="8">
        <f t="shared" si="137"/>
        <v>0.14426118007141642</v>
      </c>
      <c r="Z372" s="27">
        <f t="shared" si="138"/>
        <v>8.2657555508521552E-2</v>
      </c>
      <c r="AA372" s="27"/>
      <c r="AB372" s="27"/>
      <c r="AC372" s="90"/>
      <c r="AD372" s="20"/>
      <c r="AE372" s="20"/>
      <c r="AF372" s="20"/>
    </row>
    <row r="373" spans="1:35" x14ac:dyDescent="0.25">
      <c r="A373" t="s">
        <v>310</v>
      </c>
      <c r="B373" s="4">
        <v>2024</v>
      </c>
      <c r="C373" s="4" t="s">
        <v>28</v>
      </c>
      <c r="D373" s="1" t="s">
        <v>311</v>
      </c>
      <c r="E373" s="4" t="str">
        <f t="shared" si="145"/>
        <v>North Shore-IL</v>
      </c>
      <c r="F373" s="4" t="s">
        <v>146</v>
      </c>
      <c r="G373" s="4"/>
      <c r="H373" s="11"/>
      <c r="I373" s="11"/>
      <c r="J373" s="4" t="s">
        <v>21</v>
      </c>
      <c r="K373" s="5">
        <v>852745</v>
      </c>
      <c r="L373" s="5">
        <f>K373/_xlfn.XLOOKUP(C373,'Utility target list'!$K$2:$K$8,'Utility target list'!$L$2:$L$8,1,0,1)</f>
        <v>947494.44444444438</v>
      </c>
      <c r="M373" s="8">
        <v>1507368</v>
      </c>
      <c r="N373" s="39"/>
      <c r="O373" s="8">
        <f>SUMIFS(EIAwtransport!$J$2:$J$675,EIAwtransport!$E$2:$E$675,Program_data!$E373,EIAwtransport!$H$2:$H$675,Program_data!$F373,EIAwtransport!$I$2:$I$675,Program_data!O$2)</f>
        <v>49789923</v>
      </c>
      <c r="P373" s="5">
        <f>SUMIFS(EIAwtransport!$J$2:$J$675,EIAwtransport!$E$2:$E$675,Program_data!$E373,EIAwtransport!$H$2:$H$675,Program_data!$F373,EIAwtransport!$I$2:$I$675,Program_data!P$2)</f>
        <v>14417515</v>
      </c>
      <c r="Q373" s="5">
        <f>SUMIFS(EIAwtransport!$J$2:$J$675,EIAwtransport!$E$2:$E$675,Program_data!$E373,EIAwtransport!$H$2:$H$675,Program_data!$F373,EIAwtransport!$I$2:$I$675,Program_data!Q$2)</f>
        <v>12449</v>
      </c>
      <c r="R373" s="8">
        <f>SUMIFS(EIAwtransport!$J$2:$J$675,EIAwtransport!$E$2:$E$675,Program_data!$E373,EIAwtransport!$I$2:$I$675,Program_data!R$2)</f>
        <v>217334481</v>
      </c>
      <c r="S373" s="5">
        <f>SUMIFS(EIAwtransport!$J$2:$J$675,EIAwtransport!$E$2:$E$675,Program_data!$E373,EIAwtransport!$I$2:$I$675,Program_data!S$2)</f>
        <v>32931441</v>
      </c>
      <c r="T373" s="5">
        <f>SUMIFS(EIAwtransport!$J$2:$J$675,EIAwtransport!$E$2:$E$675,Program_data!$E373,EIAwtransport!$I$2:$I$675,Program_data!T$2)</f>
        <v>163669</v>
      </c>
      <c r="U373" s="24">
        <f t="shared" si="148"/>
        <v>2.4994743909412722E-3</v>
      </c>
      <c r="V373" s="24">
        <f t="shared" si="149"/>
        <v>2.7771937677125245E-3</v>
      </c>
      <c r="W373" s="24">
        <f t="shared" si="150"/>
        <v>6.9357057060816778E-3</v>
      </c>
      <c r="X373" s="25">
        <f t="shared" si="151"/>
        <v>4.4182348928746154E-3</v>
      </c>
      <c r="Y373" s="8">
        <f t="shared" si="137"/>
        <v>1.7676655975701998</v>
      </c>
      <c r="Z373" s="27">
        <f t="shared" si="138"/>
        <v>1.0128221409205898</v>
      </c>
      <c r="AA373" s="27"/>
      <c r="AB373" s="27"/>
      <c r="AC373" s="56">
        <f t="shared" ref="AC373:AC403" si="154">IFERROR(K373/SUMIFS($M$3:$M$1234,$E$3:$E$1234,E373,$B$3:$B$1234,B373),"")</f>
        <v>0.11529317695642616</v>
      </c>
      <c r="AD373" s="20">
        <f t="shared" si="146"/>
        <v>2034946.8</v>
      </c>
      <c r="AE373" s="20">
        <f t="shared" si="139"/>
        <v>0</v>
      </c>
      <c r="AF373" s="20">
        <f t="shared" si="140"/>
        <v>293401549.35000002</v>
      </c>
      <c r="AG373">
        <f t="shared" si="141"/>
        <v>89947542.600000009</v>
      </c>
      <c r="AH373">
        <f t="shared" si="142"/>
        <v>99941714</v>
      </c>
      <c r="AI373">
        <f t="shared" si="143"/>
        <v>3473608396.6800003</v>
      </c>
    </row>
    <row r="374" spans="1:35" x14ac:dyDescent="0.25">
      <c r="B374" s="4">
        <v>2024</v>
      </c>
      <c r="C374" s="4" t="s">
        <v>28</v>
      </c>
      <c r="D374" s="1" t="s">
        <v>311</v>
      </c>
      <c r="E374" s="4" t="str">
        <f t="shared" si="145"/>
        <v>North Shore-IL</v>
      </c>
      <c r="F374" s="4" t="s">
        <v>306</v>
      </c>
      <c r="G374" s="4"/>
      <c r="H374" s="11"/>
      <c r="I374" s="4" t="s">
        <v>167</v>
      </c>
      <c r="J374" s="4" t="s">
        <v>155</v>
      </c>
      <c r="K374" s="38"/>
      <c r="L374" s="38"/>
      <c r="M374" s="8">
        <v>748678</v>
      </c>
      <c r="N374" s="39"/>
      <c r="O374" s="8">
        <f>SUMIFS(EIAwtransport!$J$2:$J$675,EIAwtransport!$E$2:$E$675,Program_data!$E374,EIAwtransport!$H$2:$H$675,Program_data!$F374,EIAwtransport!$I$2:$I$675,Program_data!O$2)</f>
        <v>0</v>
      </c>
      <c r="P374" s="5">
        <f>SUMIFS(EIAwtransport!$J$2:$J$675,EIAwtransport!$E$2:$E$675,Program_data!$E374,EIAwtransport!$H$2:$H$675,Program_data!$F374,EIAwtransport!$I$2:$I$675,Program_data!P$2)</f>
        <v>0</v>
      </c>
      <c r="Q374" s="5">
        <f>SUMIFS(EIAwtransport!$J$2:$J$675,EIAwtransport!$E$2:$E$675,Program_data!$E374,EIAwtransport!$H$2:$H$675,Program_data!$F374,EIAwtransport!$I$2:$I$675,Program_data!Q$2)</f>
        <v>0</v>
      </c>
      <c r="R374" s="8">
        <f>SUMIFS(EIAwtransport!$J$2:$J$675,EIAwtransport!$E$2:$E$675,Program_data!$E374,EIAwtransport!$I$2:$I$675,Program_data!R$2)</f>
        <v>217334481</v>
      </c>
      <c r="S374" s="5">
        <f>SUMIFS(EIAwtransport!$J$2:$J$675,EIAwtransport!$E$2:$E$675,Program_data!$E374,EIAwtransport!$I$2:$I$675,Program_data!S$2)</f>
        <v>32931441</v>
      </c>
      <c r="T374" s="5">
        <f>SUMIFS(EIAwtransport!$J$2:$J$675,EIAwtransport!$E$2:$E$675,Program_data!$E374,EIAwtransport!$I$2:$I$675,Program_data!T$2)</f>
        <v>163669</v>
      </c>
      <c r="U374" s="24">
        <f t="shared" si="148"/>
        <v>0</v>
      </c>
      <c r="V374" s="24">
        <f t="shared" si="149"/>
        <v>0</v>
      </c>
      <c r="W374" s="24">
        <f t="shared" si="150"/>
        <v>3.4448192323426122E-3</v>
      </c>
      <c r="X374" s="25">
        <f t="shared" si="151"/>
        <v>2.1944443978693861E-3</v>
      </c>
      <c r="Y374" s="8" t="str">
        <f t="shared" si="137"/>
        <v/>
      </c>
      <c r="Z374" s="27">
        <f t="shared" si="138"/>
        <v>0.50304746738695882</v>
      </c>
      <c r="AA374" s="27"/>
      <c r="AB374" s="27"/>
      <c r="AC374" s="56">
        <f t="shared" si="154"/>
        <v>0</v>
      </c>
      <c r="AD374" s="20">
        <f t="shared" si="146"/>
        <v>1010715.3</v>
      </c>
      <c r="AE374" s="20">
        <f t="shared" si="139"/>
        <v>0</v>
      </c>
      <c r="AF374" s="20">
        <f t="shared" si="140"/>
        <v>293401549.35000002</v>
      </c>
      <c r="AG374">
        <f t="shared" si="141"/>
        <v>0</v>
      </c>
      <c r="AH374">
        <f t="shared" si="142"/>
        <v>0</v>
      </c>
      <c r="AI374">
        <f t="shared" si="143"/>
        <v>3473608396.6800003</v>
      </c>
    </row>
    <row r="375" spans="1:35" x14ac:dyDescent="0.25">
      <c r="B375" s="4">
        <v>2024</v>
      </c>
      <c r="C375" s="4" t="s">
        <v>322</v>
      </c>
      <c r="D375" s="1" t="s">
        <v>323</v>
      </c>
      <c r="E375" s="4" t="str">
        <f t="shared" si="145"/>
        <v>FOE-WI</v>
      </c>
      <c r="F375" s="4" t="s">
        <v>146</v>
      </c>
      <c r="G375" s="4"/>
      <c r="H375" s="11"/>
      <c r="I375" s="4"/>
      <c r="J375" s="4" t="s">
        <v>21</v>
      </c>
      <c r="K375" s="95">
        <v>8399342.6439781673</v>
      </c>
      <c r="L375" s="95">
        <f>K375/_xlfn.XLOOKUP(C375,'Utility target list'!$K$2:$K$8,'Utility target list'!$L$2:$L$8,1,0,1)</f>
        <v>8399342.6439781673</v>
      </c>
      <c r="M375" s="96">
        <v>46339045.357130289</v>
      </c>
      <c r="N375" s="8"/>
      <c r="O375" s="8">
        <f>SUMIFS(EIAwtransport!$J$2:$J$675,EIAwtransport!$E$2:$E$675,Program_data!$E375,EIAwtransport!$H$2:$H$675,Program_data!$F375,EIAwtransport!$I$2:$I$675,Program_data!O$2)</f>
        <v>752986994</v>
      </c>
      <c r="P375" s="5">
        <f>SUMIFS(EIAwtransport!$J$2:$J$675,EIAwtransport!$E$2:$E$675,Program_data!$E375,EIAwtransport!$H$2:$H$675,Program_data!$F375,EIAwtransport!$I$2:$I$675,Program_data!P$2)</f>
        <v>243873377</v>
      </c>
      <c r="Q375" s="5">
        <f>SUMIFS(EIAwtransport!$J$2:$J$675,EIAwtransport!$E$2:$E$675,Program_data!$E375,EIAwtransport!$H$2:$H$675,Program_data!$F375,EIAwtransport!$I$2:$I$675,Program_data!Q$2)</f>
        <v>177177</v>
      </c>
      <c r="R375" s="8">
        <f>SUMIFS(EIAwtransport!$J$2:$J$675,EIAwtransport!$E$2:$E$675,Program_data!$E375,EIAwtransport!$I$2:$I$675,Program_data!R$2)</f>
        <v>2005244600</v>
      </c>
      <c r="S375" s="5">
        <f>SUMIFS(EIAwtransport!$J$2:$J$675,EIAwtransport!$E$2:$E$675,Program_data!$E375,EIAwtransport!$I$2:$I$675,Program_data!S$2)</f>
        <v>372912706</v>
      </c>
      <c r="T375" s="5">
        <f>SUMIFS(EIAwtransport!$J$2:$J$675,EIAwtransport!$E$2:$E$675,Program_data!$E375,EIAwtransport!$I$2:$I$675,Program_data!T$2)</f>
        <v>1957656</v>
      </c>
      <c r="U375" s="24">
        <f t="shared" si="148"/>
        <v>2.1740942220867961E-3</v>
      </c>
      <c r="V375" s="24">
        <f t="shared" si="149"/>
        <v>2.1740942220867961E-3</v>
      </c>
      <c r="W375" s="24">
        <f t="shared" si="150"/>
        <v>2.3108924146775057E-2</v>
      </c>
      <c r="X375" s="25">
        <f t="shared" si="151"/>
        <v>1.1994444689095222E-2</v>
      </c>
      <c r="Y375" s="8">
        <f t="shared" si="137"/>
        <v>5.5169847595576602</v>
      </c>
      <c r="Z375" s="27">
        <f t="shared" si="138"/>
        <v>3.6005832347928783</v>
      </c>
      <c r="AA375" s="27"/>
      <c r="AB375" s="27"/>
      <c r="AC375" s="56">
        <f t="shared" si="154"/>
        <v>0.10261497899109276</v>
      </c>
      <c r="AD375" s="20">
        <f t="shared" si="146"/>
        <v>62557711.232125893</v>
      </c>
      <c r="AE375" s="20">
        <f t="shared" si="139"/>
        <v>0</v>
      </c>
      <c r="AF375" s="20">
        <f t="shared" si="140"/>
        <v>2707080210</v>
      </c>
      <c r="AG375">
        <f t="shared" si="141"/>
        <v>885962662.08681715</v>
      </c>
      <c r="AH375">
        <f t="shared" si="142"/>
        <v>885962662.08681715</v>
      </c>
      <c r="AI375">
        <f t="shared" si="143"/>
        <v>39334832228.880005</v>
      </c>
    </row>
    <row r="376" spans="1:35" x14ac:dyDescent="0.25">
      <c r="B376" s="4">
        <v>2024</v>
      </c>
      <c r="C376" s="4" t="s">
        <v>322</v>
      </c>
      <c r="D376" s="1" t="s">
        <v>323</v>
      </c>
      <c r="E376" s="4" t="str">
        <f t="shared" si="145"/>
        <v>FOE-WI</v>
      </c>
      <c r="F376" s="4" t="s">
        <v>135</v>
      </c>
      <c r="G376" s="4"/>
      <c r="H376" s="11"/>
      <c r="I376" s="4"/>
      <c r="J376" s="4" t="s">
        <v>21</v>
      </c>
      <c r="K376" s="95">
        <v>4470529.3560218317</v>
      </c>
      <c r="L376" s="95">
        <f>K376/_xlfn.XLOOKUP(C376,'Utility target list'!$K$2:$K$8,'Utility target list'!$L$2:$L$8,1,0,1)</f>
        <v>4470529.3560218317</v>
      </c>
      <c r="M376" s="96">
        <v>35513942.642869711</v>
      </c>
      <c r="N376" s="8"/>
      <c r="O376" s="8">
        <f>SUMIFS(EIAwtransport!$J$2:$J$675,EIAwtransport!$E$2:$E$675,Program_data!$E376,EIAwtransport!$H$2:$H$675,Program_data!$F376,EIAwtransport!$I$2:$I$675,Program_data!O$2)</f>
        <v>1252257606</v>
      </c>
      <c r="P376" s="5">
        <f>SUMIFS(EIAwtransport!$J$2:$J$675,EIAwtransport!$E$2:$E$675,Program_data!$E376,EIAwtransport!$H$2:$H$675,Program_data!$F376,EIAwtransport!$I$2:$I$675,Program_data!P$2)</f>
        <v>129039329</v>
      </c>
      <c r="Q376" s="5">
        <f>SUMIFS(EIAwtransport!$J$2:$J$675,EIAwtransport!$E$2:$E$675,Program_data!$E376,EIAwtransport!$H$2:$H$675,Program_data!$F376,EIAwtransport!$I$2:$I$675,Program_data!Q$2)</f>
        <v>1780479</v>
      </c>
      <c r="R376" s="8">
        <f>SUMIFS(EIAwtransport!$J$2:$J$675,EIAwtransport!$E$2:$E$675,Program_data!$E376,EIAwtransport!$I$2:$I$675,Program_data!R$2)</f>
        <v>2005244600</v>
      </c>
      <c r="S376" s="5">
        <f>SUMIFS(EIAwtransport!$J$2:$J$675,EIAwtransport!$E$2:$E$675,Program_data!$E376,EIAwtransport!$I$2:$I$675,Program_data!S$2)</f>
        <v>372912706</v>
      </c>
      <c r="T376" s="5">
        <f>SUMIFS(EIAwtransport!$J$2:$J$675,EIAwtransport!$E$2:$E$675,Program_data!$E376,EIAwtransport!$I$2:$I$675,Program_data!T$2)</f>
        <v>1957656</v>
      </c>
      <c r="U376" s="24">
        <f t="shared" si="148"/>
        <v>1.1571562745525891E-3</v>
      </c>
      <c r="V376" s="24">
        <f t="shared" si="149"/>
        <v>1.1571562745525891E-3</v>
      </c>
      <c r="W376" s="24">
        <f t="shared" si="150"/>
        <v>1.7710529001234918E-2</v>
      </c>
      <c r="X376" s="25">
        <f t="shared" si="151"/>
        <v>9.1924643125185987E-3</v>
      </c>
      <c r="Y376" s="8">
        <f t="shared" si="137"/>
        <v>7.9440128482843315</v>
      </c>
      <c r="Z376" s="27">
        <f t="shared" si="138"/>
        <v>2.7594635473351801</v>
      </c>
      <c r="AA376" s="27"/>
      <c r="AB376" s="27"/>
      <c r="AC376" s="56">
        <f t="shared" si="154"/>
        <v>5.4616568866390457E-2</v>
      </c>
      <c r="AD376" s="20">
        <f t="shared" si="146"/>
        <v>47943822.567874111</v>
      </c>
      <c r="AE376" s="20">
        <f t="shared" si="139"/>
        <v>0</v>
      </c>
      <c r="AF376" s="20">
        <f t="shared" si="140"/>
        <v>2707080210</v>
      </c>
      <c r="AG376">
        <f t="shared" si="141"/>
        <v>471551436.47318286</v>
      </c>
      <c r="AH376">
        <f t="shared" si="142"/>
        <v>471551436.47318286</v>
      </c>
      <c r="AI376">
        <f t="shared" si="143"/>
        <v>39334832228.880005</v>
      </c>
    </row>
    <row r="377" spans="1:35" x14ac:dyDescent="0.25">
      <c r="B377" s="4">
        <v>2022</v>
      </c>
      <c r="C377" s="4" t="s">
        <v>22</v>
      </c>
      <c r="D377" s="1" t="s">
        <v>34</v>
      </c>
      <c r="E377" s="4" t="str">
        <f t="shared" ref="E377:E445" si="155">D377&amp;"-"&amp;C377</f>
        <v>ConEd-NY</v>
      </c>
      <c r="F377" s="4" t="s">
        <v>146</v>
      </c>
      <c r="G377" s="4"/>
      <c r="H377" s="11"/>
      <c r="I377" s="4"/>
      <c r="J377" s="4" t="s">
        <v>142</v>
      </c>
      <c r="K377" s="5">
        <v>3758090</v>
      </c>
      <c r="L377" s="5">
        <f>K377/_xlfn.XLOOKUP(C377,'Utility target list'!$K$2:$K$8,'Utility target list'!$L$2:$L$8,1,0,1)</f>
        <v>4175655.5555555555</v>
      </c>
      <c r="M377" s="8">
        <v>38500000</v>
      </c>
      <c r="N377" s="8"/>
      <c r="O377" s="8">
        <f>SUMIFS(EIAwtransport!$J$2:$J$675,EIAwtransport!$E$2:$E$675,Program_data!$E377,EIAwtransport!$H$2:$H$675,Program_data!$F377,EIAwtransport!$I$2:$I$675,Program_data!O$2)</f>
        <v>606561766</v>
      </c>
      <c r="P377" s="5">
        <f>SUMIFS(EIAwtransport!$J$2:$J$675,EIAwtransport!$E$2:$E$675,Program_data!$E377,EIAwtransport!$H$2:$H$675,Program_data!$F377,EIAwtransport!$I$2:$I$675,Program_data!P$2)</f>
        <v>121208475</v>
      </c>
      <c r="Q377" s="5">
        <f>SUMIFS(EIAwtransport!$J$2:$J$675,EIAwtransport!$E$2:$E$675,Program_data!$E377,EIAwtransport!$H$2:$H$675,Program_data!$F377,EIAwtransport!$I$2:$I$675,Program_data!Q$2)</f>
        <v>151875</v>
      </c>
      <c r="R377" s="8">
        <f>SUMIFS(EIAwtransport!$J$2:$J$675,EIAwtransport!$E$2:$E$675,Program_data!$E377,EIAwtransport!$I$2:$I$675,Program_data!R$2)</f>
        <v>2138075249</v>
      </c>
      <c r="S377" s="5">
        <f>SUMIFS(EIAwtransport!$J$2:$J$675,EIAwtransport!$E$2:$E$675,Program_data!$E377,EIAwtransport!$I$2:$I$675,Program_data!S$2)</f>
        <v>221235059</v>
      </c>
      <c r="T377" s="5">
        <f>SUMIFS(EIAwtransport!$J$2:$J$675,EIAwtransport!$E$2:$E$675,Program_data!$E377,EIAwtransport!$I$2:$I$675,Program_data!T$2)</f>
        <v>1074774</v>
      </c>
      <c r="U377" s="24">
        <f t="shared" ref="U377:U445" si="156">IFERROR(K377/10.36/S377,"")</f>
        <v>1.639658748661531E-3</v>
      </c>
      <c r="V377" s="24">
        <f t="shared" si="149"/>
        <v>1.8218430540683679E-3</v>
      </c>
      <c r="W377" s="24">
        <f t="shared" ref="W377:W445" si="157">IFERROR(M377/R377,"")</f>
        <v>1.8006849860876903E-2</v>
      </c>
      <c r="X377" s="25">
        <f t="shared" ref="X377:X445" si="158">IFERROR(M377/S377/10.36,"")</f>
        <v>1.6797591814849817E-2</v>
      </c>
      <c r="Y377" s="8">
        <f t="shared" si="137"/>
        <v>10.244565723545737</v>
      </c>
      <c r="Z377" s="27">
        <f t="shared" si="138"/>
        <v>5.634510248369212</v>
      </c>
      <c r="AA377" s="27"/>
      <c r="AB377" s="27"/>
      <c r="AC377" s="56">
        <f t="shared" si="154"/>
        <v>3.9558842105263156E-2</v>
      </c>
      <c r="AD377" s="20">
        <f t="shared" si="146"/>
        <v>51975000</v>
      </c>
      <c r="AE377" s="20">
        <f t="shared" si="139"/>
        <v>0</v>
      </c>
      <c r="AF377" s="20">
        <f t="shared" si="140"/>
        <v>2886401586.1500001</v>
      </c>
      <c r="AG377">
        <f t="shared" si="141"/>
        <v>396403333.19999999</v>
      </c>
      <c r="AH377">
        <f t="shared" si="142"/>
        <v>440448148</v>
      </c>
      <c r="AI377">
        <f t="shared" si="143"/>
        <v>23335874023.32</v>
      </c>
    </row>
    <row r="378" spans="1:35" x14ac:dyDescent="0.25">
      <c r="B378" s="4">
        <v>2022</v>
      </c>
      <c r="C378" s="4" t="s">
        <v>22</v>
      </c>
      <c r="D378" s="1" t="s">
        <v>34</v>
      </c>
      <c r="E378" s="4" t="str">
        <f t="shared" si="155"/>
        <v>ConEd-NY</v>
      </c>
      <c r="F378" s="4" t="s">
        <v>135</v>
      </c>
      <c r="G378" s="4"/>
      <c r="H378" s="11"/>
      <c r="I378" s="4"/>
      <c r="J378" s="4" t="s">
        <v>142</v>
      </c>
      <c r="K378" s="5">
        <v>1360532</v>
      </c>
      <c r="L378" s="5">
        <f>K378/_xlfn.XLOOKUP(C378,'Utility target list'!$K$2:$K$8,'Utility target list'!$L$2:$L$8,1,0,1)</f>
        <v>1511702.2222222222</v>
      </c>
      <c r="M378" s="8">
        <v>31500000</v>
      </c>
      <c r="N378" s="8"/>
      <c r="O378" s="8">
        <f>SUMIFS(EIAwtransport!$J$2:$J$675,EIAwtransport!$E$2:$E$675,Program_data!$E378,EIAwtransport!$H$2:$H$675,Program_data!$F378,EIAwtransport!$I$2:$I$675,Program_data!O$2)</f>
        <v>1531513483</v>
      </c>
      <c r="P378" s="5">
        <f>SUMIFS(EIAwtransport!$J$2:$J$675,EIAwtransport!$E$2:$E$675,Program_data!$E378,EIAwtransport!$H$2:$H$675,Program_data!$F378,EIAwtransport!$I$2:$I$675,Program_data!P$2)</f>
        <v>100026584</v>
      </c>
      <c r="Q378" s="5">
        <f>SUMIFS(EIAwtransport!$J$2:$J$675,EIAwtransport!$E$2:$E$675,Program_data!$E378,EIAwtransport!$H$2:$H$675,Program_data!$F378,EIAwtransport!$I$2:$I$675,Program_data!Q$2)</f>
        <v>922899</v>
      </c>
      <c r="R378" s="8">
        <f>SUMIFS(EIAwtransport!$J$2:$J$675,EIAwtransport!$E$2:$E$675,Program_data!$E378,EIAwtransport!$I$2:$I$675,Program_data!R$2)</f>
        <v>2138075249</v>
      </c>
      <c r="S378" s="5">
        <f>SUMIFS(EIAwtransport!$J$2:$J$675,EIAwtransport!$E$2:$E$675,Program_data!$E378,EIAwtransport!$I$2:$I$675,Program_data!S$2)</f>
        <v>221235059</v>
      </c>
      <c r="T378" s="5">
        <f>SUMIFS(EIAwtransport!$J$2:$J$675,EIAwtransport!$E$2:$E$675,Program_data!$E378,EIAwtransport!$I$2:$I$675,Program_data!T$2)</f>
        <v>1074774</v>
      </c>
      <c r="U378" s="24">
        <f t="shared" si="156"/>
        <v>5.9360158927379873E-4</v>
      </c>
      <c r="V378" s="24">
        <f t="shared" si="149"/>
        <v>6.5955732141533192E-4</v>
      </c>
      <c r="W378" s="24">
        <f t="shared" si="157"/>
        <v>1.4732877158899284E-2</v>
      </c>
      <c r="X378" s="25">
        <f t="shared" si="158"/>
        <v>1.3743484212149852E-2</v>
      </c>
      <c r="Y378" s="8">
        <f t="shared" si="137"/>
        <v>23.152707911317044</v>
      </c>
      <c r="Z378" s="27">
        <f t="shared" si="138"/>
        <v>4.6100538395748094</v>
      </c>
      <c r="AA378" s="27"/>
      <c r="AB378" s="27"/>
      <c r="AC378" s="56">
        <f t="shared" si="154"/>
        <v>1.432138947368421E-2</v>
      </c>
      <c r="AD378" s="20">
        <f t="shared" si="146"/>
        <v>42525000</v>
      </c>
      <c r="AE378" s="20">
        <f t="shared" si="139"/>
        <v>0</v>
      </c>
      <c r="AF378" s="20">
        <f t="shared" si="140"/>
        <v>2886401586.1500001</v>
      </c>
      <c r="AG378">
        <f t="shared" si="141"/>
        <v>143508915.36000001</v>
      </c>
      <c r="AH378">
        <f t="shared" si="142"/>
        <v>159454350.40000001</v>
      </c>
      <c r="AI378">
        <f t="shared" si="143"/>
        <v>23335874023.32</v>
      </c>
    </row>
    <row r="379" spans="1:35" x14ac:dyDescent="0.25">
      <c r="B379" s="4">
        <v>2022</v>
      </c>
      <c r="C379" s="4" t="s">
        <v>22</v>
      </c>
      <c r="D379" s="1" t="s">
        <v>34</v>
      </c>
      <c r="E379" s="4" t="str">
        <f t="shared" si="155"/>
        <v>ConEd-NY</v>
      </c>
      <c r="F379" s="4" t="s">
        <v>143</v>
      </c>
      <c r="G379" s="4">
        <v>1</v>
      </c>
      <c r="H379" s="11"/>
      <c r="I379" s="4"/>
      <c r="J379" s="4" t="s">
        <v>108</v>
      </c>
      <c r="K379" s="5">
        <v>1714270</v>
      </c>
      <c r="L379" s="5">
        <f>K379/_xlfn.XLOOKUP(C379,'Utility target list'!$K$2:$K$8,'Utility target list'!$L$2:$L$8,1,0,1)</f>
        <v>1904744.4444444445</v>
      </c>
      <c r="M379" s="8">
        <v>25000000</v>
      </c>
      <c r="N379" s="8"/>
      <c r="O379" s="8">
        <f>SUMIFS(EIAwtransport!$J$2:$J$675,EIAwtransport!$E$2:$E$675,Program_data!$E379,EIAwtransport!$H$2:$H$675,Program_data!$F379,EIAwtransport!$I$2:$I$675,Program_data!O$2)</f>
        <v>0</v>
      </c>
      <c r="P379" s="5">
        <f>SUMIFS(EIAwtransport!$J$2:$J$675,EIAwtransport!$E$2:$E$675,Program_data!$E379,EIAwtransport!$H$2:$H$675,Program_data!$F379,EIAwtransport!$I$2:$I$675,Program_data!P$2)</f>
        <v>0</v>
      </c>
      <c r="Q379" s="5">
        <f>SUMIFS(EIAwtransport!$J$2:$J$675,EIAwtransport!$E$2:$E$675,Program_data!$E379,EIAwtransport!$H$2:$H$675,Program_data!$F379,EIAwtransport!$I$2:$I$675,Program_data!Q$2)</f>
        <v>0</v>
      </c>
      <c r="R379" s="8">
        <f>SUMIFS(EIAwtransport!$J$2:$J$675,EIAwtransport!$E$2:$E$675,Program_data!$E379,EIAwtransport!$I$2:$I$675,Program_data!R$2)</f>
        <v>2138075249</v>
      </c>
      <c r="S379" s="5">
        <f>SUMIFS(EIAwtransport!$J$2:$J$675,EIAwtransport!$E$2:$E$675,Program_data!$E379,EIAwtransport!$I$2:$I$675,Program_data!S$2)</f>
        <v>221235059</v>
      </c>
      <c r="T379" s="5">
        <f>SUMIFS(EIAwtransport!$J$2:$J$675,EIAwtransport!$E$2:$E$675,Program_data!$E379,EIAwtransport!$I$2:$I$675,Program_data!T$2)</f>
        <v>1074774</v>
      </c>
      <c r="U379" s="24">
        <f t="shared" si="156"/>
        <v>7.479378628686388E-4</v>
      </c>
      <c r="V379" s="24">
        <f t="shared" si="149"/>
        <v>8.3104206985404317E-4</v>
      </c>
      <c r="W379" s="24">
        <f t="shared" si="157"/>
        <v>1.1692759649920066E-2</v>
      </c>
      <c r="X379" s="25">
        <f t="shared" si="158"/>
        <v>1.0907527152499881E-2</v>
      </c>
      <c r="Y379" s="8">
        <f t="shared" si="137"/>
        <v>14.583467015114305</v>
      </c>
      <c r="Z379" s="27">
        <f t="shared" si="138"/>
        <v>3.6587728885514363</v>
      </c>
      <c r="AA379" s="27"/>
      <c r="AB379" s="27"/>
      <c r="AC379" s="56">
        <f t="shared" si="154"/>
        <v>1.8044947368421053E-2</v>
      </c>
      <c r="AD379" s="20">
        <f t="shared" si="146"/>
        <v>33750000</v>
      </c>
      <c r="AE379" s="20">
        <f t="shared" si="139"/>
        <v>0</v>
      </c>
      <c r="AF379" s="20">
        <f t="shared" si="140"/>
        <v>2886401586.1500001</v>
      </c>
      <c r="AG379">
        <f t="shared" si="141"/>
        <v>180821199.59999999</v>
      </c>
      <c r="AH379">
        <f t="shared" si="142"/>
        <v>200912444</v>
      </c>
      <c r="AI379">
        <f t="shared" si="143"/>
        <v>23335874023.32</v>
      </c>
    </row>
    <row r="380" spans="1:35" x14ac:dyDescent="0.25">
      <c r="B380" s="4">
        <v>2022</v>
      </c>
      <c r="C380" s="4" t="s">
        <v>22</v>
      </c>
      <c r="D380" s="1" t="s">
        <v>159</v>
      </c>
      <c r="E380" s="4" t="str">
        <f t="shared" si="155"/>
        <v>Ngrid-NY</v>
      </c>
      <c r="F380" s="4" t="s">
        <v>146</v>
      </c>
      <c r="G380" s="4"/>
      <c r="H380" s="11"/>
      <c r="I380" s="4"/>
      <c r="J380" s="4" t="s">
        <v>142</v>
      </c>
      <c r="K380" s="5">
        <v>7985528</v>
      </c>
      <c r="L380" s="5">
        <f>K380/_xlfn.XLOOKUP(C380,'Utility target list'!$K$2:$K$8,'Utility target list'!$L$2:$L$8,1,0,1)</f>
        <v>8872808.8888888881</v>
      </c>
      <c r="M380" s="8">
        <v>97349337.507187918</v>
      </c>
      <c r="N380" s="8"/>
      <c r="O380" s="8">
        <f>SUMIFS(EIAwtransport!$J$2:$J$675,EIAwtransport!$E$2:$E$675,Program_data!$E380,EIAwtransport!$H$2:$H$675,Program_data!$F380,EIAwtransport!$I$2:$I$675,Program_data!O$2)</f>
        <v>506314418</v>
      </c>
      <c r="P380" s="5">
        <f>SUMIFS(EIAwtransport!$J$2:$J$675,EIAwtransport!$E$2:$E$675,Program_data!$E380,EIAwtransport!$H$2:$H$675,Program_data!$F380,EIAwtransport!$I$2:$I$675,Program_data!P$2)</f>
        <v>103186096</v>
      </c>
      <c r="Q380" s="5">
        <f>SUMIFS(EIAwtransport!$J$2:$J$675,EIAwtransport!$E$2:$E$675,Program_data!$E380,EIAwtransport!$H$2:$H$675,Program_data!$F380,EIAwtransport!$I$2:$I$675,Program_data!Q$2)</f>
        <v>110262</v>
      </c>
      <c r="R380" s="8">
        <f>SUMIFS(EIAwtransport!$J$2:$J$675,EIAwtransport!$E$2:$E$675,Program_data!$E380,EIAwtransport!$I$2:$I$675,Program_data!R$2)</f>
        <v>1750657898</v>
      </c>
      <c r="S380" s="5">
        <f>SUMIFS(EIAwtransport!$J$2:$J$675,EIAwtransport!$E$2:$E$675,Program_data!$E380,EIAwtransport!$I$2:$I$675,Program_data!S$2)</f>
        <v>208185403</v>
      </c>
      <c r="T380" s="5">
        <f>SUMIFS(EIAwtransport!$J$2:$J$675,EIAwtransport!$E$2:$E$675,Program_data!$E380,EIAwtransport!$I$2:$I$675,Program_data!T$2)</f>
        <v>1252816</v>
      </c>
      <c r="U380" s="24">
        <f t="shared" si="156"/>
        <v>3.7024875418564338E-3</v>
      </c>
      <c r="V380" s="24">
        <f t="shared" si="149"/>
        <v>4.1138750465071483E-3</v>
      </c>
      <c r="W380" s="24">
        <f t="shared" si="157"/>
        <v>5.5607287762162151E-2</v>
      </c>
      <c r="X380" s="25">
        <f t="shared" si="158"/>
        <v>4.5135989671358054E-2</v>
      </c>
      <c r="Y380" s="8">
        <f t="shared" si="137"/>
        <v>12.190720201242538</v>
      </c>
      <c r="Z380" s="27">
        <f t="shared" si="138"/>
        <v>11.334359177305968</v>
      </c>
      <c r="AA380" s="27"/>
      <c r="AB380" s="27"/>
      <c r="AC380" s="56">
        <f t="shared" si="154"/>
        <v>4.1014804026839831E-2</v>
      </c>
      <c r="AD380" s="20">
        <f t="shared" si="146"/>
        <v>131421605.6347037</v>
      </c>
      <c r="AE380" s="20">
        <f t="shared" si="139"/>
        <v>0</v>
      </c>
      <c r="AF380" s="20">
        <f t="shared" si="140"/>
        <v>2363388162.3000002</v>
      </c>
      <c r="AG380">
        <f t="shared" si="141"/>
        <v>842313493.44000006</v>
      </c>
      <c r="AH380">
        <f t="shared" si="142"/>
        <v>935903881.5999999</v>
      </c>
      <c r="AI380">
        <f t="shared" si="143"/>
        <v>21959396308.440002</v>
      </c>
    </row>
    <row r="381" spans="1:35" x14ac:dyDescent="0.25">
      <c r="B381" s="4">
        <v>2022</v>
      </c>
      <c r="C381" s="4" t="s">
        <v>22</v>
      </c>
      <c r="D381" s="1" t="s">
        <v>159</v>
      </c>
      <c r="E381" s="4" t="str">
        <f t="shared" si="155"/>
        <v>Ngrid-NY</v>
      </c>
      <c r="F381" s="4" t="s">
        <v>135</v>
      </c>
      <c r="G381" s="4"/>
      <c r="H381" s="11"/>
      <c r="I381" s="4"/>
      <c r="J381" s="4" t="s">
        <v>142</v>
      </c>
      <c r="K381" s="5">
        <v>353342</v>
      </c>
      <c r="L381" s="5">
        <f>K381/_xlfn.XLOOKUP(C381,'Utility target list'!$K$2:$K$8,'Utility target list'!$L$2:$L$8,1,0,1)</f>
        <v>392602.22222222219</v>
      </c>
      <c r="M381" s="8">
        <v>54274409.406662285</v>
      </c>
      <c r="N381" s="8"/>
      <c r="O381" s="8">
        <f>SUMIFS(EIAwtransport!$J$2:$J$675,EIAwtransport!$E$2:$E$675,Program_data!$E381,EIAwtransport!$H$2:$H$675,Program_data!$F381,EIAwtransport!$I$2:$I$675,Program_data!O$2)</f>
        <v>1244343480</v>
      </c>
      <c r="P381" s="5">
        <f>SUMIFS(EIAwtransport!$J$2:$J$675,EIAwtransport!$E$2:$E$675,Program_data!$E381,EIAwtransport!$H$2:$H$675,Program_data!$F381,EIAwtransport!$I$2:$I$675,Program_data!P$2)</f>
        <v>104999307</v>
      </c>
      <c r="Q381" s="5">
        <f>SUMIFS(EIAwtransport!$J$2:$J$675,EIAwtransport!$E$2:$E$675,Program_data!$E381,EIAwtransport!$H$2:$H$675,Program_data!$F381,EIAwtransport!$I$2:$I$675,Program_data!Q$2)</f>
        <v>1142554</v>
      </c>
      <c r="R381" s="8">
        <f>SUMIFS(EIAwtransport!$J$2:$J$675,EIAwtransport!$E$2:$E$675,Program_data!$E381,EIAwtransport!$I$2:$I$675,Program_data!R$2)</f>
        <v>1750657898</v>
      </c>
      <c r="S381" s="5">
        <f>SUMIFS(EIAwtransport!$J$2:$J$675,EIAwtransport!$E$2:$E$675,Program_data!$E381,EIAwtransport!$I$2:$I$675,Program_data!S$2)</f>
        <v>208185403</v>
      </c>
      <c r="T381" s="5">
        <f>SUMIFS(EIAwtransport!$J$2:$J$675,EIAwtransport!$E$2:$E$675,Program_data!$E381,EIAwtransport!$I$2:$I$675,Program_data!T$2)</f>
        <v>1252816</v>
      </c>
      <c r="U381" s="24">
        <f t="shared" si="156"/>
        <v>1.6382690700159538E-4</v>
      </c>
      <c r="V381" s="24">
        <f t="shared" si="149"/>
        <v>1.8202989666843932E-4</v>
      </c>
      <c r="W381" s="24">
        <f t="shared" si="157"/>
        <v>3.1002293177134647E-2</v>
      </c>
      <c r="X381" s="25">
        <f t="shared" si="158"/>
        <v>2.5164312825624396E-2</v>
      </c>
      <c r="Y381" s="8">
        <f t="shared" si="137"/>
        <v>153.6030514534425</v>
      </c>
      <c r="Z381" s="27">
        <f t="shared" si="138"/>
        <v>6.3191560015068671</v>
      </c>
      <c r="AA381" s="27"/>
      <c r="AB381" s="27"/>
      <c r="AC381" s="56">
        <f t="shared" si="154"/>
        <v>1.8148146101862818E-3</v>
      </c>
      <c r="AD381" s="20">
        <f t="shared" si="146"/>
        <v>73270452.698994085</v>
      </c>
      <c r="AE381" s="20">
        <f t="shared" si="139"/>
        <v>0</v>
      </c>
      <c r="AF381" s="20">
        <f t="shared" si="140"/>
        <v>2363388162.3000002</v>
      </c>
      <c r="AG381">
        <f t="shared" si="141"/>
        <v>37270514.160000004</v>
      </c>
      <c r="AH381">
        <f t="shared" si="142"/>
        <v>41411682.399999999</v>
      </c>
      <c r="AI381">
        <f t="shared" si="143"/>
        <v>21959396308.440002</v>
      </c>
    </row>
    <row r="382" spans="1:35" x14ac:dyDescent="0.25">
      <c r="B382" s="4">
        <v>2022</v>
      </c>
      <c r="C382" s="4" t="s">
        <v>22</v>
      </c>
      <c r="D382" s="1" t="s">
        <v>159</v>
      </c>
      <c r="E382" s="4" t="str">
        <f t="shared" si="155"/>
        <v>Ngrid-NY</v>
      </c>
      <c r="F382" s="4" t="s">
        <v>143</v>
      </c>
      <c r="G382" s="4">
        <v>1</v>
      </c>
      <c r="H382" s="11"/>
      <c r="I382" s="4"/>
      <c r="J382" s="4" t="s">
        <v>108</v>
      </c>
      <c r="K382" s="5">
        <v>250000</v>
      </c>
      <c r="L382" s="5">
        <f>K382/_xlfn.XLOOKUP(C382,'Utility target list'!$K$2:$K$8,'Utility target list'!$L$2:$L$8,1,0,1)</f>
        <v>277777.77777777775</v>
      </c>
      <c r="M382" s="8">
        <v>43074928.100525633</v>
      </c>
      <c r="N382" s="8"/>
      <c r="O382" s="8">
        <f>SUMIFS(EIAwtransport!$J$2:$J$675,EIAwtransport!$E$2:$E$675,Program_data!$E382,EIAwtransport!$H$2:$H$675,Program_data!$F382,EIAwtransport!$I$2:$I$675,Program_data!O$2)</f>
        <v>0</v>
      </c>
      <c r="P382" s="5">
        <f>SUMIFS(EIAwtransport!$J$2:$J$675,EIAwtransport!$E$2:$E$675,Program_data!$E382,EIAwtransport!$H$2:$H$675,Program_data!$F382,EIAwtransport!$I$2:$I$675,Program_data!P$2)</f>
        <v>0</v>
      </c>
      <c r="Q382" s="5">
        <f>SUMIFS(EIAwtransport!$J$2:$J$675,EIAwtransport!$E$2:$E$675,Program_data!$E382,EIAwtransport!$H$2:$H$675,Program_data!$F382,EIAwtransport!$I$2:$I$675,Program_data!Q$2)</f>
        <v>0</v>
      </c>
      <c r="R382" s="8">
        <f>SUMIFS(EIAwtransport!$J$2:$J$675,EIAwtransport!$E$2:$E$675,Program_data!$E382,EIAwtransport!$I$2:$I$675,Program_data!R$2)</f>
        <v>1750657898</v>
      </c>
      <c r="S382" s="5">
        <f>SUMIFS(EIAwtransport!$J$2:$J$675,EIAwtransport!$E$2:$E$675,Program_data!$E382,EIAwtransport!$I$2:$I$675,Program_data!S$2)</f>
        <v>208185403</v>
      </c>
      <c r="T382" s="5">
        <f>SUMIFS(EIAwtransport!$J$2:$J$675,EIAwtransport!$E$2:$E$675,Program_data!$E382,EIAwtransport!$I$2:$I$675,Program_data!T$2)</f>
        <v>1252816</v>
      </c>
      <c r="U382" s="24">
        <f t="shared" si="156"/>
        <v>1.1591242125306033E-4</v>
      </c>
      <c r="V382" s="24">
        <f t="shared" si="149"/>
        <v>1.2879157917006703E-4</v>
      </c>
      <c r="W382" s="24">
        <f t="shared" si="157"/>
        <v>2.4604994585027504E-2</v>
      </c>
      <c r="X382" s="25">
        <f t="shared" si="158"/>
        <v>1.9971676845733654E-2</v>
      </c>
      <c r="Y382" s="8">
        <f t="shared" si="137"/>
        <v>172.29971240210253</v>
      </c>
      <c r="Z382" s="27">
        <f t="shared" si="138"/>
        <v>5.015203175799102</v>
      </c>
      <c r="AA382" s="27"/>
      <c r="AB382" s="27"/>
      <c r="AC382" s="56">
        <f t="shared" si="154"/>
        <v>1.2840354459604873E-3</v>
      </c>
      <c r="AD382" s="20">
        <f t="shared" si="146"/>
        <v>58151152.935709611</v>
      </c>
      <c r="AE382" s="20">
        <f t="shared" si="139"/>
        <v>0</v>
      </c>
      <c r="AF382" s="20">
        <f t="shared" si="140"/>
        <v>2363388162.3000002</v>
      </c>
      <c r="AG382">
        <f t="shared" si="141"/>
        <v>26370000</v>
      </c>
      <c r="AH382">
        <f t="shared" si="142"/>
        <v>29300000</v>
      </c>
      <c r="AI382">
        <f t="shared" si="143"/>
        <v>21959396308.440002</v>
      </c>
    </row>
    <row r="383" spans="1:35" x14ac:dyDescent="0.25">
      <c r="B383" s="4">
        <v>2024</v>
      </c>
      <c r="C383" s="4" t="s">
        <v>324</v>
      </c>
      <c r="D383" s="1" t="s">
        <v>325</v>
      </c>
      <c r="E383" s="4" t="str">
        <f t="shared" si="155"/>
        <v>NW Natural-OR</v>
      </c>
      <c r="F383" s="4" t="s">
        <v>146</v>
      </c>
      <c r="G383" s="4"/>
      <c r="H383" s="11" t="s">
        <v>326</v>
      </c>
      <c r="I383" s="4"/>
      <c r="J383" s="4" t="s">
        <v>32</v>
      </c>
      <c r="K383" s="5">
        <v>310199</v>
      </c>
      <c r="L383" s="5">
        <f t="shared" ref="L383:L397" si="159">K383</f>
        <v>310199</v>
      </c>
      <c r="M383" s="8">
        <v>1213218</v>
      </c>
      <c r="N383" s="8">
        <v>511807</v>
      </c>
      <c r="O383" s="8">
        <f>SUMIFS(EIAwtransport!$J$2:$J$675,EIAwtransport!$E$2:$E$675,Program_data!$E383,EIAwtransport!$H$2:$H$675,Program_data!$F383,EIAwtransport!$I$2:$I$675,Program_data!O$2)</f>
        <v>255520153</v>
      </c>
      <c r="P383" s="5">
        <f>SUMIFS(EIAwtransport!$J$2:$J$675,EIAwtransport!$E$2:$E$675,Program_data!$E383,EIAwtransport!$H$2:$H$675,Program_data!$F383,EIAwtransport!$I$2:$I$675,Program_data!P$2)</f>
        <v>64985853</v>
      </c>
      <c r="Q383" s="5">
        <f>SUMIFS(EIAwtransport!$J$2:$J$675,EIAwtransport!$E$2:$E$675,Program_data!$E383,EIAwtransport!$H$2:$H$675,Program_data!$F383,EIAwtransport!$I$2:$I$675,Program_data!Q$2)</f>
        <v>62300</v>
      </c>
      <c r="R383" s="8">
        <f>SUMIFS(EIAwtransport!$J$2:$J$675,EIAwtransport!$E$2:$E$675,Program_data!$E383,EIAwtransport!$I$2:$I$675,Program_data!R$2)</f>
        <v>687184546</v>
      </c>
      <c r="S383" s="5">
        <f>SUMIFS(EIAwtransport!$J$2:$J$675,EIAwtransport!$E$2:$E$675,Program_data!$E383,EIAwtransport!$I$2:$I$675,Program_data!S$2)</f>
        <v>101857886</v>
      </c>
      <c r="T383" s="5">
        <f>SUMIFS(EIAwtransport!$J$2:$J$675,EIAwtransport!$E$2:$E$675,Program_data!$E383,EIAwtransport!$I$2:$I$675,Program_data!T$2)</f>
        <v>688078</v>
      </c>
      <c r="U383" s="104">
        <f t="shared" si="156"/>
        <v>2.9395847089334269E-4</v>
      </c>
      <c r="V383" s="104">
        <f t="shared" si="149"/>
        <v>2.9395847089334269E-4</v>
      </c>
      <c r="W383" s="104">
        <f t="shared" si="157"/>
        <v>1.7654908089274756E-3</v>
      </c>
      <c r="X383" s="105">
        <f t="shared" si="158"/>
        <v>1.1496997351386673E-3</v>
      </c>
      <c r="Y383" s="8">
        <f t="shared" si="137"/>
        <v>0.42091221272612594</v>
      </c>
      <c r="Z383" s="27">
        <f t="shared" si="138"/>
        <v>0.21532180388436048</v>
      </c>
      <c r="AA383" s="30" t="s">
        <v>327</v>
      </c>
      <c r="AB383" s="31" t="s">
        <v>328</v>
      </c>
      <c r="AC383" s="56">
        <f t="shared" si="154"/>
        <v>7.4829813490310156E-3</v>
      </c>
      <c r="AD383" s="20">
        <f t="shared" si="146"/>
        <v>1637844.3</v>
      </c>
      <c r="AE383" s="20">
        <f t="shared" si="139"/>
        <v>690939.45000000007</v>
      </c>
      <c r="AF383" s="20">
        <f t="shared" si="140"/>
        <v>927699137.10000002</v>
      </c>
      <c r="AG383">
        <f t="shared" si="141"/>
        <v>32719790.52</v>
      </c>
      <c r="AH383">
        <f t="shared" si="142"/>
        <v>32719790.52</v>
      </c>
      <c r="AI383">
        <f t="shared" si="143"/>
        <v>10743969815.280001</v>
      </c>
    </row>
    <row r="384" spans="1:35" x14ac:dyDescent="0.25">
      <c r="B384" s="4">
        <v>2025</v>
      </c>
      <c r="C384" s="4" t="s">
        <v>324</v>
      </c>
      <c r="D384" s="1" t="s">
        <v>325</v>
      </c>
      <c r="E384" s="4" t="str">
        <f t="shared" si="155"/>
        <v>NW Natural-OR</v>
      </c>
      <c r="F384" s="4" t="s">
        <v>146</v>
      </c>
      <c r="G384" s="4"/>
      <c r="H384" s="11" t="s">
        <v>326</v>
      </c>
      <c r="I384" s="4"/>
      <c r="J384" s="4" t="s">
        <v>32</v>
      </c>
      <c r="K384" s="5">
        <v>313826</v>
      </c>
      <c r="L384" s="5">
        <f t="shared" si="159"/>
        <v>313826</v>
      </c>
      <c r="M384" s="8">
        <v>1353587</v>
      </c>
      <c r="N384" s="8">
        <v>571892</v>
      </c>
      <c r="O384" s="8">
        <f>SUMIFS(EIAwtransport!$J$2:$J$675,EIAwtransport!$E$2:$E$675,Program_data!$E384,EIAwtransport!$H$2:$H$675,Program_data!$F384,EIAwtransport!$I$2:$I$675,Program_data!O$2)</f>
        <v>255520153</v>
      </c>
      <c r="P384" s="5">
        <f>SUMIFS(EIAwtransport!$J$2:$J$675,EIAwtransport!$E$2:$E$675,Program_data!$E384,EIAwtransport!$H$2:$H$675,Program_data!$F384,EIAwtransport!$I$2:$I$675,Program_data!P$2)</f>
        <v>64985853</v>
      </c>
      <c r="Q384" s="5">
        <f>SUMIFS(EIAwtransport!$J$2:$J$675,EIAwtransport!$E$2:$E$675,Program_data!$E384,EIAwtransport!$H$2:$H$675,Program_data!$F384,EIAwtransport!$I$2:$I$675,Program_data!Q$2)</f>
        <v>62300</v>
      </c>
      <c r="R384" s="8">
        <f>SUMIFS(EIAwtransport!$J$2:$J$675,EIAwtransport!$E$2:$E$675,Program_data!$E384,EIAwtransport!$I$2:$I$675,Program_data!R$2)</f>
        <v>687184546</v>
      </c>
      <c r="S384" s="5">
        <f>SUMIFS(EIAwtransport!$J$2:$J$675,EIAwtransport!$E$2:$E$675,Program_data!$E384,EIAwtransport!$I$2:$I$675,Program_data!S$2)</f>
        <v>101857886</v>
      </c>
      <c r="T384" s="5">
        <f>SUMIFS(EIAwtransport!$J$2:$J$675,EIAwtransport!$E$2:$E$675,Program_data!$E384,EIAwtransport!$I$2:$I$675,Program_data!T$2)</f>
        <v>688078</v>
      </c>
      <c r="U384" s="24">
        <f t="shared" si="156"/>
        <v>2.9739557860139514E-4</v>
      </c>
      <c r="V384" s="24">
        <f t="shared" si="149"/>
        <v>2.9739557860139514E-4</v>
      </c>
      <c r="W384" s="24">
        <f t="shared" si="157"/>
        <v>1.9697576260686166E-3</v>
      </c>
      <c r="X384" s="25">
        <f t="shared" si="158"/>
        <v>1.2827196887839969E-3</v>
      </c>
      <c r="Y384" s="8">
        <f t="shared" si="137"/>
        <v>0.50846587280718225</v>
      </c>
      <c r="Z384" s="27">
        <f t="shared" si="138"/>
        <v>0.23479783878447932</v>
      </c>
      <c r="AA384" s="30" t="s">
        <v>329</v>
      </c>
      <c r="AB384" s="30" t="s">
        <v>330</v>
      </c>
      <c r="AC384" s="56">
        <f t="shared" si="154"/>
        <v>7.2187931067479493E-3</v>
      </c>
      <c r="AD384" s="20">
        <f t="shared" si="146"/>
        <v>1827342.4500000002</v>
      </c>
      <c r="AE384" s="20">
        <f t="shared" si="139"/>
        <v>772054.20000000007</v>
      </c>
      <c r="AF384" s="20">
        <f t="shared" si="140"/>
        <v>927699137.10000002</v>
      </c>
      <c r="AG384">
        <f t="shared" si="141"/>
        <v>33102366.48</v>
      </c>
      <c r="AH384">
        <f t="shared" si="142"/>
        <v>33102366.48</v>
      </c>
      <c r="AI384">
        <f t="shared" si="143"/>
        <v>10743969815.280001</v>
      </c>
    </row>
    <row r="385" spans="2:35" x14ac:dyDescent="0.25">
      <c r="B385" s="4">
        <v>2024</v>
      </c>
      <c r="C385" s="4" t="s">
        <v>324</v>
      </c>
      <c r="D385" s="1" t="s">
        <v>325</v>
      </c>
      <c r="E385" s="4" t="str">
        <f>D385&amp;"-"&amp;C385</f>
        <v>NW Natural-OR</v>
      </c>
      <c r="F385" s="4" t="s">
        <v>143</v>
      </c>
      <c r="G385" s="4"/>
      <c r="H385" s="11" t="s">
        <v>331</v>
      </c>
      <c r="I385" s="4"/>
      <c r="J385" s="4" t="s">
        <v>27</v>
      </c>
      <c r="K385" s="5">
        <v>5425</v>
      </c>
      <c r="L385" s="5">
        <f>K385</f>
        <v>5425</v>
      </c>
      <c r="M385" s="8">
        <v>177428</v>
      </c>
      <c r="N385" s="8"/>
      <c r="O385" s="8">
        <f>SUMIFS(EIAwtransport!$J$2:$J$675,EIAwtransport!$E$2:$E$675,Program_data!$E385,EIAwtransport!$H$2:$H$675,Program_data!$F385,EIAwtransport!$I$2:$I$675,Program_data!O$2)</f>
        <v>0</v>
      </c>
      <c r="P385" s="5">
        <f>SUMIFS(EIAwtransport!$J$2:$J$675,EIAwtransport!$E$2:$E$675,Program_data!$E385,EIAwtransport!$H$2:$H$675,Program_data!$F385,EIAwtransport!$I$2:$I$675,Program_data!P$2)</f>
        <v>0</v>
      </c>
      <c r="Q385" s="5">
        <f>SUMIFS(EIAwtransport!$J$2:$J$675,EIAwtransport!$E$2:$E$675,Program_data!$E385,EIAwtransport!$H$2:$H$675,Program_data!$F385,EIAwtransport!$I$2:$I$675,Program_data!Q$2)</f>
        <v>0</v>
      </c>
      <c r="R385" s="8">
        <f>SUMIFS(EIAwtransport!$J$2:$J$675,EIAwtransport!$E$2:$E$675,Program_data!$E385,EIAwtransport!$I$2:$I$675,Program_data!R$2)</f>
        <v>687184546</v>
      </c>
      <c r="S385" s="5">
        <f>SUMIFS(EIAwtransport!$J$2:$J$675,EIAwtransport!$E$2:$E$675,Program_data!$E385,EIAwtransport!$I$2:$I$675,Program_data!S$2)</f>
        <v>101857886</v>
      </c>
      <c r="T385" s="5">
        <f>SUMIFS(EIAwtransport!$J$2:$J$675,EIAwtransport!$E$2:$E$675,Program_data!$E385,EIAwtransport!$I$2:$I$675,Program_data!T$2)</f>
        <v>688078</v>
      </c>
      <c r="U385" s="104">
        <f t="shared" si="156"/>
        <v>5.14097306759978E-6</v>
      </c>
      <c r="V385" s="104">
        <f t="shared" si="149"/>
        <v>5.14097306759978E-6</v>
      </c>
      <c r="W385" s="104">
        <f t="shared" si="157"/>
        <v>2.5819556192405993E-4</v>
      </c>
      <c r="X385" s="105">
        <f t="shared" si="158"/>
        <v>1.6813872247706797E-4</v>
      </c>
      <c r="Y385" s="8">
        <f t="shared" si="137"/>
        <v>32.705622119815665</v>
      </c>
      <c r="Z385" s="27">
        <f t="shared" si="138"/>
        <v>3.1489902902523959E-2</v>
      </c>
      <c r="AA385" s="27"/>
      <c r="AB385" s="27"/>
      <c r="AC385" s="56">
        <f t="shared" si="154"/>
        <v>1.3086816468941957E-4</v>
      </c>
      <c r="AD385" s="20">
        <f>M385*1.35</f>
        <v>239527.80000000002</v>
      </c>
      <c r="AE385" s="20">
        <f>N385*1.35</f>
        <v>0</v>
      </c>
      <c r="AF385" s="20">
        <f>R385*1.35</f>
        <v>927699137.10000002</v>
      </c>
      <c r="AG385">
        <f>K385*105.48</f>
        <v>572229</v>
      </c>
      <c r="AH385">
        <f>L385*105.48</f>
        <v>572229</v>
      </c>
      <c r="AI385">
        <f>S385*105.48</f>
        <v>10743969815.280001</v>
      </c>
    </row>
    <row r="386" spans="2:35" x14ac:dyDescent="0.25">
      <c r="B386" s="4">
        <v>2024</v>
      </c>
      <c r="C386" s="4" t="s">
        <v>324</v>
      </c>
      <c r="D386" s="1" t="s">
        <v>325</v>
      </c>
      <c r="E386" s="4" t="str">
        <f t="shared" si="155"/>
        <v>NW Natural-OR</v>
      </c>
      <c r="F386" s="4" t="s">
        <v>135</v>
      </c>
      <c r="G386" s="4"/>
      <c r="H386" s="11" t="s">
        <v>332</v>
      </c>
      <c r="I386" s="4"/>
      <c r="J386" s="4" t="s">
        <v>21</v>
      </c>
      <c r="K386" s="5">
        <v>901621</v>
      </c>
      <c r="L386" s="5">
        <f t="shared" si="159"/>
        <v>901621</v>
      </c>
      <c r="M386" s="8">
        <v>6561682</v>
      </c>
      <c r="N386" s="8">
        <v>2883808</v>
      </c>
      <c r="O386" s="8">
        <f>SUMIFS(EIAwtransport!$J$2:$J$675,EIAwtransport!$E$2:$E$675,Program_data!$E386,EIAwtransport!$H$2:$H$675,Program_data!$F386,EIAwtransport!$I$2:$I$675,Program_data!O$2)</f>
        <v>431664393</v>
      </c>
      <c r="P386" s="5">
        <f>SUMIFS(EIAwtransport!$J$2:$J$675,EIAwtransport!$E$2:$E$675,Program_data!$E386,EIAwtransport!$H$2:$H$675,Program_data!$F386,EIAwtransport!$I$2:$I$675,Program_data!P$2)</f>
        <v>36872033</v>
      </c>
      <c r="Q386" s="5">
        <f>SUMIFS(EIAwtransport!$J$2:$J$675,EIAwtransport!$E$2:$E$675,Program_data!$E386,EIAwtransport!$H$2:$H$675,Program_data!$F386,EIAwtransport!$I$2:$I$675,Program_data!Q$2)</f>
        <v>625778</v>
      </c>
      <c r="R386" s="8">
        <f>SUMIFS(EIAwtransport!$J$2:$J$675,EIAwtransport!$E$2:$E$675,Program_data!$E386,EIAwtransport!$I$2:$I$675,Program_data!R$2)</f>
        <v>687184546</v>
      </c>
      <c r="S386" s="5">
        <f>SUMIFS(EIAwtransport!$J$2:$J$675,EIAwtransport!$E$2:$E$675,Program_data!$E386,EIAwtransport!$I$2:$I$675,Program_data!S$2)</f>
        <v>101857886</v>
      </c>
      <c r="T386" s="5">
        <f>SUMIFS(EIAwtransport!$J$2:$J$675,EIAwtransport!$E$2:$E$675,Program_data!$E386,EIAwtransport!$I$2:$I$675,Program_data!T$2)</f>
        <v>688078</v>
      </c>
      <c r="U386" s="104">
        <f t="shared" si="156"/>
        <v>8.5441645680781216E-4</v>
      </c>
      <c r="V386" s="104">
        <f t="shared" si="149"/>
        <v>8.5441645680781216E-4</v>
      </c>
      <c r="W386" s="104">
        <f t="shared" si="157"/>
        <v>9.5486460488591954E-3</v>
      </c>
      <c r="X386" s="105">
        <f t="shared" si="158"/>
        <v>6.2181438599362695E-3</v>
      </c>
      <c r="Y386" s="8">
        <f t="shared" si="137"/>
        <v>2.3889659521266178</v>
      </c>
      <c r="Z386" s="27">
        <f t="shared" si="138"/>
        <v>1.1645666358029128</v>
      </c>
      <c r="AA386" s="27"/>
      <c r="AB386" s="27"/>
      <c r="AC386" s="56">
        <f t="shared" si="154"/>
        <v>2.174995124708556E-2</v>
      </c>
      <c r="AD386" s="20">
        <f t="shared" si="146"/>
        <v>8858270.7000000011</v>
      </c>
      <c r="AE386" s="20">
        <f t="shared" si="139"/>
        <v>3893140.8000000003</v>
      </c>
      <c r="AF386" s="20">
        <f t="shared" si="140"/>
        <v>927699137.10000002</v>
      </c>
      <c r="AG386">
        <f t="shared" si="141"/>
        <v>95102983.079999998</v>
      </c>
      <c r="AH386">
        <f t="shared" si="142"/>
        <v>95102983.079999998</v>
      </c>
      <c r="AI386">
        <f t="shared" si="143"/>
        <v>10743969815.280001</v>
      </c>
    </row>
    <row r="387" spans="2:35" x14ac:dyDescent="0.25">
      <c r="B387" s="4">
        <v>2025</v>
      </c>
      <c r="C387" s="4" t="s">
        <v>324</v>
      </c>
      <c r="D387" s="1" t="s">
        <v>325</v>
      </c>
      <c r="E387" s="4" t="str">
        <f t="shared" si="155"/>
        <v>NW Natural-OR</v>
      </c>
      <c r="F387" s="4" t="s">
        <v>135</v>
      </c>
      <c r="G387" s="4"/>
      <c r="H387" s="11" t="s">
        <v>332</v>
      </c>
      <c r="I387" s="4"/>
      <c r="J387" s="4" t="s">
        <v>142</v>
      </c>
      <c r="K387" s="5">
        <v>930130</v>
      </c>
      <c r="L387" s="5">
        <f t="shared" si="159"/>
        <v>930130</v>
      </c>
      <c r="M387" s="8">
        <v>7056574</v>
      </c>
      <c r="N387" s="8">
        <v>3019968</v>
      </c>
      <c r="O387" s="8">
        <f>SUMIFS(EIAwtransport!$J$2:$J$675,EIAwtransport!$E$2:$E$675,Program_data!$E387,EIAwtransport!$H$2:$H$675,Program_data!$F387,EIAwtransport!$I$2:$I$675,Program_data!O$2)</f>
        <v>431664393</v>
      </c>
      <c r="P387" s="5">
        <f>SUMIFS(EIAwtransport!$J$2:$J$675,EIAwtransport!$E$2:$E$675,Program_data!$E387,EIAwtransport!$H$2:$H$675,Program_data!$F387,EIAwtransport!$I$2:$I$675,Program_data!P$2)</f>
        <v>36872033</v>
      </c>
      <c r="Q387" s="5">
        <f>SUMIFS(EIAwtransport!$J$2:$J$675,EIAwtransport!$E$2:$E$675,Program_data!$E387,EIAwtransport!$H$2:$H$675,Program_data!$F387,EIAwtransport!$I$2:$I$675,Program_data!Q$2)</f>
        <v>625778</v>
      </c>
      <c r="R387" s="8">
        <f>SUMIFS(EIAwtransport!$J$2:$J$675,EIAwtransport!$E$2:$E$675,Program_data!$E387,EIAwtransport!$I$2:$I$675,Program_data!R$2)</f>
        <v>687184546</v>
      </c>
      <c r="S387" s="5">
        <f>SUMIFS(EIAwtransport!$J$2:$J$675,EIAwtransport!$E$2:$E$675,Program_data!$E387,EIAwtransport!$I$2:$I$675,Program_data!S$2)</f>
        <v>101857886</v>
      </c>
      <c r="T387" s="5">
        <f>SUMIFS(EIAwtransport!$J$2:$J$675,EIAwtransport!$E$2:$E$675,Program_data!$E387,EIAwtransport!$I$2:$I$675,Program_data!T$2)</f>
        <v>688078</v>
      </c>
      <c r="U387" s="24">
        <f t="shared" si="156"/>
        <v>8.8143286255605222E-4</v>
      </c>
      <c r="V387" s="24">
        <f t="shared" si="149"/>
        <v>8.8143286255605222E-4</v>
      </c>
      <c r="W387" s="24">
        <f t="shared" si="157"/>
        <v>1.0268819403863602E-2</v>
      </c>
      <c r="X387" s="25">
        <f t="shared" si="158"/>
        <v>6.6871256928156403E-3</v>
      </c>
      <c r="Y387" s="8">
        <f t="shared" si="137"/>
        <v>2.2742570913277151</v>
      </c>
      <c r="Z387" s="27">
        <f t="shared" si="138"/>
        <v>1.2240575038196646</v>
      </c>
      <c r="AA387" s="27"/>
      <c r="AB387" s="27"/>
      <c r="AC387" s="56">
        <f t="shared" si="154"/>
        <v>2.1395346569052502E-2</v>
      </c>
      <c r="AD387" s="20">
        <f t="shared" si="146"/>
        <v>9526374.9000000004</v>
      </c>
      <c r="AE387" s="20">
        <f t="shared" si="139"/>
        <v>4076956.8000000003</v>
      </c>
      <c r="AF387" s="20">
        <f t="shared" si="140"/>
        <v>927699137.10000002</v>
      </c>
      <c r="AG387">
        <f t="shared" si="141"/>
        <v>98110112.400000006</v>
      </c>
      <c r="AH387">
        <f t="shared" si="142"/>
        <v>98110112.400000006</v>
      </c>
      <c r="AI387">
        <f t="shared" si="143"/>
        <v>10743969815.280001</v>
      </c>
    </row>
    <row r="388" spans="2:35" x14ac:dyDescent="0.25">
      <c r="B388" s="4">
        <v>2024</v>
      </c>
      <c r="C388" s="4" t="s">
        <v>324</v>
      </c>
      <c r="D388" s="1" t="s">
        <v>325</v>
      </c>
      <c r="E388" s="4" t="str">
        <f t="shared" si="155"/>
        <v>NW Natural-OR</v>
      </c>
      <c r="F388" s="4" t="s">
        <v>146</v>
      </c>
      <c r="G388" s="4"/>
      <c r="H388" s="11" t="s">
        <v>333</v>
      </c>
      <c r="I388" s="4"/>
      <c r="J388" s="4" t="s">
        <v>21</v>
      </c>
      <c r="K388" s="5">
        <v>120737</v>
      </c>
      <c r="L388" s="5">
        <f t="shared" si="159"/>
        <v>120737</v>
      </c>
      <c r="M388" s="8">
        <v>877228</v>
      </c>
      <c r="N388" s="8"/>
      <c r="O388" s="8">
        <f>SUMIFS(EIAwtransport!$J$2:$J$675,EIAwtransport!$E$2:$E$675,Program_data!$E388,EIAwtransport!$H$2:$H$675,Program_data!$F388,EIAwtransport!$I$2:$I$675,Program_data!O$2)</f>
        <v>255520153</v>
      </c>
      <c r="P388" s="5">
        <f>SUMIFS(EIAwtransport!$J$2:$J$675,EIAwtransport!$E$2:$E$675,Program_data!$E388,EIAwtransport!$H$2:$H$675,Program_data!$F388,EIAwtransport!$I$2:$I$675,Program_data!P$2)</f>
        <v>64985853</v>
      </c>
      <c r="Q388" s="5">
        <f>SUMIFS(EIAwtransport!$J$2:$J$675,EIAwtransport!$E$2:$E$675,Program_data!$E388,EIAwtransport!$H$2:$H$675,Program_data!$F388,EIAwtransport!$I$2:$I$675,Program_data!Q$2)</f>
        <v>62300</v>
      </c>
      <c r="R388" s="8">
        <f>SUMIFS(EIAwtransport!$J$2:$J$675,EIAwtransport!$E$2:$E$675,Program_data!$E388,EIAwtransport!$I$2:$I$675,Program_data!R$2)</f>
        <v>687184546</v>
      </c>
      <c r="S388" s="5">
        <f>SUMIFS(EIAwtransport!$J$2:$J$675,EIAwtransport!$E$2:$E$675,Program_data!$E388,EIAwtransport!$I$2:$I$675,Program_data!S$2)</f>
        <v>101857886</v>
      </c>
      <c r="T388" s="5">
        <f>SUMIFS(EIAwtransport!$J$2:$J$675,EIAwtransport!$E$2:$E$675,Program_data!$E388,EIAwtransport!$I$2:$I$675,Program_data!T$2)</f>
        <v>688078</v>
      </c>
      <c r="U388" s="104">
        <f t="shared" si="156"/>
        <v>1.1441579083185155E-4</v>
      </c>
      <c r="V388" s="104">
        <f t="shared" si="149"/>
        <v>1.1441579083185155E-4</v>
      </c>
      <c r="W388" s="104">
        <f t="shared" si="157"/>
        <v>1.2765537367017564E-3</v>
      </c>
      <c r="X388" s="105">
        <f t="shared" si="158"/>
        <v>8.3130055707731233E-4</v>
      </c>
      <c r="Y388" s="8">
        <f t="shared" ref="Y388:Y451" si="160">IFERROR(M388/SUMIFS($K$3:$K$1492,$E$3:$E$1492,E388,$B$3:$B$1492,B388,$F$3:$F$1492,F388,$A$3:$A$1492,""),"")</f>
        <v>0.30434429636331972</v>
      </c>
      <c r="Z388" s="27">
        <f t="shared" ref="Z388:Z451" si="161">IFERROR(M388/SUMIFS($K$3:$K$1492,$E$3:$E$1492,E388,$B$3:$B$1492,B388,$A$3:$A$1492,""),"")</f>
        <v>0.15569033378821431</v>
      </c>
      <c r="AA388" s="27"/>
      <c r="AB388" s="27"/>
      <c r="AC388" s="56">
        <f t="shared" si="154"/>
        <v>2.9125584516325256E-3</v>
      </c>
      <c r="AD388" s="20">
        <f t="shared" si="146"/>
        <v>1184257.8</v>
      </c>
      <c r="AE388" s="20">
        <f t="shared" si="139"/>
        <v>0</v>
      </c>
      <c r="AF388" s="20">
        <f t="shared" si="140"/>
        <v>927699137.10000002</v>
      </c>
      <c r="AG388">
        <f t="shared" si="141"/>
        <v>12735338.76</v>
      </c>
      <c r="AH388">
        <f t="shared" si="142"/>
        <v>12735338.76</v>
      </c>
      <c r="AI388">
        <f t="shared" si="143"/>
        <v>10743969815.280001</v>
      </c>
    </row>
    <row r="389" spans="2:35" x14ac:dyDescent="0.25">
      <c r="B389" s="4">
        <v>2025</v>
      </c>
      <c r="C389" s="4" t="s">
        <v>324</v>
      </c>
      <c r="D389" s="1" t="s">
        <v>325</v>
      </c>
      <c r="E389" s="4" t="str">
        <f t="shared" si="155"/>
        <v>NW Natural-OR</v>
      </c>
      <c r="F389" s="4" t="s">
        <v>146</v>
      </c>
      <c r="G389" s="4"/>
      <c r="H389" s="11" t="s">
        <v>333</v>
      </c>
      <c r="I389" s="4"/>
      <c r="J389" s="4" t="s">
        <v>142</v>
      </c>
      <c r="K389" s="5">
        <v>110873</v>
      </c>
      <c r="L389" s="5">
        <f t="shared" si="159"/>
        <v>110873</v>
      </c>
      <c r="M389" s="8">
        <v>1012434</v>
      </c>
      <c r="N389" s="8"/>
      <c r="O389" s="8">
        <f>SUMIFS(EIAwtransport!$J$2:$J$675,EIAwtransport!$E$2:$E$675,Program_data!$E389,EIAwtransport!$H$2:$H$675,Program_data!$F389,EIAwtransport!$I$2:$I$675,Program_data!O$2)</f>
        <v>255520153</v>
      </c>
      <c r="P389" s="5">
        <f>SUMIFS(EIAwtransport!$J$2:$J$675,EIAwtransport!$E$2:$E$675,Program_data!$E389,EIAwtransport!$H$2:$H$675,Program_data!$F389,EIAwtransport!$I$2:$I$675,Program_data!P$2)</f>
        <v>64985853</v>
      </c>
      <c r="Q389" s="5">
        <f>SUMIFS(EIAwtransport!$J$2:$J$675,EIAwtransport!$E$2:$E$675,Program_data!$E389,EIAwtransport!$H$2:$H$675,Program_data!$F389,EIAwtransport!$I$2:$I$675,Program_data!Q$2)</f>
        <v>62300</v>
      </c>
      <c r="R389" s="8">
        <f>SUMIFS(EIAwtransport!$J$2:$J$675,EIAwtransport!$E$2:$E$675,Program_data!$E389,EIAwtransport!$I$2:$I$675,Program_data!R$2)</f>
        <v>687184546</v>
      </c>
      <c r="S389" s="5">
        <f>SUMIFS(EIAwtransport!$J$2:$J$675,EIAwtransport!$E$2:$E$675,Program_data!$E389,EIAwtransport!$I$2:$I$675,Program_data!S$2)</f>
        <v>101857886</v>
      </c>
      <c r="T389" s="5">
        <f>SUMIFS(EIAwtransport!$J$2:$J$675,EIAwtransport!$E$2:$E$675,Program_data!$E389,EIAwtransport!$I$2:$I$675,Program_data!T$2)</f>
        <v>688078</v>
      </c>
      <c r="U389" s="24">
        <f t="shared" si="156"/>
        <v>1.0506822247446828E-4</v>
      </c>
      <c r="V389" s="24">
        <f t="shared" si="149"/>
        <v>1.0506822247446828E-4</v>
      </c>
      <c r="W389" s="24">
        <f t="shared" si="157"/>
        <v>1.4733072882579057E-3</v>
      </c>
      <c r="X389" s="25">
        <f t="shared" si="158"/>
        <v>9.5942782059397526E-4</v>
      </c>
      <c r="Y389" s="8">
        <f t="shared" si="160"/>
        <v>0.3803140377897149</v>
      </c>
      <c r="Z389" s="27">
        <f t="shared" si="161"/>
        <v>0.17562027051968254</v>
      </c>
      <c r="AA389" s="27"/>
      <c r="AB389" s="27"/>
      <c r="AC389" s="56">
        <f t="shared" si="154"/>
        <v>2.5503599068415791E-3</v>
      </c>
      <c r="AD389" s="20">
        <f t="shared" si="146"/>
        <v>1366785.9000000001</v>
      </c>
      <c r="AE389" s="20">
        <f t="shared" si="139"/>
        <v>0</v>
      </c>
      <c r="AF389" s="20">
        <f t="shared" si="140"/>
        <v>927699137.10000002</v>
      </c>
      <c r="AG389">
        <f t="shared" si="141"/>
        <v>11694884.040000001</v>
      </c>
      <c r="AH389">
        <f t="shared" si="142"/>
        <v>11694884.040000001</v>
      </c>
      <c r="AI389">
        <f t="shared" si="143"/>
        <v>10743969815.280001</v>
      </c>
    </row>
    <row r="390" spans="2:35" x14ac:dyDescent="0.25">
      <c r="B390" s="4">
        <v>2024</v>
      </c>
      <c r="C390" s="4" t="s">
        <v>324</v>
      </c>
      <c r="D390" s="1" t="s">
        <v>325</v>
      </c>
      <c r="E390" s="4" t="str">
        <f t="shared" si="155"/>
        <v>NW Natural-OR</v>
      </c>
      <c r="F390" s="4" t="s">
        <v>146</v>
      </c>
      <c r="G390" s="4"/>
      <c r="H390" s="11" t="s">
        <v>334</v>
      </c>
      <c r="I390" s="4"/>
      <c r="J390" s="4" t="s">
        <v>21</v>
      </c>
      <c r="K390" s="5">
        <v>174865</v>
      </c>
      <c r="L390" s="5">
        <f t="shared" si="159"/>
        <v>174865</v>
      </c>
      <c r="M390" s="8">
        <v>718917</v>
      </c>
      <c r="N390" s="8">
        <v>474690</v>
      </c>
      <c r="O390" s="8">
        <f>SUMIFS(EIAwtransport!$J$2:$J$675,EIAwtransport!$E$2:$E$675,Program_data!$E390,EIAwtransport!$H$2:$H$675,Program_data!$F390,EIAwtransport!$I$2:$I$675,Program_data!O$2)</f>
        <v>255520153</v>
      </c>
      <c r="P390" s="5">
        <f>SUMIFS(EIAwtransport!$J$2:$J$675,EIAwtransport!$E$2:$E$675,Program_data!$E390,EIAwtransport!$H$2:$H$675,Program_data!$F390,EIAwtransport!$I$2:$I$675,Program_data!P$2)</f>
        <v>64985853</v>
      </c>
      <c r="Q390" s="5">
        <f>SUMIFS(EIAwtransport!$J$2:$J$675,EIAwtransport!$E$2:$E$675,Program_data!$E390,EIAwtransport!$H$2:$H$675,Program_data!$F390,EIAwtransport!$I$2:$I$675,Program_data!Q$2)</f>
        <v>62300</v>
      </c>
      <c r="R390" s="8">
        <f>SUMIFS(EIAwtransport!$J$2:$J$675,EIAwtransport!$E$2:$E$675,Program_data!$E390,EIAwtransport!$I$2:$I$675,Program_data!R$2)</f>
        <v>687184546</v>
      </c>
      <c r="S390" s="5">
        <f>SUMIFS(EIAwtransport!$J$2:$J$675,EIAwtransport!$E$2:$E$675,Program_data!$E390,EIAwtransport!$I$2:$I$675,Program_data!S$2)</f>
        <v>101857886</v>
      </c>
      <c r="T390" s="5">
        <f>SUMIFS(EIAwtransport!$J$2:$J$675,EIAwtransport!$E$2:$E$675,Program_data!$E390,EIAwtransport!$I$2:$I$675,Program_data!T$2)</f>
        <v>688078</v>
      </c>
      <c r="U390" s="104">
        <f t="shared" si="156"/>
        <v>1.6570990884162869E-4</v>
      </c>
      <c r="V390" s="104">
        <f t="shared" si="149"/>
        <v>1.6570990884162869E-4</v>
      </c>
      <c r="W390" s="104">
        <f t="shared" si="157"/>
        <v>1.0461774849051975E-3</v>
      </c>
      <c r="X390" s="105">
        <f t="shared" si="158"/>
        <v>6.812779603391025E-4</v>
      </c>
      <c r="Y390" s="8">
        <f t="shared" si="160"/>
        <v>0.24942009204976209</v>
      </c>
      <c r="Z390" s="27">
        <f t="shared" si="161"/>
        <v>0.12759331404836788</v>
      </c>
      <c r="AA390" s="27"/>
      <c r="AB390" s="27"/>
      <c r="AC390" s="56">
        <f t="shared" si="154"/>
        <v>4.2182970725189589E-3</v>
      </c>
      <c r="AD390" s="20">
        <f t="shared" si="146"/>
        <v>970537.95000000007</v>
      </c>
      <c r="AE390" s="20">
        <f t="shared" si="139"/>
        <v>640831.5</v>
      </c>
      <c r="AF390" s="20">
        <f t="shared" si="140"/>
        <v>927699137.10000002</v>
      </c>
      <c r="AG390">
        <f t="shared" si="141"/>
        <v>18444760.199999999</v>
      </c>
      <c r="AH390">
        <f t="shared" si="142"/>
        <v>18444760.199999999</v>
      </c>
      <c r="AI390">
        <f t="shared" si="143"/>
        <v>10743969815.280001</v>
      </c>
    </row>
    <row r="391" spans="2:35" x14ac:dyDescent="0.25">
      <c r="B391" s="4">
        <v>2025</v>
      </c>
      <c r="C391" s="4" t="s">
        <v>324</v>
      </c>
      <c r="D391" s="1" t="s">
        <v>325</v>
      </c>
      <c r="E391" s="4" t="str">
        <f t="shared" si="155"/>
        <v>NW Natural-OR</v>
      </c>
      <c r="F391" s="4" t="s">
        <v>146</v>
      </c>
      <c r="G391" s="4"/>
      <c r="H391" s="11" t="s">
        <v>334</v>
      </c>
      <c r="I391" s="4"/>
      <c r="J391" s="4" t="s">
        <v>142</v>
      </c>
      <c r="K391" s="5">
        <v>189978</v>
      </c>
      <c r="L391" s="5">
        <f t="shared" si="159"/>
        <v>189978</v>
      </c>
      <c r="M391" s="8">
        <v>782986</v>
      </c>
      <c r="N391" s="8">
        <v>524079</v>
      </c>
      <c r="O391" s="8">
        <f>SUMIFS(EIAwtransport!$J$2:$J$675,EIAwtransport!$E$2:$E$675,Program_data!$E391,EIAwtransport!$H$2:$H$675,Program_data!$F391,EIAwtransport!$I$2:$I$675,Program_data!O$2)</f>
        <v>255520153</v>
      </c>
      <c r="P391" s="5">
        <f>SUMIFS(EIAwtransport!$J$2:$J$675,EIAwtransport!$E$2:$E$675,Program_data!$E391,EIAwtransport!$H$2:$H$675,Program_data!$F391,EIAwtransport!$I$2:$I$675,Program_data!P$2)</f>
        <v>64985853</v>
      </c>
      <c r="Q391" s="5">
        <f>SUMIFS(EIAwtransport!$J$2:$J$675,EIAwtransport!$E$2:$E$675,Program_data!$E391,EIAwtransport!$H$2:$H$675,Program_data!$F391,EIAwtransport!$I$2:$I$675,Program_data!Q$2)</f>
        <v>62300</v>
      </c>
      <c r="R391" s="8">
        <f>SUMIFS(EIAwtransport!$J$2:$J$675,EIAwtransport!$E$2:$E$675,Program_data!$E391,EIAwtransport!$I$2:$I$675,Program_data!R$2)</f>
        <v>687184546</v>
      </c>
      <c r="S391" s="5">
        <f>SUMIFS(EIAwtransport!$J$2:$J$675,EIAwtransport!$E$2:$E$675,Program_data!$E391,EIAwtransport!$I$2:$I$675,Program_data!S$2)</f>
        <v>101857886</v>
      </c>
      <c r="T391" s="5">
        <f>SUMIFS(EIAwtransport!$J$2:$J$675,EIAwtransport!$E$2:$E$675,Program_data!$E391,EIAwtransport!$I$2:$I$675,Program_data!T$2)</f>
        <v>688078</v>
      </c>
      <c r="U391" s="24">
        <f t="shared" si="156"/>
        <v>1.8003166478091631E-4</v>
      </c>
      <c r="V391" s="24">
        <f t="shared" si="149"/>
        <v>1.8003166478091631E-4</v>
      </c>
      <c r="W391" s="24">
        <f t="shared" si="157"/>
        <v>1.139411537348513E-3</v>
      </c>
      <c r="X391" s="25">
        <f t="shared" si="158"/>
        <v>7.4199261535625458E-4</v>
      </c>
      <c r="Y391" s="8">
        <f t="shared" si="160"/>
        <v>0.29412343638480898</v>
      </c>
      <c r="Z391" s="27">
        <f t="shared" si="161"/>
        <v>0.13581943428719714</v>
      </c>
      <c r="AA391" s="27"/>
      <c r="AB391" s="27"/>
      <c r="AC391" s="56">
        <f t="shared" si="154"/>
        <v>4.3699753265623691E-3</v>
      </c>
      <c r="AD391" s="20">
        <f t="shared" si="146"/>
        <v>1057031.1000000001</v>
      </c>
      <c r="AE391" s="20">
        <f t="shared" si="139"/>
        <v>707506.65</v>
      </c>
      <c r="AF391" s="20">
        <f t="shared" si="140"/>
        <v>927699137.10000002</v>
      </c>
      <c r="AG391">
        <f t="shared" si="141"/>
        <v>20038879.440000001</v>
      </c>
      <c r="AH391">
        <f t="shared" si="142"/>
        <v>20038879.440000001</v>
      </c>
      <c r="AI391">
        <f t="shared" si="143"/>
        <v>10743969815.280001</v>
      </c>
    </row>
    <row r="392" spans="2:35" x14ac:dyDescent="0.25">
      <c r="B392" s="4">
        <v>2024</v>
      </c>
      <c r="C392" s="4" t="s">
        <v>324</v>
      </c>
      <c r="D392" s="1" t="s">
        <v>325</v>
      </c>
      <c r="E392" s="4" t="str">
        <f t="shared" si="155"/>
        <v>NW Natural-OR</v>
      </c>
      <c r="F392" s="4" t="s">
        <v>135</v>
      </c>
      <c r="G392" s="4"/>
      <c r="H392" s="11" t="s">
        <v>335</v>
      </c>
      <c r="I392" s="4"/>
      <c r="J392" s="4" t="s">
        <v>21</v>
      </c>
      <c r="K392" s="5">
        <v>1836352</v>
      </c>
      <c r="L392" s="5">
        <f t="shared" si="159"/>
        <v>1836352</v>
      </c>
      <c r="M392" s="8">
        <v>20124864</v>
      </c>
      <c r="N392" s="8">
        <v>10882264</v>
      </c>
      <c r="O392" s="8">
        <f>SUMIFS(EIAwtransport!$J$2:$J$675,EIAwtransport!$E$2:$E$675,Program_data!$E392,EIAwtransport!$H$2:$H$675,Program_data!$F392,EIAwtransport!$I$2:$I$675,Program_data!O$2)</f>
        <v>431664393</v>
      </c>
      <c r="P392" s="5">
        <f>SUMIFS(EIAwtransport!$J$2:$J$675,EIAwtransport!$E$2:$E$675,Program_data!$E392,EIAwtransport!$H$2:$H$675,Program_data!$F392,EIAwtransport!$I$2:$I$675,Program_data!P$2)</f>
        <v>36872033</v>
      </c>
      <c r="Q392" s="5">
        <f>SUMIFS(EIAwtransport!$J$2:$J$675,EIAwtransport!$E$2:$E$675,Program_data!$E392,EIAwtransport!$H$2:$H$675,Program_data!$F392,EIAwtransport!$I$2:$I$675,Program_data!Q$2)</f>
        <v>625778</v>
      </c>
      <c r="R392" s="8">
        <f>SUMIFS(EIAwtransport!$J$2:$J$675,EIAwtransport!$E$2:$E$675,Program_data!$E392,EIAwtransport!$I$2:$I$675,Program_data!R$2)</f>
        <v>687184546</v>
      </c>
      <c r="S392" s="5">
        <f>SUMIFS(EIAwtransport!$J$2:$J$675,EIAwtransport!$E$2:$E$675,Program_data!$E392,EIAwtransport!$I$2:$I$675,Program_data!S$2)</f>
        <v>101857886</v>
      </c>
      <c r="T392" s="5">
        <f>SUMIFS(EIAwtransport!$J$2:$J$675,EIAwtransport!$E$2:$E$675,Program_data!$E392,EIAwtransport!$I$2:$I$675,Program_data!T$2)</f>
        <v>688078</v>
      </c>
      <c r="U392" s="104">
        <f t="shared" si="156"/>
        <v>1.740209433112072E-3</v>
      </c>
      <c r="V392" s="104">
        <f t="shared" si="149"/>
        <v>1.740209433112072E-3</v>
      </c>
      <c r="W392" s="104">
        <f t="shared" si="157"/>
        <v>2.9285967091582411E-2</v>
      </c>
      <c r="X392" s="105">
        <f t="shared" si="158"/>
        <v>1.9071222822692788E-2</v>
      </c>
      <c r="Y392" s="8">
        <f t="shared" si="160"/>
        <v>7.3270260410636618</v>
      </c>
      <c r="Z392" s="27">
        <f t="shared" si="161"/>
        <v>3.5717587600970533</v>
      </c>
      <c r="AA392" s="27"/>
      <c r="AB392" s="27"/>
      <c r="AC392" s="56">
        <f t="shared" si="154"/>
        <v>4.4298620454146544E-2</v>
      </c>
      <c r="AD392" s="20">
        <f t="shared" si="146"/>
        <v>27168566.400000002</v>
      </c>
      <c r="AE392" s="20">
        <f t="shared" si="139"/>
        <v>14691056.4</v>
      </c>
      <c r="AF392" s="20">
        <f t="shared" si="140"/>
        <v>927699137.10000002</v>
      </c>
      <c r="AG392">
        <f t="shared" si="141"/>
        <v>193698408.96000001</v>
      </c>
      <c r="AH392">
        <f t="shared" si="142"/>
        <v>193698408.96000001</v>
      </c>
      <c r="AI392">
        <f t="shared" si="143"/>
        <v>10743969815.280001</v>
      </c>
    </row>
    <row r="393" spans="2:35" x14ac:dyDescent="0.25">
      <c r="B393" s="4">
        <v>2025</v>
      </c>
      <c r="C393" s="4" t="s">
        <v>324</v>
      </c>
      <c r="D393" s="1" t="s">
        <v>325</v>
      </c>
      <c r="E393" s="4" t="str">
        <f t="shared" si="155"/>
        <v>NW Natural-OR</v>
      </c>
      <c r="F393" s="4" t="s">
        <v>135</v>
      </c>
      <c r="G393" s="4"/>
      <c r="H393" s="11" t="s">
        <v>335</v>
      </c>
      <c r="I393" s="4"/>
      <c r="J393" s="4" t="s">
        <v>142</v>
      </c>
      <c r="K393" s="5">
        <v>2163994</v>
      </c>
      <c r="L393" s="5">
        <f t="shared" si="159"/>
        <v>2163994</v>
      </c>
      <c r="M393" s="8">
        <v>20885017</v>
      </c>
      <c r="N393" s="8">
        <v>11184549</v>
      </c>
      <c r="O393" s="8">
        <f>SUMIFS(EIAwtransport!$J$2:$J$675,EIAwtransport!$E$2:$E$675,Program_data!$E393,EIAwtransport!$H$2:$H$675,Program_data!$F393,EIAwtransport!$I$2:$I$675,Program_data!O$2)</f>
        <v>431664393</v>
      </c>
      <c r="P393" s="5">
        <f>SUMIFS(EIAwtransport!$J$2:$J$675,EIAwtransport!$E$2:$E$675,Program_data!$E393,EIAwtransport!$H$2:$H$675,Program_data!$F393,EIAwtransport!$I$2:$I$675,Program_data!P$2)</f>
        <v>36872033</v>
      </c>
      <c r="Q393" s="5">
        <f>SUMIFS(EIAwtransport!$J$2:$J$675,EIAwtransport!$E$2:$E$675,Program_data!$E393,EIAwtransport!$H$2:$H$675,Program_data!$F393,EIAwtransport!$I$2:$I$675,Program_data!Q$2)</f>
        <v>625778</v>
      </c>
      <c r="R393" s="8">
        <f>SUMIFS(EIAwtransport!$J$2:$J$675,EIAwtransport!$E$2:$E$675,Program_data!$E393,EIAwtransport!$I$2:$I$675,Program_data!R$2)</f>
        <v>687184546</v>
      </c>
      <c r="S393" s="5">
        <f>SUMIFS(EIAwtransport!$J$2:$J$675,EIAwtransport!$E$2:$E$675,Program_data!$E393,EIAwtransport!$I$2:$I$675,Program_data!S$2)</f>
        <v>101857886</v>
      </c>
      <c r="T393" s="5">
        <f>SUMIFS(EIAwtransport!$J$2:$J$675,EIAwtransport!$E$2:$E$675,Program_data!$E393,EIAwtransport!$I$2:$I$675,Program_data!T$2)</f>
        <v>688078</v>
      </c>
      <c r="U393" s="24">
        <f t="shared" si="156"/>
        <v>2.0506976723405563E-3</v>
      </c>
      <c r="V393" s="24">
        <f t="shared" si="149"/>
        <v>2.0506976723405563E-3</v>
      </c>
      <c r="W393" s="24">
        <f t="shared" si="157"/>
        <v>3.0392151746672137E-2</v>
      </c>
      <c r="X393" s="25">
        <f t="shared" si="158"/>
        <v>1.9791577864214479E-2</v>
      </c>
      <c r="Y393" s="8">
        <f t="shared" si="160"/>
        <v>6.7310139473843655</v>
      </c>
      <c r="Z393" s="27">
        <f t="shared" si="161"/>
        <v>3.6227866066807008</v>
      </c>
      <c r="AA393" s="27"/>
      <c r="AB393" s="27"/>
      <c r="AC393" s="56">
        <f t="shared" si="154"/>
        <v>4.977734467585198E-2</v>
      </c>
      <c r="AD393" s="20">
        <f t="shared" si="146"/>
        <v>28194772.950000003</v>
      </c>
      <c r="AE393" s="20">
        <f t="shared" si="139"/>
        <v>15099141.15</v>
      </c>
      <c r="AF393" s="20">
        <f t="shared" si="140"/>
        <v>927699137.10000002</v>
      </c>
      <c r="AG393">
        <f t="shared" si="141"/>
        <v>228258087.12</v>
      </c>
      <c r="AH393">
        <f t="shared" si="142"/>
        <v>228258087.12</v>
      </c>
      <c r="AI393">
        <f t="shared" si="143"/>
        <v>10743969815.280001</v>
      </c>
    </row>
    <row r="394" spans="2:35" x14ac:dyDescent="0.25">
      <c r="B394" s="4">
        <v>2024</v>
      </c>
      <c r="C394" s="4" t="s">
        <v>324</v>
      </c>
      <c r="D394" s="1" t="s">
        <v>325</v>
      </c>
      <c r="E394" s="4" t="str">
        <f t="shared" si="155"/>
        <v>NW Natural-OR</v>
      </c>
      <c r="F394" s="4" t="s">
        <v>135</v>
      </c>
      <c r="G394" s="4"/>
      <c r="H394" s="11" t="s">
        <v>336</v>
      </c>
      <c r="I394" s="4"/>
      <c r="J394" s="4" t="s">
        <v>21</v>
      </c>
      <c r="K394" s="5">
        <v>8689</v>
      </c>
      <c r="L394" s="5">
        <f t="shared" si="159"/>
        <v>8689</v>
      </c>
      <c r="M394" s="8">
        <v>61563</v>
      </c>
      <c r="N394" s="8"/>
      <c r="O394" s="8">
        <f>SUMIFS(EIAwtransport!$J$2:$J$675,EIAwtransport!$E$2:$E$675,Program_data!$E394,EIAwtransport!$H$2:$H$675,Program_data!$F394,EIAwtransport!$I$2:$I$675,Program_data!O$2)</f>
        <v>431664393</v>
      </c>
      <c r="P394" s="5">
        <f>SUMIFS(EIAwtransport!$J$2:$J$675,EIAwtransport!$E$2:$E$675,Program_data!$E394,EIAwtransport!$H$2:$H$675,Program_data!$F394,EIAwtransport!$I$2:$I$675,Program_data!P$2)</f>
        <v>36872033</v>
      </c>
      <c r="Q394" s="5">
        <f>SUMIFS(EIAwtransport!$J$2:$J$675,EIAwtransport!$E$2:$E$675,Program_data!$E394,EIAwtransport!$H$2:$H$675,Program_data!$F394,EIAwtransport!$I$2:$I$675,Program_data!Q$2)</f>
        <v>625778</v>
      </c>
      <c r="R394" s="8">
        <f>SUMIFS(EIAwtransport!$J$2:$J$675,EIAwtransport!$E$2:$E$675,Program_data!$E394,EIAwtransport!$I$2:$I$675,Program_data!R$2)</f>
        <v>687184546</v>
      </c>
      <c r="S394" s="5">
        <f>SUMIFS(EIAwtransport!$J$2:$J$675,EIAwtransport!$E$2:$E$675,Program_data!$E394,EIAwtransport!$I$2:$I$675,Program_data!S$2)</f>
        <v>101857886</v>
      </c>
      <c r="T394" s="5">
        <f>SUMIFS(EIAwtransport!$J$2:$J$675,EIAwtransport!$E$2:$E$675,Program_data!$E394,EIAwtransport!$I$2:$I$675,Program_data!T$2)</f>
        <v>688078</v>
      </c>
      <c r="U394" s="104">
        <f t="shared" si="156"/>
        <v>8.2340857114054357E-6</v>
      </c>
      <c r="V394" s="104">
        <f t="shared" si="149"/>
        <v>8.2340857114054357E-6</v>
      </c>
      <c r="W394" s="104">
        <f t="shared" si="157"/>
        <v>8.9587288244983324E-5</v>
      </c>
      <c r="X394" s="105">
        <f t="shared" si="158"/>
        <v>5.8339857135602815E-5</v>
      </c>
      <c r="Y394" s="8">
        <f t="shared" si="160"/>
        <v>2.241375167384993E-2</v>
      </c>
      <c r="Z394" s="27">
        <f t="shared" si="161"/>
        <v>1.0926194807967641E-2</v>
      </c>
      <c r="AA394" s="27"/>
      <c r="AB394" s="27"/>
      <c r="AC394" s="56">
        <f t="shared" si="154"/>
        <v>2.0960617197905376E-4</v>
      </c>
      <c r="AD394" s="20">
        <f t="shared" si="146"/>
        <v>83110.05</v>
      </c>
      <c r="AE394" s="20">
        <f t="shared" si="139"/>
        <v>0</v>
      </c>
      <c r="AF394" s="20">
        <f t="shared" si="140"/>
        <v>927699137.10000002</v>
      </c>
      <c r="AG394">
        <f t="shared" si="141"/>
        <v>916515.72000000009</v>
      </c>
      <c r="AH394">
        <f t="shared" si="142"/>
        <v>916515.72000000009</v>
      </c>
      <c r="AI394">
        <f t="shared" si="143"/>
        <v>10743969815.280001</v>
      </c>
    </row>
    <row r="395" spans="2:35" x14ac:dyDescent="0.25">
      <c r="B395" s="4">
        <v>2025</v>
      </c>
      <c r="C395" s="4" t="s">
        <v>324</v>
      </c>
      <c r="D395" s="1" t="s">
        <v>325</v>
      </c>
      <c r="E395" s="4" t="str">
        <f t="shared" si="155"/>
        <v>NW Natural-OR</v>
      </c>
      <c r="F395" s="4" t="s">
        <v>135</v>
      </c>
      <c r="G395" s="4"/>
      <c r="H395" s="11" t="s">
        <v>336</v>
      </c>
      <c r="I395" s="4"/>
      <c r="J395" s="4" t="s">
        <v>142</v>
      </c>
      <c r="K395" s="5">
        <v>8680</v>
      </c>
      <c r="L395" s="5">
        <f t="shared" si="159"/>
        <v>8680</v>
      </c>
      <c r="M395" s="8">
        <v>77267</v>
      </c>
      <c r="N395" s="8"/>
      <c r="O395" s="8">
        <f>SUMIFS(EIAwtransport!$J$2:$J$675,EIAwtransport!$E$2:$E$675,Program_data!$E395,EIAwtransport!$H$2:$H$675,Program_data!$F395,EIAwtransport!$I$2:$I$675,Program_data!O$2)</f>
        <v>431664393</v>
      </c>
      <c r="P395" s="5">
        <f>SUMIFS(EIAwtransport!$J$2:$J$675,EIAwtransport!$E$2:$E$675,Program_data!$E395,EIAwtransport!$H$2:$H$675,Program_data!$F395,EIAwtransport!$I$2:$I$675,Program_data!P$2)</f>
        <v>36872033</v>
      </c>
      <c r="Q395" s="5">
        <f>SUMIFS(EIAwtransport!$J$2:$J$675,EIAwtransport!$E$2:$E$675,Program_data!$E395,EIAwtransport!$H$2:$H$675,Program_data!$F395,EIAwtransport!$I$2:$I$675,Program_data!Q$2)</f>
        <v>625778</v>
      </c>
      <c r="R395" s="8">
        <f>SUMIFS(EIAwtransport!$J$2:$J$675,EIAwtransport!$E$2:$E$675,Program_data!$E395,EIAwtransport!$I$2:$I$675,Program_data!R$2)</f>
        <v>687184546</v>
      </c>
      <c r="S395" s="5">
        <f>SUMIFS(EIAwtransport!$J$2:$J$675,EIAwtransport!$E$2:$E$675,Program_data!$E395,EIAwtransport!$I$2:$I$675,Program_data!S$2)</f>
        <v>101857886</v>
      </c>
      <c r="T395" s="5">
        <f>SUMIFS(EIAwtransport!$J$2:$J$675,EIAwtransport!$E$2:$E$675,Program_data!$E395,EIAwtransport!$I$2:$I$675,Program_data!T$2)</f>
        <v>688078</v>
      </c>
      <c r="U395" s="24">
        <f t="shared" si="156"/>
        <v>8.2255569081596484E-6</v>
      </c>
      <c r="V395" s="24">
        <f t="shared" si="149"/>
        <v>8.2255569081596484E-6</v>
      </c>
      <c r="W395" s="24">
        <f t="shared" si="157"/>
        <v>1.1243995583102068E-4</v>
      </c>
      <c r="X395" s="25">
        <f t="shared" si="158"/>
        <v>7.3221671154697176E-5</v>
      </c>
      <c r="Y395" s="8">
        <f t="shared" si="160"/>
        <v>2.4902314164865071E-2</v>
      </c>
      <c r="Z395" s="27">
        <f t="shared" si="161"/>
        <v>1.3402998558172001E-2</v>
      </c>
      <c r="AA395" s="27"/>
      <c r="AB395" s="27"/>
      <c r="AC395" s="56">
        <f t="shared" si="154"/>
        <v>1.9966199157039953E-4</v>
      </c>
      <c r="AD395" s="20">
        <f t="shared" si="146"/>
        <v>104310.45000000001</v>
      </c>
      <c r="AE395" s="20">
        <f t="shared" si="139"/>
        <v>0</v>
      </c>
      <c r="AF395" s="20">
        <f t="shared" si="140"/>
        <v>927699137.10000002</v>
      </c>
      <c r="AG395">
        <f t="shared" si="141"/>
        <v>915566.4</v>
      </c>
      <c r="AH395">
        <f t="shared" si="142"/>
        <v>915566.4</v>
      </c>
      <c r="AI395">
        <f t="shared" si="143"/>
        <v>10743969815.280001</v>
      </c>
    </row>
    <row r="396" spans="2:35" x14ac:dyDescent="0.25">
      <c r="B396" s="4">
        <v>2024</v>
      </c>
      <c r="C396" s="4" t="s">
        <v>324</v>
      </c>
      <c r="D396" s="1" t="s">
        <v>325</v>
      </c>
      <c r="E396" s="4" t="str">
        <f t="shared" si="155"/>
        <v>NW Natural-OR</v>
      </c>
      <c r="F396" s="4" t="s">
        <v>146</v>
      </c>
      <c r="G396" s="4"/>
      <c r="H396" s="11" t="s">
        <v>337</v>
      </c>
      <c r="I396" s="4"/>
      <c r="J396" s="4" t="s">
        <v>21</v>
      </c>
      <c r="K396" s="5">
        <v>2276553</v>
      </c>
      <c r="L396" s="5">
        <f t="shared" si="159"/>
        <v>2276553</v>
      </c>
      <c r="M396" s="8">
        <v>11719032</v>
      </c>
      <c r="N396" s="8">
        <v>6309162</v>
      </c>
      <c r="O396" s="8">
        <f>SUMIFS(EIAwtransport!$J$2:$J$675,EIAwtransport!$E$2:$E$675,Program_data!$E396,EIAwtransport!$H$2:$H$675,Program_data!$F396,EIAwtransport!$I$2:$I$675,Program_data!O$2)</f>
        <v>255520153</v>
      </c>
      <c r="P396" s="5">
        <f>SUMIFS(EIAwtransport!$J$2:$J$675,EIAwtransport!$E$2:$E$675,Program_data!$E396,EIAwtransport!$H$2:$H$675,Program_data!$F396,EIAwtransport!$I$2:$I$675,Program_data!P$2)</f>
        <v>64985853</v>
      </c>
      <c r="Q396" s="5">
        <f>SUMIFS(EIAwtransport!$J$2:$J$675,EIAwtransport!$E$2:$E$675,Program_data!$E396,EIAwtransport!$H$2:$H$675,Program_data!$F396,EIAwtransport!$I$2:$I$675,Program_data!Q$2)</f>
        <v>62300</v>
      </c>
      <c r="R396" s="8">
        <f>SUMIFS(EIAwtransport!$J$2:$J$675,EIAwtransport!$E$2:$E$675,Program_data!$E396,EIAwtransport!$I$2:$I$675,Program_data!R$2)</f>
        <v>687184546</v>
      </c>
      <c r="S396" s="5">
        <f>SUMIFS(EIAwtransport!$J$2:$J$675,EIAwtransport!$E$2:$E$675,Program_data!$E396,EIAwtransport!$I$2:$I$675,Program_data!S$2)</f>
        <v>101857886</v>
      </c>
      <c r="T396" s="5">
        <f>SUMIFS(EIAwtransport!$J$2:$J$675,EIAwtransport!$E$2:$E$675,Program_data!$E396,EIAwtransport!$I$2:$I$675,Program_data!T$2)</f>
        <v>688078</v>
      </c>
      <c r="U396" s="104">
        <f t="shared" si="156"/>
        <v>2.157363623956402E-3</v>
      </c>
      <c r="V396" s="104">
        <f t="shared" si="149"/>
        <v>2.157363623956402E-3</v>
      </c>
      <c r="W396" s="104">
        <f t="shared" si="157"/>
        <v>1.70536896794533E-2</v>
      </c>
      <c r="X396" s="105">
        <f t="shared" si="158"/>
        <v>1.1105479795454374E-2</v>
      </c>
      <c r="Y396" s="8">
        <f t="shared" si="160"/>
        <v>4.0657851186911813</v>
      </c>
      <c r="Z396" s="27">
        <f t="shared" si="161"/>
        <v>2.0798925749688388</v>
      </c>
      <c r="AA396" s="27"/>
      <c r="AB396" s="27"/>
      <c r="AC396" s="56">
        <f t="shared" si="154"/>
        <v>5.4917661369252017E-2</v>
      </c>
      <c r="AD396" s="20">
        <f t="shared" si="146"/>
        <v>15820693.200000001</v>
      </c>
      <c r="AE396" s="20">
        <f t="shared" si="139"/>
        <v>8517368.7000000011</v>
      </c>
      <c r="AF396" s="20">
        <f t="shared" si="140"/>
        <v>927699137.10000002</v>
      </c>
      <c r="AG396">
        <f t="shared" si="141"/>
        <v>240130810.44</v>
      </c>
      <c r="AH396">
        <f t="shared" si="142"/>
        <v>240130810.44</v>
      </c>
      <c r="AI396">
        <f t="shared" si="143"/>
        <v>10743969815.280001</v>
      </c>
    </row>
    <row r="397" spans="2:35" x14ac:dyDescent="0.25">
      <c r="B397" s="4">
        <v>2025</v>
      </c>
      <c r="C397" s="4" t="s">
        <v>324</v>
      </c>
      <c r="D397" s="1" t="s">
        <v>325</v>
      </c>
      <c r="E397" s="4" t="str">
        <f t="shared" si="155"/>
        <v>NW Natural-OR</v>
      </c>
      <c r="F397" s="4" t="s">
        <v>146</v>
      </c>
      <c r="G397" s="4"/>
      <c r="H397" s="11" t="s">
        <v>337</v>
      </c>
      <c r="I397" s="4"/>
      <c r="J397" s="4" t="s">
        <v>142</v>
      </c>
      <c r="K397" s="5">
        <v>2047423</v>
      </c>
      <c r="L397" s="5">
        <f t="shared" si="159"/>
        <v>2047423</v>
      </c>
      <c r="M397" s="8">
        <v>12305607</v>
      </c>
      <c r="N397" s="8">
        <v>6552150</v>
      </c>
      <c r="O397" s="8">
        <f>SUMIFS(EIAwtransport!$J$2:$J$675,EIAwtransport!$E$2:$E$675,Program_data!$E397,EIAwtransport!$H$2:$H$675,Program_data!$F397,EIAwtransport!$I$2:$I$675,Program_data!O$2)</f>
        <v>255520153</v>
      </c>
      <c r="P397" s="5">
        <f>SUMIFS(EIAwtransport!$J$2:$J$675,EIAwtransport!$E$2:$E$675,Program_data!$E397,EIAwtransport!$H$2:$H$675,Program_data!$F397,EIAwtransport!$I$2:$I$675,Program_data!P$2)</f>
        <v>64985853</v>
      </c>
      <c r="Q397" s="5">
        <f>SUMIFS(EIAwtransport!$J$2:$J$675,EIAwtransport!$E$2:$E$675,Program_data!$E397,EIAwtransport!$H$2:$H$675,Program_data!$F397,EIAwtransport!$I$2:$I$675,Program_data!Q$2)</f>
        <v>62300</v>
      </c>
      <c r="R397" s="8">
        <f>SUMIFS(EIAwtransport!$J$2:$J$675,EIAwtransport!$E$2:$E$675,Program_data!$E397,EIAwtransport!$I$2:$I$675,Program_data!R$2)</f>
        <v>687184546</v>
      </c>
      <c r="S397" s="5">
        <f>SUMIFS(EIAwtransport!$J$2:$J$675,EIAwtransport!$E$2:$E$675,Program_data!$E397,EIAwtransport!$I$2:$I$675,Program_data!S$2)</f>
        <v>101857886</v>
      </c>
      <c r="T397" s="5">
        <f>SUMIFS(EIAwtransport!$J$2:$J$675,EIAwtransport!$E$2:$E$675,Program_data!$E397,EIAwtransport!$I$2:$I$675,Program_data!T$2)</f>
        <v>688078</v>
      </c>
      <c r="U397" s="24">
        <f t="shared" si="156"/>
        <v>1.9402297697666995E-3</v>
      </c>
      <c r="V397" s="24">
        <f t="shared" si="149"/>
        <v>1.9402297697666995E-3</v>
      </c>
      <c r="W397" s="24">
        <f t="shared" si="157"/>
        <v>1.7907281343314724E-2</v>
      </c>
      <c r="X397" s="25">
        <f t="shared" si="158"/>
        <v>1.1661344546998586E-2</v>
      </c>
      <c r="Y397" s="8">
        <f t="shared" si="160"/>
        <v>4.622518688253634</v>
      </c>
      <c r="Z397" s="27">
        <f t="shared" si="161"/>
        <v>2.134572752642542</v>
      </c>
      <c r="AA397" s="27"/>
      <c r="AB397" s="27"/>
      <c r="AC397" s="56">
        <f t="shared" si="154"/>
        <v>4.7095916332608539E-2</v>
      </c>
      <c r="AD397" s="20">
        <f t="shared" si="146"/>
        <v>16612569.450000001</v>
      </c>
      <c r="AE397" s="20">
        <f t="shared" si="139"/>
        <v>8845402.5</v>
      </c>
      <c r="AF397" s="20">
        <f t="shared" si="140"/>
        <v>927699137.10000002</v>
      </c>
      <c r="AG397">
        <f t="shared" si="141"/>
        <v>215962178.04000002</v>
      </c>
      <c r="AH397">
        <f t="shared" si="142"/>
        <v>215962178.04000002</v>
      </c>
      <c r="AI397">
        <f t="shared" si="143"/>
        <v>10743969815.280001</v>
      </c>
    </row>
    <row r="398" spans="2:35" x14ac:dyDescent="0.25">
      <c r="B398" s="4">
        <v>2024</v>
      </c>
      <c r="C398" s="4" t="s">
        <v>22</v>
      </c>
      <c r="D398" s="1" t="s">
        <v>159</v>
      </c>
      <c r="E398" s="4" t="str">
        <f t="shared" si="155"/>
        <v>Ngrid-NY</v>
      </c>
      <c r="F398" s="4" t="s">
        <v>146</v>
      </c>
      <c r="G398" s="4"/>
      <c r="H398" s="11" t="s">
        <v>338</v>
      </c>
      <c r="I398" s="4"/>
      <c r="J398" s="4" t="s">
        <v>21</v>
      </c>
      <c r="K398" s="5">
        <v>4793950</v>
      </c>
      <c r="L398" s="5">
        <f>K398/_xlfn.XLOOKUP(C398,'Utility target list'!$K$2:$K$8,'Utility target list'!$L$2:$L$8,1,0,1)</f>
        <v>5326611.111111111</v>
      </c>
      <c r="M398" s="8">
        <v>9061987</v>
      </c>
      <c r="N398" s="8">
        <v>5065383</v>
      </c>
      <c r="O398" s="8">
        <f>SUMIFS(EIAwtransport!$J$2:$J$675,EIAwtransport!$E$2:$E$675,Program_data!$E398,EIAwtransport!$H$2:$H$675,Program_data!$F398,EIAwtransport!$I$2:$I$675,Program_data!O$2)</f>
        <v>506314418</v>
      </c>
      <c r="P398" s="5">
        <f>SUMIFS(EIAwtransport!$J$2:$J$675,EIAwtransport!$E$2:$E$675,Program_data!$E398,EIAwtransport!$H$2:$H$675,Program_data!$F398,EIAwtransport!$I$2:$I$675,Program_data!P$2)</f>
        <v>103186096</v>
      </c>
      <c r="Q398" s="5">
        <f>SUMIFS(EIAwtransport!$J$2:$J$675,EIAwtransport!$E$2:$E$675,Program_data!$E398,EIAwtransport!$H$2:$H$675,Program_data!$F398,EIAwtransport!$I$2:$I$675,Program_data!Q$2)</f>
        <v>110262</v>
      </c>
      <c r="R398" s="8">
        <f>SUMIFS(EIAwtransport!$J$2:$J$675,EIAwtransport!$E$2:$E$675,Program_data!$E398,EIAwtransport!$I$2:$I$675,Program_data!R$2)</f>
        <v>1750657898</v>
      </c>
      <c r="S398" s="5">
        <f>SUMIFS(EIAwtransport!$J$2:$J$675,EIAwtransport!$E$2:$E$675,Program_data!$E398,EIAwtransport!$I$2:$I$675,Program_data!S$2)</f>
        <v>208185403</v>
      </c>
      <c r="T398" s="5">
        <f>SUMIFS(EIAwtransport!$J$2:$J$675,EIAwtransport!$E$2:$E$675,Program_data!$E398,EIAwtransport!$I$2:$I$675,Program_data!T$2)</f>
        <v>1252816</v>
      </c>
      <c r="U398" s="24">
        <f t="shared" si="156"/>
        <v>2.2227134074644344E-3</v>
      </c>
      <c r="V398" s="24">
        <f t="shared" si="149"/>
        <v>2.4696815638493718E-3</v>
      </c>
      <c r="W398" s="24">
        <f t="shared" si="157"/>
        <v>5.1763322864807936E-3</v>
      </c>
      <c r="X398" s="25">
        <f t="shared" si="158"/>
        <v>4.2015874181350263E-3</v>
      </c>
      <c r="Y398" s="8">
        <f t="shared" si="160"/>
        <v>1.8223584110749356</v>
      </c>
      <c r="Z398" s="27">
        <f t="shared" si="161"/>
        <v>0.84085735653813465</v>
      </c>
      <c r="AA398" s="30" t="s">
        <v>339</v>
      </c>
      <c r="AB398" s="31" t="s">
        <v>340</v>
      </c>
      <c r="AC398" s="56">
        <f t="shared" si="154"/>
        <v>0.1189879318073398</v>
      </c>
      <c r="AD398" s="20">
        <f t="shared" si="146"/>
        <v>12233682.450000001</v>
      </c>
      <c r="AE398" s="20">
        <f t="shared" si="139"/>
        <v>6838267.0500000007</v>
      </c>
      <c r="AF398" s="20">
        <f t="shared" si="140"/>
        <v>2363388162.3000002</v>
      </c>
      <c r="AG398">
        <f t="shared" si="141"/>
        <v>505665846</v>
      </c>
      <c r="AH398">
        <f t="shared" si="142"/>
        <v>561850940</v>
      </c>
      <c r="AI398">
        <f t="shared" si="143"/>
        <v>21959396308.440002</v>
      </c>
    </row>
    <row r="399" spans="2:35" x14ac:dyDescent="0.25">
      <c r="B399" s="4">
        <v>2025</v>
      </c>
      <c r="C399" s="4" t="s">
        <v>22</v>
      </c>
      <c r="D399" s="1" t="s">
        <v>159</v>
      </c>
      <c r="E399" s="4" t="str">
        <f t="shared" si="155"/>
        <v>Ngrid-NY</v>
      </c>
      <c r="F399" s="4" t="s">
        <v>146</v>
      </c>
      <c r="G399" s="4"/>
      <c r="H399" s="11" t="s">
        <v>338</v>
      </c>
      <c r="I399" s="4"/>
      <c r="J399" s="4" t="s">
        <v>142</v>
      </c>
      <c r="K399" s="5">
        <v>3794290</v>
      </c>
      <c r="L399" s="5">
        <f>K399/_xlfn.XLOOKUP(C399,'Utility target list'!$K$2:$K$8,'Utility target list'!$L$2:$L$8,1,0,1)</f>
        <v>4215877.777777778</v>
      </c>
      <c r="M399" s="8">
        <v>6452630</v>
      </c>
      <c r="N399" s="8">
        <v>3606830</v>
      </c>
      <c r="O399" s="8">
        <f>SUMIFS(EIAwtransport!$J$2:$J$675,EIAwtransport!$E$2:$E$675,Program_data!$E399,EIAwtransport!$H$2:$H$675,Program_data!$F399,EIAwtransport!$I$2:$I$675,Program_data!O$2)</f>
        <v>506314418</v>
      </c>
      <c r="P399" s="5">
        <f>SUMIFS(EIAwtransport!$J$2:$J$675,EIAwtransport!$E$2:$E$675,Program_data!$E399,EIAwtransport!$H$2:$H$675,Program_data!$F399,EIAwtransport!$I$2:$I$675,Program_data!P$2)</f>
        <v>103186096</v>
      </c>
      <c r="Q399" s="5">
        <f>SUMIFS(EIAwtransport!$J$2:$J$675,EIAwtransport!$E$2:$E$675,Program_data!$E399,EIAwtransport!$H$2:$H$675,Program_data!$F399,EIAwtransport!$I$2:$I$675,Program_data!Q$2)</f>
        <v>110262</v>
      </c>
      <c r="R399" s="8">
        <f>SUMIFS(EIAwtransport!$J$2:$J$675,EIAwtransport!$E$2:$E$675,Program_data!$E399,EIAwtransport!$I$2:$I$675,Program_data!R$2)</f>
        <v>1750657898</v>
      </c>
      <c r="S399" s="5">
        <f>SUMIFS(EIAwtransport!$J$2:$J$675,EIAwtransport!$E$2:$E$675,Program_data!$E399,EIAwtransport!$I$2:$I$675,Program_data!S$2)</f>
        <v>208185403</v>
      </c>
      <c r="T399" s="5">
        <f>SUMIFS(EIAwtransport!$J$2:$J$675,EIAwtransport!$E$2:$E$675,Program_data!$E399,EIAwtransport!$I$2:$I$675,Program_data!T$2)</f>
        <v>1252816</v>
      </c>
      <c r="U399" s="24">
        <f t="shared" si="156"/>
        <v>1.7592213633450973E-3</v>
      </c>
      <c r="V399" s="24">
        <f t="shared" si="149"/>
        <v>1.9546904037167747E-3</v>
      </c>
      <c r="W399" s="24">
        <f t="shared" si="157"/>
        <v>3.6858314850500848E-3</v>
      </c>
      <c r="X399" s="25">
        <f t="shared" si="158"/>
        <v>2.9917598670005392E-3</v>
      </c>
      <c r="Y399" s="8">
        <f t="shared" si="160"/>
        <v>1.6394918376421266</v>
      </c>
      <c r="Z399" s="27">
        <f t="shared" si="161"/>
        <v>0.73327757392004966</v>
      </c>
      <c r="AA399" s="30" t="s">
        <v>341</v>
      </c>
      <c r="AB399" s="30" t="s">
        <v>342</v>
      </c>
      <c r="AC399" s="56">
        <f t="shared" si="154"/>
        <v>0.11687758624646317</v>
      </c>
      <c r="AD399" s="20">
        <f t="shared" si="146"/>
        <v>8711050.5</v>
      </c>
      <c r="AE399" s="20">
        <f t="shared" si="139"/>
        <v>4869220.5</v>
      </c>
      <c r="AF399" s="20">
        <f t="shared" si="140"/>
        <v>2363388162.3000002</v>
      </c>
      <c r="AG399">
        <f t="shared" si="141"/>
        <v>400221709.19999999</v>
      </c>
      <c r="AH399">
        <f t="shared" si="142"/>
        <v>444690788.00000006</v>
      </c>
      <c r="AI399">
        <f t="shared" si="143"/>
        <v>21959396308.440002</v>
      </c>
    </row>
    <row r="400" spans="2:35" x14ac:dyDescent="0.25">
      <c r="B400" s="4">
        <v>2024</v>
      </c>
      <c r="C400" s="4" t="s">
        <v>22</v>
      </c>
      <c r="D400" s="1" t="s">
        <v>159</v>
      </c>
      <c r="E400" s="4" t="str">
        <f t="shared" si="155"/>
        <v>Ngrid-NY</v>
      </c>
      <c r="F400" s="4" t="s">
        <v>146</v>
      </c>
      <c r="G400" s="4"/>
      <c r="H400" s="11" t="s">
        <v>343</v>
      </c>
      <c r="I400" s="4"/>
      <c r="J400" s="4" t="s">
        <v>21</v>
      </c>
      <c r="K400" s="5">
        <v>34800</v>
      </c>
      <c r="L400" s="5">
        <f>K400/_xlfn.XLOOKUP(C400,'Utility target list'!$K$2:$K$8,'Utility target list'!$L$2:$L$8,1,0,1)</f>
        <v>38666.666666666664</v>
      </c>
      <c r="M400" s="8">
        <v>220653</v>
      </c>
      <c r="N400" s="8">
        <v>63985</v>
      </c>
      <c r="O400" s="8">
        <f>SUMIFS(EIAwtransport!$J$2:$J$675,EIAwtransport!$E$2:$E$675,Program_data!$E400,EIAwtransport!$H$2:$H$675,Program_data!$F400,EIAwtransport!$I$2:$I$675,Program_data!O$2)</f>
        <v>506314418</v>
      </c>
      <c r="P400" s="5">
        <f>SUMIFS(EIAwtransport!$J$2:$J$675,EIAwtransport!$E$2:$E$675,Program_data!$E400,EIAwtransport!$H$2:$H$675,Program_data!$F400,EIAwtransport!$I$2:$I$675,Program_data!P$2)</f>
        <v>103186096</v>
      </c>
      <c r="Q400" s="5">
        <f>SUMIFS(EIAwtransport!$J$2:$J$675,EIAwtransport!$E$2:$E$675,Program_data!$E400,EIAwtransport!$H$2:$H$675,Program_data!$F400,EIAwtransport!$I$2:$I$675,Program_data!Q$2)</f>
        <v>110262</v>
      </c>
      <c r="R400" s="8">
        <f>SUMIFS(EIAwtransport!$J$2:$J$675,EIAwtransport!$E$2:$E$675,Program_data!$E400,EIAwtransport!$I$2:$I$675,Program_data!R$2)</f>
        <v>1750657898</v>
      </c>
      <c r="S400" s="5">
        <f>SUMIFS(EIAwtransport!$J$2:$J$675,EIAwtransport!$E$2:$E$675,Program_data!$E400,EIAwtransport!$I$2:$I$675,Program_data!S$2)</f>
        <v>208185403</v>
      </c>
      <c r="T400" s="5">
        <f>SUMIFS(EIAwtransport!$J$2:$J$675,EIAwtransport!$E$2:$E$675,Program_data!$E400,EIAwtransport!$I$2:$I$675,Program_data!T$2)</f>
        <v>1252816</v>
      </c>
      <c r="U400" s="24">
        <f t="shared" si="156"/>
        <v>1.6135009038426E-5</v>
      </c>
      <c r="V400" s="24">
        <f t="shared" si="149"/>
        <v>1.7927787820473334E-5</v>
      </c>
      <c r="W400" s="24">
        <f t="shared" si="157"/>
        <v>1.2604004486089493E-4</v>
      </c>
      <c r="X400" s="25">
        <f t="shared" si="158"/>
        <v>1.0230569394700609E-4</v>
      </c>
      <c r="Y400" s="8">
        <f t="shared" si="160"/>
        <v>4.4373143602933637E-2</v>
      </c>
      <c r="Z400" s="27">
        <f t="shared" si="161"/>
        <v>2.0474284314489638E-2</v>
      </c>
      <c r="AA400" s="27"/>
      <c r="AB400" s="27"/>
      <c r="AC400" s="56">
        <f t="shared" si="154"/>
        <v>8.6375119200146535E-4</v>
      </c>
      <c r="AD400" s="20">
        <f t="shared" si="146"/>
        <v>297881.55000000005</v>
      </c>
      <c r="AE400" s="20">
        <f t="shared" si="139"/>
        <v>86379.75</v>
      </c>
      <c r="AF400" s="20">
        <f t="shared" si="140"/>
        <v>2363388162.3000002</v>
      </c>
      <c r="AG400">
        <f t="shared" si="141"/>
        <v>3670704</v>
      </c>
      <c r="AH400">
        <f t="shared" si="142"/>
        <v>4078560</v>
      </c>
      <c r="AI400">
        <f t="shared" si="143"/>
        <v>21959396308.440002</v>
      </c>
    </row>
    <row r="401" spans="2:35" x14ac:dyDescent="0.25">
      <c r="B401" s="4">
        <v>2025</v>
      </c>
      <c r="C401" s="4" t="s">
        <v>22</v>
      </c>
      <c r="D401" s="1" t="s">
        <v>159</v>
      </c>
      <c r="E401" s="4" t="str">
        <f t="shared" si="155"/>
        <v>Ngrid-NY</v>
      </c>
      <c r="F401" s="4" t="s">
        <v>146</v>
      </c>
      <c r="G401" s="4"/>
      <c r="H401" s="11" t="s">
        <v>343</v>
      </c>
      <c r="I401" s="4"/>
      <c r="J401" s="4" t="s">
        <v>142</v>
      </c>
      <c r="K401" s="5">
        <v>27550</v>
      </c>
      <c r="L401" s="5">
        <f>K401/_xlfn.XLOOKUP(C401,'Utility target list'!$K$2:$K$8,'Utility target list'!$L$2:$L$8,1,0,1)</f>
        <v>30611.111111111109</v>
      </c>
      <c r="M401" s="8">
        <v>157117</v>
      </c>
      <c r="N401" s="8">
        <v>45561</v>
      </c>
      <c r="O401" s="8">
        <f>SUMIFS(EIAwtransport!$J$2:$J$675,EIAwtransport!$E$2:$E$675,Program_data!$E401,EIAwtransport!$H$2:$H$675,Program_data!$F401,EIAwtransport!$I$2:$I$675,Program_data!O$2)</f>
        <v>506314418</v>
      </c>
      <c r="P401" s="5">
        <f>SUMIFS(EIAwtransport!$J$2:$J$675,EIAwtransport!$E$2:$E$675,Program_data!$E401,EIAwtransport!$H$2:$H$675,Program_data!$F401,EIAwtransport!$I$2:$I$675,Program_data!P$2)</f>
        <v>103186096</v>
      </c>
      <c r="Q401" s="5">
        <f>SUMIFS(EIAwtransport!$J$2:$J$675,EIAwtransport!$E$2:$E$675,Program_data!$E401,EIAwtransport!$H$2:$H$675,Program_data!$F401,EIAwtransport!$I$2:$I$675,Program_data!Q$2)</f>
        <v>110262</v>
      </c>
      <c r="R401" s="8">
        <f>SUMIFS(EIAwtransport!$J$2:$J$675,EIAwtransport!$E$2:$E$675,Program_data!$E401,EIAwtransport!$I$2:$I$675,Program_data!R$2)</f>
        <v>1750657898</v>
      </c>
      <c r="S401" s="5">
        <f>SUMIFS(EIAwtransport!$J$2:$J$675,EIAwtransport!$E$2:$E$675,Program_data!$E401,EIAwtransport!$I$2:$I$675,Program_data!S$2)</f>
        <v>208185403</v>
      </c>
      <c r="T401" s="5">
        <f>SUMIFS(EIAwtransport!$J$2:$J$675,EIAwtransport!$E$2:$E$675,Program_data!$E401,EIAwtransport!$I$2:$I$675,Program_data!T$2)</f>
        <v>1252816</v>
      </c>
      <c r="U401" s="24">
        <f t="shared" si="156"/>
        <v>1.277354882208725E-5</v>
      </c>
      <c r="V401" s="24">
        <f t="shared" si="149"/>
        <v>1.4192832024541389E-5</v>
      </c>
      <c r="W401" s="24">
        <f t="shared" si="157"/>
        <v>8.974740306458207E-5</v>
      </c>
      <c r="X401" s="25">
        <f t="shared" si="158"/>
        <v>7.2847247560068327E-5</v>
      </c>
      <c r="Y401" s="8">
        <f t="shared" si="160"/>
        <v>3.9920472590992823E-2</v>
      </c>
      <c r="Z401" s="27">
        <f t="shared" si="161"/>
        <v>1.7854792942040135E-2</v>
      </c>
      <c r="AA401" s="27"/>
      <c r="AB401" s="27"/>
      <c r="AC401" s="56">
        <f t="shared" si="154"/>
        <v>8.4863769007905571E-4</v>
      </c>
      <c r="AD401" s="20">
        <f t="shared" si="146"/>
        <v>212107.95</v>
      </c>
      <c r="AE401" s="20">
        <f t="shared" si="139"/>
        <v>61507.350000000006</v>
      </c>
      <c r="AF401" s="20">
        <f t="shared" si="140"/>
        <v>2363388162.3000002</v>
      </c>
      <c r="AG401">
        <f t="shared" si="141"/>
        <v>2905974</v>
      </c>
      <c r="AH401">
        <f t="shared" si="142"/>
        <v>3228860</v>
      </c>
      <c r="AI401">
        <f t="shared" si="143"/>
        <v>21959396308.440002</v>
      </c>
    </row>
    <row r="402" spans="2:35" x14ac:dyDescent="0.25">
      <c r="B402" s="4">
        <v>2024</v>
      </c>
      <c r="C402" s="4" t="s">
        <v>22</v>
      </c>
      <c r="D402" s="1" t="s">
        <v>159</v>
      </c>
      <c r="E402" s="4" t="str">
        <f t="shared" si="155"/>
        <v>Ngrid-NY</v>
      </c>
      <c r="F402" s="4" t="s">
        <v>146</v>
      </c>
      <c r="G402" s="4"/>
      <c r="H402" s="11" t="s">
        <v>344</v>
      </c>
      <c r="I402" s="4"/>
      <c r="J402" s="4" t="s">
        <v>27</v>
      </c>
      <c r="K402" s="22">
        <v>143920</v>
      </c>
      <c r="L402" s="5">
        <f>K402/_xlfn.XLOOKUP(C402,'Utility target list'!$K$2:$K$8,'Utility target list'!$L$2:$L$8,1,0,1)</f>
        <v>159911.11111111109</v>
      </c>
      <c r="M402" s="50">
        <v>2288063</v>
      </c>
      <c r="N402" s="8">
        <v>1215411</v>
      </c>
      <c r="O402" s="8">
        <f>SUMIFS(EIAwtransport!$J$2:$J$675,EIAwtransport!$E$2:$E$675,Program_data!$E402,EIAwtransport!$H$2:$H$675,Program_data!$F402,EIAwtransport!$I$2:$I$675,Program_data!O$2)</f>
        <v>506314418</v>
      </c>
      <c r="P402" s="5">
        <f>SUMIFS(EIAwtransport!$J$2:$J$675,EIAwtransport!$E$2:$E$675,Program_data!$E402,EIAwtransport!$H$2:$H$675,Program_data!$F402,EIAwtransport!$I$2:$I$675,Program_data!P$2)</f>
        <v>103186096</v>
      </c>
      <c r="Q402" s="5">
        <f>SUMIFS(EIAwtransport!$J$2:$J$675,EIAwtransport!$E$2:$E$675,Program_data!$E402,EIAwtransport!$H$2:$H$675,Program_data!$F402,EIAwtransport!$I$2:$I$675,Program_data!Q$2)</f>
        <v>110262</v>
      </c>
      <c r="R402" s="8">
        <f>SUMIFS(EIAwtransport!$J$2:$J$675,EIAwtransport!$E$2:$E$675,Program_data!$E402,EIAwtransport!$I$2:$I$675,Program_data!R$2)</f>
        <v>1750657898</v>
      </c>
      <c r="S402" s="5">
        <f>SUMIFS(EIAwtransport!$J$2:$J$675,EIAwtransport!$E$2:$E$675,Program_data!$E402,EIAwtransport!$I$2:$I$675,Program_data!S$2)</f>
        <v>208185403</v>
      </c>
      <c r="T402" s="5">
        <f>SUMIFS(EIAwtransport!$J$2:$J$675,EIAwtransport!$E$2:$E$675,Program_data!$E402,EIAwtransport!$I$2:$I$675,Program_data!T$2)</f>
        <v>1252816</v>
      </c>
      <c r="U402" s="24">
        <f t="shared" si="156"/>
        <v>6.6728462666961779E-5</v>
      </c>
      <c r="V402" s="24">
        <f t="shared" si="149"/>
        <v>7.4142736296624185E-5</v>
      </c>
      <c r="W402" s="24">
        <f t="shared" si="157"/>
        <v>1.3069732256735863E-3</v>
      </c>
      <c r="X402" s="25">
        <f t="shared" si="158"/>
        <v>1.0608596892381641E-3</v>
      </c>
      <c r="Y402" s="8">
        <f t="shared" si="160"/>
        <v>0.46012765777741133</v>
      </c>
      <c r="Z402" s="27">
        <f t="shared" si="161"/>
        <v>0.21230825047229862</v>
      </c>
      <c r="AA402" s="27"/>
      <c r="AB402" s="27"/>
      <c r="AC402" s="56">
        <f t="shared" si="154"/>
        <v>3.5721572285301981E-3</v>
      </c>
      <c r="AD402" s="20">
        <f t="shared" si="146"/>
        <v>3088885.0500000003</v>
      </c>
      <c r="AE402" s="20">
        <f t="shared" si="139"/>
        <v>1640804.85</v>
      </c>
      <c r="AF402" s="20">
        <f t="shared" si="140"/>
        <v>2363388162.3000002</v>
      </c>
      <c r="AG402">
        <f t="shared" si="141"/>
        <v>15180681.600000001</v>
      </c>
      <c r="AH402">
        <f t="shared" si="142"/>
        <v>16867424</v>
      </c>
      <c r="AI402">
        <f t="shared" si="143"/>
        <v>21959396308.440002</v>
      </c>
    </row>
    <row r="403" spans="2:35" x14ac:dyDescent="0.25">
      <c r="B403" s="4">
        <v>2025</v>
      </c>
      <c r="C403" s="4" t="s">
        <v>22</v>
      </c>
      <c r="D403" s="1" t="s">
        <v>159</v>
      </c>
      <c r="E403" s="4" t="str">
        <f t="shared" si="155"/>
        <v>Ngrid-NY</v>
      </c>
      <c r="F403" s="4" t="s">
        <v>146</v>
      </c>
      <c r="G403" s="4"/>
      <c r="H403" s="11" t="s">
        <v>344</v>
      </c>
      <c r="I403" s="4"/>
      <c r="J403" s="4" t="s">
        <v>27</v>
      </c>
      <c r="K403" s="22">
        <v>113909.99999999999</v>
      </c>
      <c r="L403" s="5">
        <f>K403/_xlfn.XLOOKUP(C403,'Utility target list'!$K$2:$K$8,'Utility target list'!$L$2:$L$8,1,0,1)</f>
        <v>126566.66666666664</v>
      </c>
      <c r="M403" s="50">
        <v>1629226</v>
      </c>
      <c r="N403" s="8">
        <v>865439</v>
      </c>
      <c r="O403" s="8">
        <f>SUMIFS(EIAwtransport!$J$2:$J$675,EIAwtransport!$E$2:$E$675,Program_data!$E403,EIAwtransport!$H$2:$H$675,Program_data!$F403,EIAwtransport!$I$2:$I$675,Program_data!O$2)</f>
        <v>506314418</v>
      </c>
      <c r="P403" s="5">
        <f>SUMIFS(EIAwtransport!$J$2:$J$675,EIAwtransport!$E$2:$E$675,Program_data!$E403,EIAwtransport!$H$2:$H$675,Program_data!$F403,EIAwtransport!$I$2:$I$675,Program_data!P$2)</f>
        <v>103186096</v>
      </c>
      <c r="Q403" s="5">
        <f>SUMIFS(EIAwtransport!$J$2:$J$675,EIAwtransport!$E$2:$E$675,Program_data!$E403,EIAwtransport!$H$2:$H$675,Program_data!$F403,EIAwtransport!$I$2:$I$675,Program_data!Q$2)</f>
        <v>110262</v>
      </c>
      <c r="R403" s="8">
        <f>SUMIFS(EIAwtransport!$J$2:$J$675,EIAwtransport!$E$2:$E$675,Program_data!$E403,EIAwtransport!$I$2:$I$675,Program_data!R$2)</f>
        <v>1750657898</v>
      </c>
      <c r="S403" s="5">
        <f>SUMIFS(EIAwtransport!$J$2:$J$675,EIAwtransport!$E$2:$E$675,Program_data!$E403,EIAwtransport!$I$2:$I$675,Program_data!S$2)</f>
        <v>208185403</v>
      </c>
      <c r="T403" s="5">
        <f>SUMIFS(EIAwtransport!$J$2:$J$675,EIAwtransport!$E$2:$E$675,Program_data!$E403,EIAwtransport!$I$2:$I$675,Program_data!T$2)</f>
        <v>1252816</v>
      </c>
      <c r="U403" s="24">
        <f t="shared" si="156"/>
        <v>5.2814335619744411E-5</v>
      </c>
      <c r="V403" s="24">
        <f t="shared" si="149"/>
        <v>5.8682595133049339E-5</v>
      </c>
      <c r="W403" s="24">
        <f t="shared" si="157"/>
        <v>9.3063642066292494E-4</v>
      </c>
      <c r="X403" s="25">
        <f t="shared" si="158"/>
        <v>7.5539012171375397E-4</v>
      </c>
      <c r="Y403" s="8">
        <f t="shared" si="160"/>
        <v>0.41395566283427554</v>
      </c>
      <c r="Z403" s="27">
        <f t="shared" si="161"/>
        <v>0.18514541956496294</v>
      </c>
      <c r="AA403" s="27"/>
      <c r="AB403" s="27"/>
      <c r="AC403" s="56">
        <f t="shared" si="154"/>
        <v>3.5088319156771409E-3</v>
      </c>
      <c r="AD403" s="20">
        <f t="shared" si="146"/>
        <v>2199455.1</v>
      </c>
      <c r="AE403" s="20">
        <f t="shared" si="139"/>
        <v>1168342.6500000001</v>
      </c>
      <c r="AF403" s="20">
        <f t="shared" si="140"/>
        <v>2363388162.3000002</v>
      </c>
      <c r="AG403">
        <f t="shared" si="141"/>
        <v>12015226.799999999</v>
      </c>
      <c r="AH403">
        <f t="shared" si="142"/>
        <v>13350251.999999998</v>
      </c>
      <c r="AI403">
        <f t="shared" si="143"/>
        <v>21959396308.440002</v>
      </c>
    </row>
    <row r="404" spans="2:35" x14ac:dyDescent="0.25">
      <c r="B404" s="4">
        <v>2024</v>
      </c>
      <c r="C404" s="4" t="s">
        <v>22</v>
      </c>
      <c r="D404" s="1" t="s">
        <v>159</v>
      </c>
      <c r="E404" s="4" t="str">
        <f>D404&amp;"-"&amp;C404</f>
        <v>Ngrid-NY</v>
      </c>
      <c r="F404" s="4" t="s">
        <v>143</v>
      </c>
      <c r="G404" s="4"/>
      <c r="H404" s="11" t="s">
        <v>345</v>
      </c>
      <c r="I404" s="4"/>
      <c r="J404" s="4" t="s">
        <v>21</v>
      </c>
      <c r="K404" s="98">
        <v>506870</v>
      </c>
      <c r="L404" s="98"/>
      <c r="M404" s="100">
        <v>6260625</v>
      </c>
      <c r="N404" s="99">
        <v>4161843</v>
      </c>
      <c r="O404" s="8">
        <f>SUMIFS(EIAwtransport!$J$2:$J$675,EIAwtransport!$E$2:$E$675,Program_data!$E404,EIAwtransport!$H$2:$H$675,Program_data!$F404,EIAwtransport!$I$2:$I$675,Program_data!O$2)</f>
        <v>0</v>
      </c>
      <c r="P404" s="5">
        <f>SUMIFS(EIAwtransport!$J$2:$J$675,EIAwtransport!$E$2:$E$675,Program_data!$E404,EIAwtransport!$H$2:$H$675,Program_data!$F404,EIAwtransport!$I$2:$I$675,Program_data!P$2)</f>
        <v>0</v>
      </c>
      <c r="Q404" s="5">
        <f>SUMIFS(EIAwtransport!$J$2:$J$675,EIAwtransport!$E$2:$E$675,Program_data!$E404,EIAwtransport!$H$2:$H$675,Program_data!$F404,EIAwtransport!$I$2:$I$675,Program_data!Q$2)</f>
        <v>0</v>
      </c>
      <c r="R404" s="8">
        <f>SUMIFS(EIAwtransport!$J$2:$J$675,EIAwtransport!$E$2:$E$675,Program_data!$E404,EIAwtransport!$I$2:$I$675,Program_data!R$2)</f>
        <v>1750657898</v>
      </c>
      <c r="S404" s="5">
        <f>SUMIFS(EIAwtransport!$J$2:$J$675,EIAwtransport!$E$2:$E$675,Program_data!$E404,EIAwtransport!$I$2:$I$675,Program_data!S$2)</f>
        <v>208185403</v>
      </c>
      <c r="T404" s="5">
        <f>SUMIFS(EIAwtransport!$J$2:$J$675,EIAwtransport!$E$2:$E$675,Program_data!$E404,EIAwtransport!$I$2:$I$675,Program_data!T$2)</f>
        <v>1252816</v>
      </c>
      <c r="U404" s="24">
        <f t="shared" si="156"/>
        <v>2.3501011584215479E-4</v>
      </c>
      <c r="V404" s="24">
        <f t="shared" si="149"/>
        <v>0</v>
      </c>
      <c r="W404" s="24">
        <f t="shared" si="157"/>
        <v>3.5761555739429796E-3</v>
      </c>
      <c r="X404" s="25">
        <f t="shared" si="158"/>
        <v>2.9027368092297639E-3</v>
      </c>
      <c r="Y404" s="8">
        <f t="shared" si="160"/>
        <v>12.351539842563183</v>
      </c>
      <c r="Z404" s="27">
        <f t="shared" si="161"/>
        <v>0.58092034205925913</v>
      </c>
      <c r="AA404" s="27"/>
      <c r="AB404" s="27"/>
      <c r="AC404" s="56"/>
      <c r="AD404" s="20"/>
      <c r="AE404" s="20"/>
      <c r="AF404" s="20"/>
    </row>
    <row r="405" spans="2:35" x14ac:dyDescent="0.25">
      <c r="B405" s="4">
        <v>2025</v>
      </c>
      <c r="C405" s="4" t="s">
        <v>22</v>
      </c>
      <c r="D405" s="1" t="s">
        <v>159</v>
      </c>
      <c r="E405" s="4" t="str">
        <f>D405&amp;"-"&amp;C405</f>
        <v>Ngrid-NY</v>
      </c>
      <c r="F405" s="4" t="s">
        <v>143</v>
      </c>
      <c r="G405" s="4"/>
      <c r="H405" s="11" t="s">
        <v>345</v>
      </c>
      <c r="I405" s="4"/>
      <c r="J405" s="4" t="s">
        <v>21</v>
      </c>
      <c r="K405" s="98">
        <v>671080</v>
      </c>
      <c r="L405" s="98"/>
      <c r="M405" s="99">
        <v>8233460</v>
      </c>
      <c r="N405" s="99">
        <v>5487333</v>
      </c>
      <c r="O405" s="8"/>
      <c r="P405" s="5"/>
      <c r="Q405" s="5"/>
      <c r="R405" s="8"/>
      <c r="S405" s="5"/>
      <c r="T405" s="5"/>
      <c r="U405" s="24"/>
      <c r="V405" s="24"/>
      <c r="W405" s="24"/>
      <c r="X405" s="25"/>
      <c r="Y405" s="8">
        <f t="shared" si="160"/>
        <v>12.268969422423556</v>
      </c>
      <c r="Z405" s="27">
        <f t="shared" si="161"/>
        <v>0.93565128850837131</v>
      </c>
      <c r="AA405" s="27"/>
      <c r="AB405" s="27"/>
      <c r="AC405" s="56"/>
      <c r="AD405" s="20"/>
      <c r="AE405" s="20"/>
      <c r="AF405" s="20"/>
    </row>
    <row r="406" spans="2:35" x14ac:dyDescent="0.25">
      <c r="B406" s="4">
        <v>2024</v>
      </c>
      <c r="C406" s="4" t="s">
        <v>22</v>
      </c>
      <c r="D406" s="1" t="s">
        <v>159</v>
      </c>
      <c r="E406" s="4" t="str">
        <f t="shared" si="155"/>
        <v>Ngrid-NY</v>
      </c>
      <c r="F406" s="4" t="s">
        <v>135</v>
      </c>
      <c r="G406" s="4"/>
      <c r="H406" s="11" t="s">
        <v>346</v>
      </c>
      <c r="I406" s="4"/>
      <c r="J406" s="4" t="s">
        <v>21</v>
      </c>
      <c r="K406" s="5">
        <v>1954759.9999999998</v>
      </c>
      <c r="L406" s="5">
        <f>K406/_xlfn.XLOOKUP(C406,'Utility target list'!$K$2:$K$8,'Utility target list'!$L$2:$L$8,1,0,1)</f>
        <v>2171955.555555555</v>
      </c>
      <c r="M406" s="8">
        <v>4245608</v>
      </c>
      <c r="N406" s="8">
        <v>2560183</v>
      </c>
      <c r="O406" s="8">
        <f>SUMIFS(EIAwtransport!$J$2:$J$675,EIAwtransport!$E$2:$E$675,Program_data!$E406,EIAwtransport!$H$2:$H$675,Program_data!$F406,EIAwtransport!$I$2:$I$675,Program_data!O$2)</f>
        <v>1244343480</v>
      </c>
      <c r="P406" s="5">
        <f>SUMIFS(EIAwtransport!$J$2:$J$675,EIAwtransport!$E$2:$E$675,Program_data!$E406,EIAwtransport!$H$2:$H$675,Program_data!$F406,EIAwtransport!$I$2:$I$675,Program_data!P$2)</f>
        <v>104999307</v>
      </c>
      <c r="Q406" s="5">
        <f>SUMIFS(EIAwtransport!$J$2:$J$675,EIAwtransport!$E$2:$E$675,Program_data!$E406,EIAwtransport!$H$2:$H$675,Program_data!$F406,EIAwtransport!$I$2:$I$675,Program_data!Q$2)</f>
        <v>1142554</v>
      </c>
      <c r="R406" s="8">
        <f>SUMIFS(EIAwtransport!$J$2:$J$675,EIAwtransport!$E$2:$E$675,Program_data!$E406,EIAwtransport!$I$2:$I$675,Program_data!R$2)</f>
        <v>1750657898</v>
      </c>
      <c r="S406" s="5">
        <f>SUMIFS(EIAwtransport!$J$2:$J$675,EIAwtransport!$E$2:$E$675,Program_data!$E406,EIAwtransport!$I$2:$I$675,Program_data!S$2)</f>
        <v>208185403</v>
      </c>
      <c r="T406" s="5">
        <f>SUMIFS(EIAwtransport!$J$2:$J$675,EIAwtransport!$E$2:$E$675,Program_data!$E406,EIAwtransport!$I$2:$I$675,Program_data!T$2)</f>
        <v>1252816</v>
      </c>
      <c r="U406" s="24">
        <f t="shared" ref="U406" si="162">IFERROR(K406/10.36/S406,"")</f>
        <v>9.0632385827452882E-4</v>
      </c>
      <c r="V406" s="24">
        <f t="shared" ref="V406" si="163">IFERROR(L406/10.36/S406,"")</f>
        <v>1.0070265091939208E-3</v>
      </c>
      <c r="W406" s="24">
        <f t="shared" ref="W406" si="164">IFERROR(M406/R406,"")</f>
        <v>2.4251499992376008E-3</v>
      </c>
      <c r="X406" s="25">
        <f t="shared" ref="X406" si="165">IFERROR(M406/S406/10.36,"")</f>
        <v>1.9684748118854521E-3</v>
      </c>
      <c r="Y406" s="8">
        <f t="shared" si="160"/>
        <v>0.80143009774348095</v>
      </c>
      <c r="Z406" s="27">
        <f t="shared" si="161"/>
        <v>0.39394789683290837</v>
      </c>
      <c r="AA406" s="27"/>
      <c r="AB406" s="27"/>
      <c r="AC406" s="56">
        <f t="shared" ref="AC406:AC469" si="166">IFERROR(K406/SUMIFS($M$3:$M$1234,$E$3:$E$1234,E406,$B$3:$B$1234,B406),"")</f>
        <v>4.8517996553930583E-2</v>
      </c>
      <c r="AD406" s="20">
        <f t="shared" si="146"/>
        <v>5731570.8000000007</v>
      </c>
      <c r="AE406" s="20">
        <f t="shared" si="139"/>
        <v>3456247.0500000003</v>
      </c>
      <c r="AF406" s="20">
        <f t="shared" si="140"/>
        <v>2363388162.3000002</v>
      </c>
      <c r="AG406">
        <f t="shared" si="141"/>
        <v>206188084.79999998</v>
      </c>
      <c r="AH406">
        <f t="shared" si="142"/>
        <v>229097871.99999994</v>
      </c>
      <c r="AI406">
        <f t="shared" si="143"/>
        <v>21959396308.440002</v>
      </c>
    </row>
    <row r="407" spans="2:35" x14ac:dyDescent="0.25">
      <c r="B407" s="4">
        <v>2025</v>
      </c>
      <c r="C407" s="4" t="s">
        <v>22</v>
      </c>
      <c r="D407" s="1" t="s">
        <v>159</v>
      </c>
      <c r="E407" s="4" t="str">
        <f t="shared" si="155"/>
        <v>Ngrid-NY</v>
      </c>
      <c r="F407" s="4" t="s">
        <v>135</v>
      </c>
      <c r="G407" s="4"/>
      <c r="H407" s="11" t="s">
        <v>346</v>
      </c>
      <c r="I407" s="4"/>
      <c r="J407" s="4" t="s">
        <v>142</v>
      </c>
      <c r="K407" s="5">
        <v>1547150</v>
      </c>
      <c r="L407" s="5">
        <f>K407/_xlfn.XLOOKUP(C407,'Utility target list'!$K$2:$K$8,'Utility target list'!$L$2:$L$8,1,0,1)</f>
        <v>1719055.5555555555</v>
      </c>
      <c r="M407" s="8">
        <v>3023105</v>
      </c>
      <c r="N407" s="8">
        <v>1822990</v>
      </c>
      <c r="O407" s="8">
        <f>SUMIFS(EIAwtransport!$J$2:$J$675,EIAwtransport!$E$2:$E$675,Program_data!$E407,EIAwtransport!$H$2:$H$675,Program_data!$F407,EIAwtransport!$I$2:$I$675,Program_data!O$2)</f>
        <v>1244343480</v>
      </c>
      <c r="P407" s="5">
        <f>SUMIFS(EIAwtransport!$J$2:$J$675,EIAwtransport!$E$2:$E$675,Program_data!$E407,EIAwtransport!$H$2:$H$675,Program_data!$F407,EIAwtransport!$I$2:$I$675,Program_data!P$2)</f>
        <v>104999307</v>
      </c>
      <c r="Q407" s="5">
        <f>SUMIFS(EIAwtransport!$J$2:$J$675,EIAwtransport!$E$2:$E$675,Program_data!$E407,EIAwtransport!$H$2:$H$675,Program_data!$F407,EIAwtransport!$I$2:$I$675,Program_data!Q$2)</f>
        <v>1142554</v>
      </c>
      <c r="R407" s="8">
        <f>SUMIFS(EIAwtransport!$J$2:$J$675,EIAwtransport!$E$2:$E$675,Program_data!$E407,EIAwtransport!$I$2:$I$675,Program_data!R$2)</f>
        <v>1750657898</v>
      </c>
      <c r="S407" s="5">
        <f>SUMIFS(EIAwtransport!$J$2:$J$675,EIAwtransport!$E$2:$E$675,Program_data!$E407,EIAwtransport!$I$2:$I$675,Program_data!S$2)</f>
        <v>208185403</v>
      </c>
      <c r="T407" s="5">
        <f>SUMIFS(EIAwtransport!$J$2:$J$675,EIAwtransport!$E$2:$E$675,Program_data!$E407,EIAwtransport!$I$2:$I$675,Program_data!T$2)</f>
        <v>1252816</v>
      </c>
      <c r="U407" s="24">
        <f t="shared" si="156"/>
        <v>7.1733561016668924E-4</v>
      </c>
      <c r="V407" s="24">
        <f t="shared" si="149"/>
        <v>7.9703956685187689E-4</v>
      </c>
      <c r="W407" s="24">
        <f t="shared" si="157"/>
        <v>1.7268393804715809E-3</v>
      </c>
      <c r="X407" s="25">
        <f t="shared" si="158"/>
        <v>1.401661681008932E-3</v>
      </c>
      <c r="Y407" s="8">
        <f t="shared" si="160"/>
        <v>0.72100918700272842</v>
      </c>
      <c r="Z407" s="27">
        <f t="shared" si="161"/>
        <v>0.34354598049253898</v>
      </c>
      <c r="AA407" s="27"/>
      <c r="AB407" s="27"/>
      <c r="AC407" s="56">
        <f t="shared" si="166"/>
        <v>4.765770606917645E-2</v>
      </c>
      <c r="AD407" s="20">
        <f t="shared" si="146"/>
        <v>4081191.7500000005</v>
      </c>
      <c r="AE407" s="20">
        <f t="shared" si="139"/>
        <v>2461036.5</v>
      </c>
      <c r="AF407" s="20">
        <f t="shared" si="140"/>
        <v>2363388162.3000002</v>
      </c>
      <c r="AG407">
        <f t="shared" si="141"/>
        <v>163193382</v>
      </c>
      <c r="AH407">
        <f t="shared" si="142"/>
        <v>181325980</v>
      </c>
      <c r="AI407">
        <f t="shared" si="143"/>
        <v>21959396308.440002</v>
      </c>
    </row>
    <row r="408" spans="2:35" x14ac:dyDescent="0.25">
      <c r="B408" s="4">
        <v>2024</v>
      </c>
      <c r="C408" s="4" t="s">
        <v>22</v>
      </c>
      <c r="D408" s="1" t="s">
        <v>159</v>
      </c>
      <c r="E408" s="4" t="str">
        <f t="shared" si="155"/>
        <v>Ngrid-NY</v>
      </c>
      <c r="F408" s="4" t="s">
        <v>135</v>
      </c>
      <c r="G408" s="4"/>
      <c r="H408" s="11" t="s">
        <v>347</v>
      </c>
      <c r="I408" s="4"/>
      <c r="J408" s="4" t="s">
        <v>21</v>
      </c>
      <c r="K408" s="5">
        <v>1320020</v>
      </c>
      <c r="L408" s="5">
        <f>K408/_xlfn.XLOOKUP(C408,'Utility target list'!$K$2:$K$8,'Utility target list'!$L$2:$L$8,1,0,1)</f>
        <v>1466688.8888888888</v>
      </c>
      <c r="M408" s="8">
        <v>1924806</v>
      </c>
      <c r="N408" s="8">
        <v>1910004</v>
      </c>
      <c r="O408" s="8">
        <f>SUMIFS(EIAwtransport!$J$2:$J$675,EIAwtransport!$E$2:$E$675,Program_data!$E408,EIAwtransport!$H$2:$H$675,Program_data!$F408,EIAwtransport!$I$2:$I$675,Program_data!O$2)</f>
        <v>1244343480</v>
      </c>
      <c r="P408" s="5">
        <f>SUMIFS(EIAwtransport!$J$2:$J$675,EIAwtransport!$E$2:$E$675,Program_data!$E408,EIAwtransport!$H$2:$H$675,Program_data!$F408,EIAwtransport!$I$2:$I$675,Program_data!P$2)</f>
        <v>104999307</v>
      </c>
      <c r="Q408" s="5">
        <f>SUMIFS(EIAwtransport!$J$2:$J$675,EIAwtransport!$E$2:$E$675,Program_data!$E408,EIAwtransport!$H$2:$H$675,Program_data!$F408,EIAwtransport!$I$2:$I$675,Program_data!Q$2)</f>
        <v>1142554</v>
      </c>
      <c r="R408" s="8">
        <f>SUMIFS(EIAwtransport!$J$2:$J$675,EIAwtransport!$E$2:$E$675,Program_data!$E408,EIAwtransport!$I$2:$I$675,Program_data!R$2)</f>
        <v>1750657898</v>
      </c>
      <c r="S408" s="5">
        <f>SUMIFS(EIAwtransport!$J$2:$J$675,EIAwtransport!$E$2:$E$675,Program_data!$E408,EIAwtransport!$I$2:$I$675,Program_data!S$2)</f>
        <v>208185403</v>
      </c>
      <c r="T408" s="5">
        <f>SUMIFS(EIAwtransport!$J$2:$J$675,EIAwtransport!$E$2:$E$675,Program_data!$E408,EIAwtransport!$I$2:$I$675,Program_data!T$2)</f>
        <v>1252816</v>
      </c>
      <c r="U408" s="24">
        <f t="shared" si="156"/>
        <v>6.1202685720985887E-4</v>
      </c>
      <c r="V408" s="24">
        <f t="shared" si="149"/>
        <v>6.800298413442876E-4</v>
      </c>
      <c r="W408" s="24">
        <f t="shared" si="157"/>
        <v>1.099475804038557E-3</v>
      </c>
      <c r="X408" s="25">
        <f t="shared" si="158"/>
        <v>8.9243569560967231E-4</v>
      </c>
      <c r="Y408" s="8">
        <f t="shared" si="160"/>
        <v>0.36333958780868103</v>
      </c>
      <c r="Z408" s="27">
        <f t="shared" si="161"/>
        <v>0.17860181050896903</v>
      </c>
      <c r="AA408" s="27"/>
      <c r="AB408" s="27"/>
      <c r="AC408" s="56">
        <f t="shared" si="166"/>
        <v>3.2763472657062483E-2</v>
      </c>
      <c r="AD408" s="20">
        <f t="shared" si="146"/>
        <v>2598488.1</v>
      </c>
      <c r="AE408" s="20">
        <f t="shared" si="139"/>
        <v>2578505.4000000004</v>
      </c>
      <c r="AF408" s="20">
        <f t="shared" si="140"/>
        <v>2363388162.3000002</v>
      </c>
      <c r="AG408">
        <f t="shared" si="141"/>
        <v>139235709.59999999</v>
      </c>
      <c r="AH408">
        <f t="shared" si="142"/>
        <v>154706344</v>
      </c>
      <c r="AI408">
        <f t="shared" si="143"/>
        <v>21959396308.440002</v>
      </c>
    </row>
    <row r="409" spans="2:35" x14ac:dyDescent="0.25">
      <c r="B409" s="4">
        <v>2025</v>
      </c>
      <c r="C409" s="4" t="s">
        <v>22</v>
      </c>
      <c r="D409" s="1" t="s">
        <v>159</v>
      </c>
      <c r="E409" s="4" t="str">
        <f t="shared" si="155"/>
        <v>Ngrid-NY</v>
      </c>
      <c r="F409" s="4" t="s">
        <v>135</v>
      </c>
      <c r="G409" s="4"/>
      <c r="H409" s="11" t="s">
        <v>347</v>
      </c>
      <c r="I409" s="4"/>
      <c r="J409" s="4" t="s">
        <v>142</v>
      </c>
      <c r="K409" s="5">
        <v>1044760</v>
      </c>
      <c r="L409" s="5">
        <f>K409/_xlfn.XLOOKUP(C409,'Utility target list'!$K$2:$K$8,'Utility target list'!$L$2:$L$8,1,0,1)</f>
        <v>1160844.4444444445</v>
      </c>
      <c r="M409" s="8">
        <v>1370567</v>
      </c>
      <c r="N409" s="8">
        <v>1360027</v>
      </c>
      <c r="O409" s="8">
        <f>SUMIFS(EIAwtransport!$J$2:$J$675,EIAwtransport!$E$2:$E$675,Program_data!$E409,EIAwtransport!$H$2:$H$675,Program_data!$F409,EIAwtransport!$I$2:$I$675,Program_data!O$2)</f>
        <v>1244343480</v>
      </c>
      <c r="P409" s="5">
        <f>SUMIFS(EIAwtransport!$J$2:$J$675,EIAwtransport!$E$2:$E$675,Program_data!$E409,EIAwtransport!$H$2:$H$675,Program_data!$F409,EIAwtransport!$I$2:$I$675,Program_data!P$2)</f>
        <v>104999307</v>
      </c>
      <c r="Q409" s="5">
        <f>SUMIFS(EIAwtransport!$J$2:$J$675,EIAwtransport!$E$2:$E$675,Program_data!$E409,EIAwtransport!$H$2:$H$675,Program_data!$F409,EIAwtransport!$I$2:$I$675,Program_data!Q$2)</f>
        <v>1142554</v>
      </c>
      <c r="R409" s="8">
        <f>SUMIFS(EIAwtransport!$J$2:$J$675,EIAwtransport!$E$2:$E$675,Program_data!$E409,EIAwtransport!$I$2:$I$675,Program_data!R$2)</f>
        <v>1750657898</v>
      </c>
      <c r="S409" s="5">
        <f>SUMIFS(EIAwtransport!$J$2:$J$675,EIAwtransport!$E$2:$E$675,Program_data!$E409,EIAwtransport!$I$2:$I$675,Program_data!S$2)</f>
        <v>208185403</v>
      </c>
      <c r="T409" s="5">
        <f>SUMIFS(EIAwtransport!$J$2:$J$675,EIAwtransport!$E$2:$E$675,Program_data!$E409,EIAwtransport!$I$2:$I$675,Program_data!T$2)</f>
        <v>1252816</v>
      </c>
      <c r="U409" s="24">
        <f t="shared" si="156"/>
        <v>4.8440264491338928E-4</v>
      </c>
      <c r="V409" s="24">
        <f t="shared" si="149"/>
        <v>5.3822516101487703E-4</v>
      </c>
      <c r="W409" s="24">
        <f t="shared" si="157"/>
        <v>7.8288682304279646E-4</v>
      </c>
      <c r="X409" s="25">
        <f t="shared" si="158"/>
        <v>6.3546295783817265E-4</v>
      </c>
      <c r="Y409" s="8">
        <f t="shared" si="160"/>
        <v>0.32687961496632384</v>
      </c>
      <c r="Z409" s="27">
        <f t="shared" si="161"/>
        <v>0.15575138271602132</v>
      </c>
      <c r="AA409" s="27"/>
      <c r="AB409" s="27"/>
      <c r="AC409" s="56">
        <f t="shared" si="166"/>
        <v>3.2182312634736636E-2</v>
      </c>
      <c r="AD409" s="20">
        <f t="shared" si="146"/>
        <v>1850265.4500000002</v>
      </c>
      <c r="AE409" s="20">
        <f t="shared" ref="AE409:AE474" si="167">N409*1.35</f>
        <v>1836036.4500000002</v>
      </c>
      <c r="AF409" s="20">
        <f t="shared" ref="AF409:AF474" si="168">R409*1.35</f>
        <v>2363388162.3000002</v>
      </c>
      <c r="AG409">
        <f t="shared" ref="AG409:AG439" si="169">K409*105.48</f>
        <v>110201284.8</v>
      </c>
      <c r="AH409">
        <f t="shared" ref="AH409:AH439" si="170">L409*105.48</f>
        <v>122445872.00000001</v>
      </c>
      <c r="AI409">
        <f t="shared" ref="AI409:AI439" si="171">S409*105.48</f>
        <v>21959396308.440002</v>
      </c>
    </row>
    <row r="410" spans="2:35" x14ac:dyDescent="0.25">
      <c r="B410" s="4">
        <v>2024</v>
      </c>
      <c r="C410" s="4" t="s">
        <v>22</v>
      </c>
      <c r="D410" s="1" t="s">
        <v>159</v>
      </c>
      <c r="E410" s="4" t="str">
        <f t="shared" si="155"/>
        <v>Ngrid-NY</v>
      </c>
      <c r="F410" s="4" t="s">
        <v>135</v>
      </c>
      <c r="G410" s="4"/>
      <c r="H410" s="11" t="s">
        <v>348</v>
      </c>
      <c r="I410" s="4"/>
      <c r="J410" s="4" t="s">
        <v>21</v>
      </c>
      <c r="K410" s="5">
        <v>316400</v>
      </c>
      <c r="L410" s="5">
        <f>K410/_xlfn.XLOOKUP(C410,'Utility target list'!$K$2:$K$8,'Utility target list'!$L$2:$L$8,1,0,1)</f>
        <v>351555.55555555556</v>
      </c>
      <c r="M410" s="8">
        <v>667482</v>
      </c>
      <c r="N410" s="8">
        <v>341088</v>
      </c>
      <c r="O410" s="8">
        <f>SUMIFS(EIAwtransport!$J$2:$J$675,EIAwtransport!$E$2:$E$675,Program_data!$E410,EIAwtransport!$H$2:$H$675,Program_data!$F410,EIAwtransport!$I$2:$I$675,Program_data!O$2)</f>
        <v>1244343480</v>
      </c>
      <c r="P410" s="5">
        <f>SUMIFS(EIAwtransport!$J$2:$J$675,EIAwtransport!$E$2:$E$675,Program_data!$E410,EIAwtransport!$H$2:$H$675,Program_data!$F410,EIAwtransport!$I$2:$I$675,Program_data!P$2)</f>
        <v>104999307</v>
      </c>
      <c r="Q410" s="5">
        <f>SUMIFS(EIAwtransport!$J$2:$J$675,EIAwtransport!$E$2:$E$675,Program_data!$E410,EIAwtransport!$H$2:$H$675,Program_data!$F410,EIAwtransport!$I$2:$I$675,Program_data!Q$2)</f>
        <v>1142554</v>
      </c>
      <c r="R410" s="8">
        <f>SUMIFS(EIAwtransport!$J$2:$J$675,EIAwtransport!$E$2:$E$675,Program_data!$E410,EIAwtransport!$I$2:$I$675,Program_data!R$2)</f>
        <v>1750657898</v>
      </c>
      <c r="S410" s="5">
        <f>SUMIFS(EIAwtransport!$J$2:$J$675,EIAwtransport!$E$2:$E$675,Program_data!$E410,EIAwtransport!$I$2:$I$675,Program_data!S$2)</f>
        <v>208185403</v>
      </c>
      <c r="T410" s="5">
        <f>SUMIFS(EIAwtransport!$J$2:$J$675,EIAwtransport!$E$2:$E$675,Program_data!$E410,EIAwtransport!$I$2:$I$675,Program_data!T$2)</f>
        <v>1252816</v>
      </c>
      <c r="U410" s="24">
        <f t="shared" si="156"/>
        <v>1.4669876033787319E-4</v>
      </c>
      <c r="V410" s="24">
        <f t="shared" si="149"/>
        <v>1.6299862259763686E-4</v>
      </c>
      <c r="W410" s="24">
        <f t="shared" si="157"/>
        <v>3.8127494855651119E-4</v>
      </c>
      <c r="X410" s="25">
        <f t="shared" si="158"/>
        <v>3.0947781905134092E-4</v>
      </c>
      <c r="Y410" s="8">
        <f t="shared" si="160"/>
        <v>0.12599848231443272</v>
      </c>
      <c r="Z410" s="27">
        <f t="shared" si="161"/>
        <v>6.1935329421327484E-2</v>
      </c>
      <c r="AA410" s="27"/>
      <c r="AB410" s="27"/>
      <c r="AC410" s="56">
        <f t="shared" si="166"/>
        <v>7.8531861249788414E-3</v>
      </c>
      <c r="AD410" s="20">
        <f t="shared" si="146"/>
        <v>901100.70000000007</v>
      </c>
      <c r="AE410" s="20">
        <f t="shared" si="167"/>
        <v>460468.80000000005</v>
      </c>
      <c r="AF410" s="20">
        <f t="shared" si="168"/>
        <v>2363388162.3000002</v>
      </c>
      <c r="AG410">
        <f t="shared" si="169"/>
        <v>33373872</v>
      </c>
      <c r="AH410">
        <f t="shared" si="170"/>
        <v>37082080</v>
      </c>
      <c r="AI410">
        <f t="shared" si="171"/>
        <v>21959396308.440002</v>
      </c>
    </row>
    <row r="411" spans="2:35" x14ac:dyDescent="0.25">
      <c r="B411" s="4">
        <v>2025</v>
      </c>
      <c r="C411" s="4" t="s">
        <v>22</v>
      </c>
      <c r="D411" s="1" t="s">
        <v>159</v>
      </c>
      <c r="E411" s="4" t="str">
        <f t="shared" si="155"/>
        <v>Ngrid-NY</v>
      </c>
      <c r="F411" s="4" t="s">
        <v>135</v>
      </c>
      <c r="G411" s="4"/>
      <c r="H411" s="11" t="s">
        <v>348</v>
      </c>
      <c r="I411" s="4"/>
      <c r="J411" s="4" t="s">
        <v>142</v>
      </c>
      <c r="K411" s="5">
        <v>250419.99999999997</v>
      </c>
      <c r="L411" s="5">
        <f>K411/_xlfn.XLOOKUP(C411,'Utility target list'!$K$2:$K$8,'Utility target list'!$L$2:$L$8,1,0,1)</f>
        <v>278244.44444444438</v>
      </c>
      <c r="M411" s="8">
        <v>475284</v>
      </c>
      <c r="N411" s="8">
        <v>242873</v>
      </c>
      <c r="O411" s="8">
        <f>SUMIFS(EIAwtransport!$J$2:$J$675,EIAwtransport!$E$2:$E$675,Program_data!$E411,EIAwtransport!$H$2:$H$675,Program_data!$F411,EIAwtransport!$I$2:$I$675,Program_data!O$2)</f>
        <v>1244343480</v>
      </c>
      <c r="P411" s="5">
        <f>SUMIFS(EIAwtransport!$J$2:$J$675,EIAwtransport!$E$2:$E$675,Program_data!$E411,EIAwtransport!$H$2:$H$675,Program_data!$F411,EIAwtransport!$I$2:$I$675,Program_data!P$2)</f>
        <v>104999307</v>
      </c>
      <c r="Q411" s="5">
        <f>SUMIFS(EIAwtransport!$J$2:$J$675,EIAwtransport!$E$2:$E$675,Program_data!$E411,EIAwtransport!$H$2:$H$675,Program_data!$F411,EIAwtransport!$I$2:$I$675,Program_data!Q$2)</f>
        <v>1142554</v>
      </c>
      <c r="R411" s="8">
        <f>SUMIFS(EIAwtransport!$J$2:$J$675,EIAwtransport!$E$2:$E$675,Program_data!$E411,EIAwtransport!$I$2:$I$675,Program_data!R$2)</f>
        <v>1750657898</v>
      </c>
      <c r="S411" s="5">
        <f>SUMIFS(EIAwtransport!$J$2:$J$675,EIAwtransport!$E$2:$E$675,Program_data!$E411,EIAwtransport!$I$2:$I$675,Program_data!S$2)</f>
        <v>208185403</v>
      </c>
      <c r="T411" s="5">
        <f>SUMIFS(EIAwtransport!$J$2:$J$675,EIAwtransport!$E$2:$E$675,Program_data!$E411,EIAwtransport!$I$2:$I$675,Program_data!T$2)</f>
        <v>1252816</v>
      </c>
      <c r="U411" s="24">
        <f t="shared" si="156"/>
        <v>1.1610715412076547E-4</v>
      </c>
      <c r="V411" s="24">
        <f t="shared" si="149"/>
        <v>1.2900794902307274E-4</v>
      </c>
      <c r="W411" s="24">
        <f t="shared" si="157"/>
        <v>2.7148879318053949E-4</v>
      </c>
      <c r="X411" s="25">
        <f t="shared" si="158"/>
        <v>2.2036527689135813E-4</v>
      </c>
      <c r="Y411" s="8">
        <f t="shared" si="160"/>
        <v>0.11335502089256072</v>
      </c>
      <c r="Z411" s="27">
        <f t="shared" si="161"/>
        <v>5.4011325373222528E-2</v>
      </c>
      <c r="AA411" s="27"/>
      <c r="AB411" s="27"/>
      <c r="AC411" s="56">
        <f t="shared" si="166"/>
        <v>7.7138239691323818E-3</v>
      </c>
      <c r="AD411" s="20">
        <f t="shared" si="146"/>
        <v>641633.4</v>
      </c>
      <c r="AE411" s="20">
        <f t="shared" si="167"/>
        <v>327878.55000000005</v>
      </c>
      <c r="AF411" s="20">
        <f t="shared" si="168"/>
        <v>2363388162.3000002</v>
      </c>
      <c r="AG411">
        <f t="shared" si="169"/>
        <v>26414301.599999998</v>
      </c>
      <c r="AH411">
        <f t="shared" si="170"/>
        <v>29349223.999999993</v>
      </c>
      <c r="AI411">
        <f t="shared" si="171"/>
        <v>21959396308.440002</v>
      </c>
    </row>
    <row r="412" spans="2:35" x14ac:dyDescent="0.25">
      <c r="B412" s="4">
        <v>2024</v>
      </c>
      <c r="C412" s="4" t="s">
        <v>22</v>
      </c>
      <c r="D412" s="1" t="s">
        <v>159</v>
      </c>
      <c r="E412" s="4" t="str">
        <f t="shared" si="155"/>
        <v>Ngrid-NY</v>
      </c>
      <c r="F412" s="4" t="s">
        <v>135</v>
      </c>
      <c r="G412" s="4"/>
      <c r="H412" s="11" t="s">
        <v>349</v>
      </c>
      <c r="I412" s="4"/>
      <c r="J412" s="4" t="s">
        <v>21</v>
      </c>
      <c r="K412" s="5">
        <v>1186490</v>
      </c>
      <c r="L412" s="5">
        <f>K412/_xlfn.XLOOKUP(C412,'Utility target list'!$K$2:$K$8,'Utility target list'!$L$2:$L$8,1,0,1)</f>
        <v>1318322.2222222222</v>
      </c>
      <c r="M412" s="8">
        <v>5089205</v>
      </c>
      <c r="N412" s="8">
        <v>3820008</v>
      </c>
      <c r="O412" s="8">
        <f>SUMIFS(EIAwtransport!$J$2:$J$675,EIAwtransport!$E$2:$E$675,Program_data!$E412,EIAwtransport!$H$2:$H$675,Program_data!$F412,EIAwtransport!$I$2:$I$675,Program_data!O$2)</f>
        <v>1244343480</v>
      </c>
      <c r="P412" s="5">
        <f>SUMIFS(EIAwtransport!$J$2:$J$675,EIAwtransport!$E$2:$E$675,Program_data!$E412,EIAwtransport!$H$2:$H$675,Program_data!$F412,EIAwtransport!$I$2:$I$675,Program_data!P$2)</f>
        <v>104999307</v>
      </c>
      <c r="Q412" s="5">
        <f>SUMIFS(EIAwtransport!$J$2:$J$675,EIAwtransport!$E$2:$E$675,Program_data!$E412,EIAwtransport!$H$2:$H$675,Program_data!$F412,EIAwtransport!$I$2:$I$675,Program_data!Q$2)</f>
        <v>1142554</v>
      </c>
      <c r="R412" s="8">
        <f>SUMIFS(EIAwtransport!$J$2:$J$675,EIAwtransport!$E$2:$E$675,Program_data!$E412,EIAwtransport!$I$2:$I$675,Program_data!R$2)</f>
        <v>1750657898</v>
      </c>
      <c r="S412" s="5">
        <f>SUMIFS(EIAwtransport!$J$2:$J$675,EIAwtransport!$E$2:$E$675,Program_data!$E412,EIAwtransport!$I$2:$I$675,Program_data!S$2)</f>
        <v>208185403</v>
      </c>
      <c r="T412" s="5">
        <f>SUMIFS(EIAwtransport!$J$2:$J$675,EIAwtransport!$E$2:$E$675,Program_data!$E412,EIAwtransport!$I$2:$I$675,Program_data!T$2)</f>
        <v>1252816</v>
      </c>
      <c r="U412" s="24">
        <f t="shared" si="156"/>
        <v>5.5011571477017426E-4</v>
      </c>
      <c r="V412" s="24">
        <f t="shared" si="149"/>
        <v>6.1123968307797143E-4</v>
      </c>
      <c r="W412" s="24">
        <f t="shared" si="157"/>
        <v>2.9070242711691694E-3</v>
      </c>
      <c r="X412" s="25">
        <f t="shared" si="158"/>
        <v>2.3596082952127236E-3</v>
      </c>
      <c r="Y412" s="8">
        <f t="shared" si="160"/>
        <v>0.96067325588858221</v>
      </c>
      <c r="Z412" s="27">
        <f t="shared" si="161"/>
        <v>0.47222485125841135</v>
      </c>
      <c r="AA412" s="27"/>
      <c r="AB412" s="27"/>
      <c r="AC412" s="56">
        <f t="shared" si="166"/>
        <v>2.9449199764305135E-2</v>
      </c>
      <c r="AD412" s="20">
        <f t="shared" si="146"/>
        <v>6870426.75</v>
      </c>
      <c r="AE412" s="20">
        <f t="shared" si="167"/>
        <v>5157010.8000000007</v>
      </c>
      <c r="AF412" s="20">
        <f t="shared" si="168"/>
        <v>2363388162.3000002</v>
      </c>
      <c r="AG412">
        <f t="shared" si="169"/>
        <v>125150965.2</v>
      </c>
      <c r="AH412">
        <f t="shared" si="170"/>
        <v>139056628</v>
      </c>
      <c r="AI412">
        <f t="shared" si="171"/>
        <v>21959396308.440002</v>
      </c>
    </row>
    <row r="413" spans="2:35" x14ac:dyDescent="0.25">
      <c r="B413" s="4">
        <v>2025</v>
      </c>
      <c r="C413" s="4" t="s">
        <v>22</v>
      </c>
      <c r="D413" s="1" t="s">
        <v>159</v>
      </c>
      <c r="E413" s="4" t="str">
        <f t="shared" si="155"/>
        <v>Ngrid-NY</v>
      </c>
      <c r="F413" s="4" t="s">
        <v>135</v>
      </c>
      <c r="G413" s="4"/>
      <c r="H413" s="11" t="s">
        <v>349</v>
      </c>
      <c r="I413" s="4"/>
      <c r="J413" s="4" t="s">
        <v>142</v>
      </c>
      <c r="K413" s="5">
        <v>939079.99999999988</v>
      </c>
      <c r="L413" s="5">
        <f>K413/_xlfn.XLOOKUP(C413,'Utility target list'!$K$2:$K$8,'Utility target list'!$L$2:$L$8,1,0,1)</f>
        <v>1043422.222222222</v>
      </c>
      <c r="M413" s="8">
        <v>3623793</v>
      </c>
      <c r="N413" s="8">
        <v>2720054</v>
      </c>
      <c r="O413" s="8">
        <f>SUMIFS(EIAwtransport!$J$2:$J$675,EIAwtransport!$E$2:$E$675,Program_data!$E413,EIAwtransport!$H$2:$H$675,Program_data!$F413,EIAwtransport!$I$2:$I$675,Program_data!O$2)</f>
        <v>1244343480</v>
      </c>
      <c r="P413" s="5">
        <f>SUMIFS(EIAwtransport!$J$2:$J$675,EIAwtransport!$E$2:$E$675,Program_data!$E413,EIAwtransport!$H$2:$H$675,Program_data!$F413,EIAwtransport!$I$2:$I$675,Program_data!P$2)</f>
        <v>104999307</v>
      </c>
      <c r="Q413" s="5">
        <f>SUMIFS(EIAwtransport!$J$2:$J$675,EIAwtransport!$E$2:$E$675,Program_data!$E413,EIAwtransport!$H$2:$H$675,Program_data!$F413,EIAwtransport!$I$2:$I$675,Program_data!Q$2)</f>
        <v>1142554</v>
      </c>
      <c r="R413" s="8">
        <f>SUMIFS(EIAwtransport!$J$2:$J$675,EIAwtransport!$E$2:$E$675,Program_data!$E413,EIAwtransport!$I$2:$I$675,Program_data!R$2)</f>
        <v>1750657898</v>
      </c>
      <c r="S413" s="5">
        <f>SUMIFS(EIAwtransport!$J$2:$J$675,EIAwtransport!$E$2:$E$675,Program_data!$E413,EIAwtransport!$I$2:$I$675,Program_data!S$2)</f>
        <v>208185403</v>
      </c>
      <c r="T413" s="5">
        <f>SUMIFS(EIAwtransport!$J$2:$J$675,EIAwtransport!$E$2:$E$675,Program_data!$E413,EIAwtransport!$I$2:$I$675,Program_data!T$2)</f>
        <v>1252816</v>
      </c>
      <c r="U413" s="24">
        <f t="shared" si="156"/>
        <v>4.3540414620129556E-4</v>
      </c>
      <c r="V413" s="24">
        <f t="shared" ref="V413:V477" si="172">IFERROR(L413/10.36/S413,"")</f>
        <v>4.8378238466810611E-4</v>
      </c>
      <c r="W413" s="24">
        <f t="shared" si="157"/>
        <v>2.0699606725791036E-3</v>
      </c>
      <c r="X413" s="25">
        <f t="shared" si="158"/>
        <v>1.6801704829995652E-3</v>
      </c>
      <c r="Y413" s="8">
        <f t="shared" si="160"/>
        <v>0.86427300566674936</v>
      </c>
      <c r="Z413" s="27">
        <f t="shared" si="161"/>
        <v>0.41180823004394462</v>
      </c>
      <c r="AA413" s="27"/>
      <c r="AB413" s="27"/>
      <c r="AC413" s="56">
        <f t="shared" si="166"/>
        <v>2.892699390197603E-2</v>
      </c>
      <c r="AD413" s="20">
        <f t="shared" si="146"/>
        <v>4892120.5500000007</v>
      </c>
      <c r="AE413" s="20">
        <f t="shared" si="167"/>
        <v>3672072.9000000004</v>
      </c>
      <c r="AF413" s="20">
        <f t="shared" si="168"/>
        <v>2363388162.3000002</v>
      </c>
      <c r="AG413">
        <f t="shared" si="169"/>
        <v>99054158.399999991</v>
      </c>
      <c r="AH413">
        <f t="shared" si="170"/>
        <v>110060175.99999999</v>
      </c>
      <c r="AI413">
        <f t="shared" si="171"/>
        <v>21959396308.440002</v>
      </c>
    </row>
    <row r="414" spans="2:35" x14ac:dyDescent="0.25">
      <c r="B414" s="4">
        <v>2024</v>
      </c>
      <c r="C414" s="4" t="s">
        <v>22</v>
      </c>
      <c r="D414" s="1" t="s">
        <v>159</v>
      </c>
      <c r="E414" s="4" t="str">
        <f t="shared" si="155"/>
        <v>Ngrid-NY</v>
      </c>
      <c r="F414" s="4" t="s">
        <v>135</v>
      </c>
      <c r="G414" s="4"/>
      <c r="H414" s="11" t="s">
        <v>350</v>
      </c>
      <c r="I414" s="4"/>
      <c r="J414" s="4" t="s">
        <v>155</v>
      </c>
      <c r="K414" s="5">
        <v>0</v>
      </c>
      <c r="L414" s="38"/>
      <c r="M414" s="8">
        <v>0</v>
      </c>
      <c r="N414" s="8">
        <v>0</v>
      </c>
      <c r="O414" s="8">
        <f>SUMIFS(EIAwtransport!$J$2:$J$675,EIAwtransport!$E$2:$E$675,Program_data!$E414,EIAwtransport!$H$2:$H$675,Program_data!$F414,EIAwtransport!$I$2:$I$675,Program_data!O$2)</f>
        <v>1244343480</v>
      </c>
      <c r="P414" s="5">
        <f>SUMIFS(EIAwtransport!$J$2:$J$675,EIAwtransport!$E$2:$E$675,Program_data!$E414,EIAwtransport!$H$2:$H$675,Program_data!$F414,EIAwtransport!$I$2:$I$675,Program_data!P$2)</f>
        <v>104999307</v>
      </c>
      <c r="Q414" s="5">
        <f>SUMIFS(EIAwtransport!$J$2:$J$675,EIAwtransport!$E$2:$E$675,Program_data!$E414,EIAwtransport!$H$2:$H$675,Program_data!$F414,EIAwtransport!$I$2:$I$675,Program_data!Q$2)</f>
        <v>1142554</v>
      </c>
      <c r="R414" s="8">
        <f>SUMIFS(EIAwtransport!$J$2:$J$675,EIAwtransport!$E$2:$E$675,Program_data!$E414,EIAwtransport!$I$2:$I$675,Program_data!R$2)</f>
        <v>1750657898</v>
      </c>
      <c r="S414" s="5">
        <f>SUMIFS(EIAwtransport!$J$2:$J$675,EIAwtransport!$E$2:$E$675,Program_data!$E414,EIAwtransport!$I$2:$I$675,Program_data!S$2)</f>
        <v>208185403</v>
      </c>
      <c r="T414" s="5">
        <f>SUMIFS(EIAwtransport!$J$2:$J$675,EIAwtransport!$E$2:$E$675,Program_data!$E414,EIAwtransport!$I$2:$I$675,Program_data!T$2)</f>
        <v>1252816</v>
      </c>
      <c r="U414" s="24">
        <f t="shared" si="156"/>
        <v>0</v>
      </c>
      <c r="V414" s="24">
        <f t="shared" si="172"/>
        <v>0</v>
      </c>
      <c r="W414" s="24">
        <f t="shared" si="157"/>
        <v>0</v>
      </c>
      <c r="X414" s="25">
        <f t="shared" si="158"/>
        <v>0</v>
      </c>
      <c r="Y414" s="8">
        <f t="shared" si="160"/>
        <v>0</v>
      </c>
      <c r="Z414" s="27">
        <f t="shared" si="161"/>
        <v>0</v>
      </c>
      <c r="AA414" s="27"/>
      <c r="AB414" s="27"/>
      <c r="AC414" s="56">
        <f t="shared" si="166"/>
        <v>0</v>
      </c>
      <c r="AD414" s="20">
        <f t="shared" si="146"/>
        <v>0</v>
      </c>
      <c r="AE414" s="20">
        <f t="shared" si="167"/>
        <v>0</v>
      </c>
      <c r="AF414" s="20">
        <f t="shared" si="168"/>
        <v>2363388162.3000002</v>
      </c>
      <c r="AG414">
        <f t="shared" si="169"/>
        <v>0</v>
      </c>
      <c r="AH414">
        <f t="shared" si="170"/>
        <v>0</v>
      </c>
      <c r="AI414">
        <f t="shared" si="171"/>
        <v>21959396308.440002</v>
      </c>
    </row>
    <row r="415" spans="2:35" x14ac:dyDescent="0.25">
      <c r="B415" s="4">
        <v>2025</v>
      </c>
      <c r="C415" s="4" t="s">
        <v>22</v>
      </c>
      <c r="D415" s="1" t="s">
        <v>159</v>
      </c>
      <c r="E415" s="4" t="str">
        <f t="shared" si="155"/>
        <v>Ngrid-NY</v>
      </c>
      <c r="F415" s="4" t="s">
        <v>135</v>
      </c>
      <c r="G415" s="4"/>
      <c r="H415" s="11" t="s">
        <v>350</v>
      </c>
      <c r="I415" s="4"/>
      <c r="J415" s="4" t="s">
        <v>155</v>
      </c>
      <c r="K415" s="5">
        <v>0</v>
      </c>
      <c r="L415" s="38"/>
      <c r="M415" s="8">
        <v>0</v>
      </c>
      <c r="N415" s="8">
        <v>0</v>
      </c>
      <c r="O415" s="8">
        <f>SUMIFS(EIAwtransport!$J$2:$J$675,EIAwtransport!$E$2:$E$675,Program_data!$E415,EIAwtransport!$H$2:$H$675,Program_data!$F415,EIAwtransport!$I$2:$I$675,Program_data!O$2)</f>
        <v>1244343480</v>
      </c>
      <c r="P415" s="5">
        <f>SUMIFS(EIAwtransport!$J$2:$J$675,EIAwtransport!$E$2:$E$675,Program_data!$E415,EIAwtransport!$H$2:$H$675,Program_data!$F415,EIAwtransport!$I$2:$I$675,Program_data!P$2)</f>
        <v>104999307</v>
      </c>
      <c r="Q415" s="5">
        <f>SUMIFS(EIAwtransport!$J$2:$J$675,EIAwtransport!$E$2:$E$675,Program_data!$E415,EIAwtransport!$H$2:$H$675,Program_data!$F415,EIAwtransport!$I$2:$I$675,Program_data!Q$2)</f>
        <v>1142554</v>
      </c>
      <c r="R415" s="8">
        <f>SUMIFS(EIAwtransport!$J$2:$J$675,EIAwtransport!$E$2:$E$675,Program_data!$E415,EIAwtransport!$I$2:$I$675,Program_data!R$2)</f>
        <v>1750657898</v>
      </c>
      <c r="S415" s="5">
        <f>SUMIFS(EIAwtransport!$J$2:$J$675,EIAwtransport!$E$2:$E$675,Program_data!$E415,EIAwtransport!$I$2:$I$675,Program_data!S$2)</f>
        <v>208185403</v>
      </c>
      <c r="T415" s="5">
        <f>SUMIFS(EIAwtransport!$J$2:$J$675,EIAwtransport!$E$2:$E$675,Program_data!$E415,EIAwtransport!$I$2:$I$675,Program_data!T$2)</f>
        <v>1252816</v>
      </c>
      <c r="U415" s="24">
        <f t="shared" si="156"/>
        <v>0</v>
      </c>
      <c r="V415" s="24">
        <f t="shared" si="172"/>
        <v>0</v>
      </c>
      <c r="W415" s="24">
        <f t="shared" si="157"/>
        <v>0</v>
      </c>
      <c r="X415" s="25">
        <f t="shared" si="158"/>
        <v>0</v>
      </c>
      <c r="Y415" s="8">
        <f t="shared" si="160"/>
        <v>0</v>
      </c>
      <c r="Z415" s="27">
        <f t="shared" si="161"/>
        <v>0</v>
      </c>
      <c r="AA415" s="27"/>
      <c r="AB415" s="27"/>
      <c r="AC415" s="56">
        <f t="shared" si="166"/>
        <v>0</v>
      </c>
      <c r="AD415" s="20">
        <f t="shared" si="146"/>
        <v>0</v>
      </c>
      <c r="AE415" s="20">
        <f t="shared" si="167"/>
        <v>0</v>
      </c>
      <c r="AF415" s="20">
        <f t="shared" si="168"/>
        <v>2363388162.3000002</v>
      </c>
      <c r="AG415">
        <f t="shared" si="169"/>
        <v>0</v>
      </c>
      <c r="AH415">
        <f t="shared" si="170"/>
        <v>0</v>
      </c>
      <c r="AI415">
        <f t="shared" si="171"/>
        <v>21959396308.440002</v>
      </c>
    </row>
    <row r="416" spans="2:35" x14ac:dyDescent="0.25">
      <c r="B416" s="4">
        <v>2024</v>
      </c>
      <c r="C416" s="4" t="s">
        <v>22</v>
      </c>
      <c r="D416" s="1" t="s">
        <v>159</v>
      </c>
      <c r="E416" s="4" t="str">
        <f t="shared" si="155"/>
        <v>Ngrid-NY</v>
      </c>
      <c r="F416" s="4" t="s">
        <v>135</v>
      </c>
      <c r="G416" s="4"/>
      <c r="H416" s="11" t="s">
        <v>351</v>
      </c>
      <c r="I416" s="4"/>
      <c r="J416" s="4" t="s">
        <v>27</v>
      </c>
      <c r="K416" s="22">
        <v>519870</v>
      </c>
      <c r="L416" s="5">
        <f>K416/_xlfn.XLOOKUP(C416,'Utility target list'!$K$2:$K$8,'Utility target list'!$L$2:$L$8,1,0,1)</f>
        <v>577633.33333333337</v>
      </c>
      <c r="M416" s="50">
        <v>10530951</v>
      </c>
      <c r="N416" s="8">
        <v>7982692</v>
      </c>
      <c r="O416" s="8">
        <f>SUMIFS(EIAwtransport!$J$2:$J$675,EIAwtransport!$E$2:$E$675,Program_data!$E416,EIAwtransport!$H$2:$H$675,Program_data!$F416,EIAwtransport!$I$2:$I$675,Program_data!O$2)</f>
        <v>1244343480</v>
      </c>
      <c r="P416" s="5">
        <f>SUMIFS(EIAwtransport!$J$2:$J$675,EIAwtransport!$E$2:$E$675,Program_data!$E416,EIAwtransport!$H$2:$H$675,Program_data!$F416,EIAwtransport!$I$2:$I$675,Program_data!P$2)</f>
        <v>104999307</v>
      </c>
      <c r="Q416" s="5">
        <f>SUMIFS(EIAwtransport!$J$2:$J$675,EIAwtransport!$E$2:$E$675,Program_data!$E416,EIAwtransport!$H$2:$H$675,Program_data!$F416,EIAwtransport!$I$2:$I$675,Program_data!Q$2)</f>
        <v>1142554</v>
      </c>
      <c r="R416" s="8">
        <f>SUMIFS(EIAwtransport!$J$2:$J$675,EIAwtransport!$E$2:$E$675,Program_data!$E416,EIAwtransport!$I$2:$I$675,Program_data!R$2)</f>
        <v>1750657898</v>
      </c>
      <c r="S416" s="5">
        <f>SUMIFS(EIAwtransport!$J$2:$J$675,EIAwtransport!$E$2:$E$675,Program_data!$E416,EIAwtransport!$I$2:$I$675,Program_data!S$2)</f>
        <v>208185403</v>
      </c>
      <c r="T416" s="5">
        <f>SUMIFS(EIAwtransport!$J$2:$J$675,EIAwtransport!$E$2:$E$675,Program_data!$E416,EIAwtransport!$I$2:$I$675,Program_data!T$2)</f>
        <v>1252816</v>
      </c>
      <c r="U416" s="24">
        <f t="shared" si="156"/>
        <v>2.4103756174731391E-4</v>
      </c>
      <c r="V416" s="24">
        <f t="shared" si="172"/>
        <v>2.6781951305257105E-4</v>
      </c>
      <c r="W416" s="24">
        <f t="shared" si="157"/>
        <v>6.0154248365890612E-3</v>
      </c>
      <c r="X416" s="25">
        <f t="shared" si="158"/>
        <v>4.8826721140293478E-3</v>
      </c>
      <c r="Y416" s="8">
        <f t="shared" si="160"/>
        <v>1.9878945699324593</v>
      </c>
      <c r="Z416" s="27">
        <f t="shared" si="161"/>
        <v>0.97716181006357938</v>
      </c>
      <c r="AA416" s="27"/>
      <c r="AB416" s="27"/>
      <c r="AC416" s="56">
        <f t="shared" si="166"/>
        <v>1.2903400350166719E-2</v>
      </c>
      <c r="AD416" s="20">
        <f t="shared" si="146"/>
        <v>14216783.850000001</v>
      </c>
      <c r="AE416" s="20">
        <f t="shared" si="167"/>
        <v>10776634.200000001</v>
      </c>
      <c r="AF416" s="20">
        <f t="shared" si="168"/>
        <v>2363388162.3000002</v>
      </c>
      <c r="AG416">
        <f t="shared" si="169"/>
        <v>54835887.600000001</v>
      </c>
      <c r="AH416">
        <f t="shared" si="170"/>
        <v>60928764.000000007</v>
      </c>
      <c r="AI416">
        <f t="shared" si="171"/>
        <v>21959396308.440002</v>
      </c>
    </row>
    <row r="417" spans="2:35" x14ac:dyDescent="0.25">
      <c r="B417" s="4">
        <v>2025</v>
      </c>
      <c r="C417" s="4" t="s">
        <v>22</v>
      </c>
      <c r="D417" s="1" t="s">
        <v>159</v>
      </c>
      <c r="E417" s="4" t="str">
        <f t="shared" si="155"/>
        <v>Ngrid-NY</v>
      </c>
      <c r="F417" s="4" t="s">
        <v>135</v>
      </c>
      <c r="G417" s="4"/>
      <c r="H417" s="11" t="s">
        <v>351</v>
      </c>
      <c r="I417" s="4"/>
      <c r="J417" s="4" t="s">
        <v>27</v>
      </c>
      <c r="K417" s="22">
        <v>411470</v>
      </c>
      <c r="L417" s="5">
        <f>K417/_xlfn.XLOOKUP(C417,'Utility target list'!$K$2:$K$8,'Utility target list'!$L$2:$L$8,1,0,1)</f>
        <v>457188.88888888888</v>
      </c>
      <c r="M417" s="50">
        <v>7498613</v>
      </c>
      <c r="N417" s="8">
        <v>5684113</v>
      </c>
      <c r="O417" s="8">
        <f>SUMIFS(EIAwtransport!$J$2:$J$675,EIAwtransport!$E$2:$E$675,Program_data!$E417,EIAwtransport!$H$2:$H$675,Program_data!$F417,EIAwtransport!$I$2:$I$675,Program_data!O$2)</f>
        <v>1244343480</v>
      </c>
      <c r="P417" s="5">
        <f>SUMIFS(EIAwtransport!$J$2:$J$675,EIAwtransport!$E$2:$E$675,Program_data!$E417,EIAwtransport!$H$2:$H$675,Program_data!$F417,EIAwtransport!$I$2:$I$675,Program_data!P$2)</f>
        <v>104999307</v>
      </c>
      <c r="Q417" s="5">
        <f>SUMIFS(EIAwtransport!$J$2:$J$675,EIAwtransport!$E$2:$E$675,Program_data!$E417,EIAwtransport!$H$2:$H$675,Program_data!$F417,EIAwtransport!$I$2:$I$675,Program_data!Q$2)</f>
        <v>1142554</v>
      </c>
      <c r="R417" s="8">
        <f>SUMIFS(EIAwtransport!$J$2:$J$675,EIAwtransport!$E$2:$E$675,Program_data!$E417,EIAwtransport!$I$2:$I$675,Program_data!R$2)</f>
        <v>1750657898</v>
      </c>
      <c r="S417" s="5">
        <f>SUMIFS(EIAwtransport!$J$2:$J$675,EIAwtransport!$E$2:$E$675,Program_data!$E417,EIAwtransport!$I$2:$I$675,Program_data!S$2)</f>
        <v>208185403</v>
      </c>
      <c r="T417" s="5">
        <f>SUMIFS(EIAwtransport!$J$2:$J$675,EIAwtransport!$E$2:$E$675,Program_data!$E417,EIAwtransport!$I$2:$I$675,Program_data!T$2)</f>
        <v>1252816</v>
      </c>
      <c r="U417" s="24">
        <f t="shared" si="156"/>
        <v>1.9077793589198698E-4</v>
      </c>
      <c r="V417" s="24">
        <f t="shared" si="172"/>
        <v>2.1197548432442997E-4</v>
      </c>
      <c r="W417" s="24">
        <f t="shared" si="157"/>
        <v>4.2833114388405773E-3</v>
      </c>
      <c r="X417" s="25">
        <f t="shared" si="158"/>
        <v>3.4767295554786982E-3</v>
      </c>
      <c r="Y417" s="8">
        <f t="shared" si="160"/>
        <v>1.788415838278224</v>
      </c>
      <c r="Z417" s="27">
        <f t="shared" si="161"/>
        <v>0.85214319562803775</v>
      </c>
      <c r="AA417" s="27"/>
      <c r="AB417" s="27"/>
      <c r="AC417" s="56">
        <f t="shared" si="166"/>
        <v>1.267473503944933E-2</v>
      </c>
      <c r="AD417" s="20">
        <f t="shared" si="146"/>
        <v>10123127.550000001</v>
      </c>
      <c r="AE417" s="20">
        <f t="shared" si="167"/>
        <v>7673552.5500000007</v>
      </c>
      <c r="AF417" s="20">
        <f t="shared" si="168"/>
        <v>2363388162.3000002</v>
      </c>
      <c r="AG417">
        <f t="shared" si="169"/>
        <v>43401855.600000001</v>
      </c>
      <c r="AH417">
        <f t="shared" si="170"/>
        <v>48224284</v>
      </c>
      <c r="AI417">
        <f t="shared" si="171"/>
        <v>21959396308.440002</v>
      </c>
    </row>
    <row r="418" spans="2:35" x14ac:dyDescent="0.25">
      <c r="B418" s="4">
        <v>2024</v>
      </c>
      <c r="C418" s="4" t="s">
        <v>22</v>
      </c>
      <c r="D418" s="1" t="s">
        <v>34</v>
      </c>
      <c r="E418" s="4" t="str">
        <f t="shared" si="155"/>
        <v>ConEd-NY</v>
      </c>
      <c r="F418" s="4" t="s">
        <v>146</v>
      </c>
      <c r="G418" s="4"/>
      <c r="H418" s="11" t="s">
        <v>352</v>
      </c>
      <c r="I418" s="4"/>
      <c r="J418" s="4" t="s">
        <v>21</v>
      </c>
      <c r="K418" s="5">
        <v>4747490</v>
      </c>
      <c r="L418" s="5">
        <f>K418/_xlfn.XLOOKUP(C418,'Utility target list'!$K$2:$K$8,'Utility target list'!$L$2:$L$8,1,0,1)</f>
        <v>5274988.888888889</v>
      </c>
      <c r="M418" s="8">
        <v>14089897</v>
      </c>
      <c r="N418" s="8">
        <v>13823166</v>
      </c>
      <c r="O418" s="8">
        <f>SUMIFS(EIAwtransport!$J$2:$J$675,EIAwtransport!$E$2:$E$675,Program_data!$E418,EIAwtransport!$H$2:$H$675,Program_data!$F418,EIAwtransport!$I$2:$I$675,Program_data!O$2)</f>
        <v>606561766</v>
      </c>
      <c r="P418" s="5">
        <f>SUMIFS(EIAwtransport!$J$2:$J$675,EIAwtransport!$E$2:$E$675,Program_data!$E418,EIAwtransport!$H$2:$H$675,Program_data!$F418,EIAwtransport!$I$2:$I$675,Program_data!P$2)</f>
        <v>121208475</v>
      </c>
      <c r="Q418" s="5">
        <f>SUMIFS(EIAwtransport!$J$2:$J$675,EIAwtransport!$E$2:$E$675,Program_data!$E418,EIAwtransport!$H$2:$H$675,Program_data!$F418,EIAwtransport!$I$2:$I$675,Program_data!Q$2)</f>
        <v>151875</v>
      </c>
      <c r="R418" s="8">
        <f>SUMIFS(EIAwtransport!$J$2:$J$675,EIAwtransport!$E$2:$E$675,Program_data!$E418,EIAwtransport!$I$2:$I$675,Program_data!R$2)</f>
        <v>2138075249</v>
      </c>
      <c r="S418" s="5">
        <f>SUMIFS(EIAwtransport!$J$2:$J$675,EIAwtransport!$E$2:$E$675,Program_data!$E418,EIAwtransport!$I$2:$I$675,Program_data!S$2)</f>
        <v>221235059</v>
      </c>
      <c r="T418" s="5">
        <f>SUMIFS(EIAwtransport!$J$2:$J$675,EIAwtransport!$E$2:$E$675,Program_data!$E418,EIAwtransport!$I$2:$I$675,Program_data!T$2)</f>
        <v>1074774</v>
      </c>
      <c r="U418" s="24">
        <f t="shared" si="156"/>
        <v>2.0713350432488664E-3</v>
      </c>
      <c r="V418" s="24">
        <f t="shared" si="172"/>
        <v>2.3014833813876294E-3</v>
      </c>
      <c r="W418" s="24">
        <f t="shared" si="157"/>
        <v>6.589991164525192E-3</v>
      </c>
      <c r="X418" s="25">
        <f t="shared" si="158"/>
        <v>6.1474373641370646E-3</v>
      </c>
      <c r="Y418" s="8">
        <f t="shared" si="160"/>
        <v>2.1519473815236632</v>
      </c>
      <c r="Z418" s="27">
        <f t="shared" si="161"/>
        <v>0.97226351363007479</v>
      </c>
      <c r="AA418" s="30" t="s">
        <v>353</v>
      </c>
      <c r="AB418" s="31" t="s">
        <v>354</v>
      </c>
      <c r="AC418" s="56">
        <f t="shared" si="166"/>
        <v>0.11288362621157853</v>
      </c>
      <c r="AD418" s="20">
        <f t="shared" si="146"/>
        <v>19021360.950000003</v>
      </c>
      <c r="AE418" s="20">
        <f t="shared" si="167"/>
        <v>18661274.100000001</v>
      </c>
      <c r="AF418" s="20">
        <f t="shared" si="168"/>
        <v>2886401586.1500001</v>
      </c>
      <c r="AG418">
        <f t="shared" si="169"/>
        <v>500765245.20000005</v>
      </c>
      <c r="AH418">
        <f t="shared" si="170"/>
        <v>556405828</v>
      </c>
      <c r="AI418">
        <f t="shared" si="171"/>
        <v>23335874023.32</v>
      </c>
    </row>
    <row r="419" spans="2:35" x14ac:dyDescent="0.25">
      <c r="B419" s="4">
        <v>2025</v>
      </c>
      <c r="C419" s="4" t="s">
        <v>22</v>
      </c>
      <c r="D419" s="1" t="s">
        <v>34</v>
      </c>
      <c r="E419" s="4" t="str">
        <f t="shared" si="155"/>
        <v>ConEd-NY</v>
      </c>
      <c r="F419" s="4" t="s">
        <v>146</v>
      </c>
      <c r="G419" s="4"/>
      <c r="H419" s="11" t="s">
        <v>352</v>
      </c>
      <c r="I419" s="4"/>
      <c r="J419" s="4" t="s">
        <v>142</v>
      </c>
      <c r="K419" s="5">
        <v>5191810</v>
      </c>
      <c r="L419" s="5">
        <f>K419/_xlfn.XLOOKUP(C419,'Utility target list'!$K$2:$K$8,'Utility target list'!$L$2:$L$8,1,0,1)</f>
        <v>5768677.777777778</v>
      </c>
      <c r="M419" s="8">
        <v>15795290</v>
      </c>
      <c r="N419" s="8">
        <v>15503595</v>
      </c>
      <c r="O419" s="8">
        <f>SUMIFS(EIAwtransport!$J$2:$J$675,EIAwtransport!$E$2:$E$675,Program_data!$E419,EIAwtransport!$H$2:$H$675,Program_data!$F419,EIAwtransport!$I$2:$I$675,Program_data!O$2)</f>
        <v>606561766</v>
      </c>
      <c r="P419" s="5">
        <f>SUMIFS(EIAwtransport!$J$2:$J$675,EIAwtransport!$E$2:$E$675,Program_data!$E419,EIAwtransport!$H$2:$H$675,Program_data!$F419,EIAwtransport!$I$2:$I$675,Program_data!P$2)</f>
        <v>121208475</v>
      </c>
      <c r="Q419" s="5">
        <f>SUMIFS(EIAwtransport!$J$2:$J$675,EIAwtransport!$E$2:$E$675,Program_data!$E419,EIAwtransport!$H$2:$H$675,Program_data!$F419,EIAwtransport!$I$2:$I$675,Program_data!Q$2)</f>
        <v>151875</v>
      </c>
      <c r="R419" s="8">
        <f>SUMIFS(EIAwtransport!$J$2:$J$675,EIAwtransport!$E$2:$E$675,Program_data!$E419,EIAwtransport!$I$2:$I$675,Program_data!R$2)</f>
        <v>2138075249</v>
      </c>
      <c r="S419" s="5">
        <f>SUMIFS(EIAwtransport!$J$2:$J$675,EIAwtransport!$E$2:$E$675,Program_data!$E419,EIAwtransport!$I$2:$I$675,Program_data!S$2)</f>
        <v>221235059</v>
      </c>
      <c r="T419" s="5">
        <f>SUMIFS(EIAwtransport!$J$2:$J$675,EIAwtransport!$E$2:$E$675,Program_data!$E419,EIAwtransport!$I$2:$I$675,Program_data!T$2)</f>
        <v>1074774</v>
      </c>
      <c r="U419" s="24">
        <f t="shared" si="156"/>
        <v>2.2651923418248164E-3</v>
      </c>
      <c r="V419" s="24">
        <f t="shared" si="172"/>
        <v>2.5168803798053517E-3</v>
      </c>
      <c r="W419" s="24">
        <f t="shared" si="157"/>
        <v>7.3876211828314371E-3</v>
      </c>
      <c r="X419" s="25">
        <f t="shared" si="158"/>
        <v>6.8915021822643936E-3</v>
      </c>
      <c r="Y419" s="8">
        <f t="shared" si="160"/>
        <v>2.2357541409171588</v>
      </c>
      <c r="Z419" s="27">
        <f t="shared" si="161"/>
        <v>0.97240321702877941</v>
      </c>
      <c r="AA419" s="30"/>
      <c r="AB419" s="30" t="s">
        <v>355</v>
      </c>
      <c r="AC419" s="56">
        <f t="shared" si="166"/>
        <v>0.11142347692300363</v>
      </c>
      <c r="AD419" s="20">
        <f t="shared" si="146"/>
        <v>21323641.5</v>
      </c>
      <c r="AE419" s="20">
        <f t="shared" si="167"/>
        <v>20929853.25</v>
      </c>
      <c r="AF419" s="20">
        <f t="shared" si="168"/>
        <v>2886401586.1500001</v>
      </c>
      <c r="AG419">
        <f t="shared" si="169"/>
        <v>547632118.80000007</v>
      </c>
      <c r="AH419">
        <f t="shared" si="170"/>
        <v>608480132</v>
      </c>
      <c r="AI419">
        <f t="shared" si="171"/>
        <v>23335874023.32</v>
      </c>
    </row>
    <row r="420" spans="2:35" x14ac:dyDescent="0.25">
      <c r="B420" s="4">
        <v>2024</v>
      </c>
      <c r="C420" s="4" t="s">
        <v>22</v>
      </c>
      <c r="D420" s="1" t="s">
        <v>34</v>
      </c>
      <c r="E420" s="4" t="str">
        <f t="shared" si="155"/>
        <v>ConEd-NY</v>
      </c>
      <c r="F420" s="4" t="s">
        <v>146</v>
      </c>
      <c r="G420" s="4"/>
      <c r="H420" s="11" t="s">
        <v>356</v>
      </c>
      <c r="I420" s="4"/>
      <c r="J420" s="4" t="s">
        <v>21</v>
      </c>
      <c r="K420" s="5">
        <v>533340</v>
      </c>
      <c r="L420" s="5">
        <f>K420/_xlfn.XLOOKUP(C420,'Utility target list'!$K$2:$K$8,'Utility target list'!$L$2:$L$8,1,0,1)</f>
        <v>592600</v>
      </c>
      <c r="M420" s="8">
        <v>1592770</v>
      </c>
      <c r="N420" s="8">
        <v>632757</v>
      </c>
      <c r="O420" s="8">
        <f>SUMIFS(EIAwtransport!$J$2:$J$675,EIAwtransport!$E$2:$E$675,Program_data!$E420,EIAwtransport!$H$2:$H$675,Program_data!$F420,EIAwtransport!$I$2:$I$675,Program_data!O$2)</f>
        <v>606561766</v>
      </c>
      <c r="P420" s="5">
        <f>SUMIFS(EIAwtransport!$J$2:$J$675,EIAwtransport!$E$2:$E$675,Program_data!$E420,EIAwtransport!$H$2:$H$675,Program_data!$F420,EIAwtransport!$I$2:$I$675,Program_data!P$2)</f>
        <v>121208475</v>
      </c>
      <c r="Q420" s="5">
        <f>SUMIFS(EIAwtransport!$J$2:$J$675,EIAwtransport!$E$2:$E$675,Program_data!$E420,EIAwtransport!$H$2:$H$675,Program_data!$F420,EIAwtransport!$I$2:$I$675,Program_data!Q$2)</f>
        <v>151875</v>
      </c>
      <c r="R420" s="8">
        <f>SUMIFS(EIAwtransport!$J$2:$J$675,EIAwtransport!$E$2:$E$675,Program_data!$E420,EIAwtransport!$I$2:$I$675,Program_data!R$2)</f>
        <v>2138075249</v>
      </c>
      <c r="S420" s="5">
        <f>SUMIFS(EIAwtransport!$J$2:$J$675,EIAwtransport!$E$2:$E$675,Program_data!$E420,EIAwtransport!$I$2:$I$675,Program_data!S$2)</f>
        <v>221235059</v>
      </c>
      <c r="T420" s="5">
        <f>SUMIFS(EIAwtransport!$J$2:$J$675,EIAwtransport!$E$2:$E$675,Program_data!$E420,EIAwtransport!$I$2:$I$675,Program_data!T$2)</f>
        <v>1074774</v>
      </c>
      <c r="U420" s="24">
        <f t="shared" si="156"/>
        <v>2.3269682126057147E-4</v>
      </c>
      <c r="V420" s="24">
        <f t="shared" si="172"/>
        <v>2.585520236228572E-4</v>
      </c>
      <c r="W420" s="24">
        <f t="shared" si="157"/>
        <v>7.4495507150412743E-4</v>
      </c>
      <c r="X420" s="25">
        <f t="shared" si="158"/>
        <v>6.9492728090748946E-4</v>
      </c>
      <c r="Y420" s="8">
        <f t="shared" si="160"/>
        <v>0.24326346962433046</v>
      </c>
      <c r="Z420" s="27">
        <f t="shared" si="161"/>
        <v>0.10990798276272526</v>
      </c>
      <c r="AA420" s="27"/>
      <c r="AB420" s="27"/>
      <c r="AC420" s="56">
        <f t="shared" si="166"/>
        <v>1.2681512378895646E-2</v>
      </c>
      <c r="AD420" s="20">
        <f t="shared" si="146"/>
        <v>2150239.5</v>
      </c>
      <c r="AE420" s="20">
        <f t="shared" si="167"/>
        <v>854221.95000000007</v>
      </c>
      <c r="AF420" s="20">
        <f t="shared" si="168"/>
        <v>2886401586.1500001</v>
      </c>
      <c r="AG420">
        <f t="shared" si="169"/>
        <v>56256703.200000003</v>
      </c>
      <c r="AH420">
        <f t="shared" si="170"/>
        <v>62507448</v>
      </c>
      <c r="AI420">
        <f t="shared" si="171"/>
        <v>23335874023.32</v>
      </c>
    </row>
    <row r="421" spans="2:35" x14ac:dyDescent="0.25">
      <c r="B421" s="4">
        <v>2025</v>
      </c>
      <c r="C421" s="4" t="s">
        <v>22</v>
      </c>
      <c r="D421" s="1" t="s">
        <v>34</v>
      </c>
      <c r="E421" s="4" t="str">
        <f t="shared" si="155"/>
        <v>ConEd-NY</v>
      </c>
      <c r="F421" s="4" t="s">
        <v>146</v>
      </c>
      <c r="G421" s="4"/>
      <c r="H421" s="11" t="s">
        <v>356</v>
      </c>
      <c r="I421" s="4"/>
      <c r="J421" s="4" t="s">
        <v>142</v>
      </c>
      <c r="K421" s="5">
        <v>580790</v>
      </c>
      <c r="L421" s="5">
        <f>K421/_xlfn.XLOOKUP(C421,'Utility target list'!$K$2:$K$8,'Utility target list'!$L$2:$L$8,1,0,1)</f>
        <v>645322.22222222225</v>
      </c>
      <c r="M421" s="8">
        <v>1752105</v>
      </c>
      <c r="N421" s="8">
        <v>706680</v>
      </c>
      <c r="O421" s="8">
        <f>SUMIFS(EIAwtransport!$J$2:$J$675,EIAwtransport!$E$2:$E$675,Program_data!$E421,EIAwtransport!$H$2:$H$675,Program_data!$F421,EIAwtransport!$I$2:$I$675,Program_data!O$2)</f>
        <v>606561766</v>
      </c>
      <c r="P421" s="5">
        <f>SUMIFS(EIAwtransport!$J$2:$J$675,EIAwtransport!$E$2:$E$675,Program_data!$E421,EIAwtransport!$H$2:$H$675,Program_data!$F421,EIAwtransport!$I$2:$I$675,Program_data!P$2)</f>
        <v>121208475</v>
      </c>
      <c r="Q421" s="5">
        <f>SUMIFS(EIAwtransport!$J$2:$J$675,EIAwtransport!$E$2:$E$675,Program_data!$E421,EIAwtransport!$H$2:$H$675,Program_data!$F421,EIAwtransport!$I$2:$I$675,Program_data!Q$2)</f>
        <v>151875</v>
      </c>
      <c r="R421" s="8">
        <f>SUMIFS(EIAwtransport!$J$2:$J$675,EIAwtransport!$E$2:$E$675,Program_data!$E421,EIAwtransport!$I$2:$I$675,Program_data!R$2)</f>
        <v>2138075249</v>
      </c>
      <c r="S421" s="5">
        <f>SUMIFS(EIAwtransport!$J$2:$J$675,EIAwtransport!$E$2:$E$675,Program_data!$E421,EIAwtransport!$I$2:$I$675,Program_data!S$2)</f>
        <v>221235059</v>
      </c>
      <c r="T421" s="5">
        <f>SUMIFS(EIAwtransport!$J$2:$J$675,EIAwtransport!$E$2:$E$675,Program_data!$E421,EIAwtransport!$I$2:$I$675,Program_data!T$2)</f>
        <v>1074774</v>
      </c>
      <c r="U421" s="24">
        <f t="shared" si="156"/>
        <v>2.5339930779601623E-4</v>
      </c>
      <c r="V421" s="24">
        <f t="shared" si="172"/>
        <v>2.8155478644001803E-4</v>
      </c>
      <c r="W421" s="24">
        <f t="shared" si="157"/>
        <v>8.1947770585692791E-4</v>
      </c>
      <c r="X421" s="25">
        <f t="shared" si="158"/>
        <v>7.6444531446123222E-4</v>
      </c>
      <c r="Y421" s="8">
        <f t="shared" si="160"/>
        <v>0.24800279127965735</v>
      </c>
      <c r="Z421" s="27">
        <f t="shared" si="161"/>
        <v>0.10786459372206585</v>
      </c>
      <c r="AA421" s="27"/>
      <c r="AB421" s="27"/>
      <c r="AC421" s="56">
        <f t="shared" si="166"/>
        <v>1.2464562678933026E-2</v>
      </c>
      <c r="AD421" s="20">
        <f t="shared" si="146"/>
        <v>2365341.75</v>
      </c>
      <c r="AE421" s="20">
        <f t="shared" si="167"/>
        <v>954018.00000000012</v>
      </c>
      <c r="AF421" s="20">
        <f t="shared" si="168"/>
        <v>2886401586.1500001</v>
      </c>
      <c r="AG421">
        <f t="shared" si="169"/>
        <v>61261729.200000003</v>
      </c>
      <c r="AH421">
        <f t="shared" si="170"/>
        <v>68068588</v>
      </c>
      <c r="AI421">
        <f t="shared" si="171"/>
        <v>23335874023.32</v>
      </c>
    </row>
    <row r="422" spans="2:35" x14ac:dyDescent="0.25">
      <c r="B422" s="4">
        <v>2024</v>
      </c>
      <c r="C422" s="4" t="s">
        <v>22</v>
      </c>
      <c r="D422" s="1" t="s">
        <v>34</v>
      </c>
      <c r="E422" s="4" t="str">
        <f t="shared" si="155"/>
        <v>ConEd-NY</v>
      </c>
      <c r="F422" s="4" t="s">
        <v>146</v>
      </c>
      <c r="G422" s="4"/>
      <c r="H422" s="11" t="s">
        <v>357</v>
      </c>
      <c r="I422" s="4"/>
      <c r="J422" s="4" t="s">
        <v>21</v>
      </c>
      <c r="K422" s="5">
        <v>853350</v>
      </c>
      <c r="L422" s="5">
        <f>K422/_xlfn.XLOOKUP(C422,'Utility target list'!$K$2:$K$8,'Utility target list'!$L$2:$L$8,1,0,1)</f>
        <v>948166.66666666663</v>
      </c>
      <c r="M422" s="8">
        <v>2387850</v>
      </c>
      <c r="N422" s="8">
        <v>1071260</v>
      </c>
      <c r="O422" s="8">
        <f>SUMIFS(EIAwtransport!$J$2:$J$675,EIAwtransport!$E$2:$E$675,Program_data!$E422,EIAwtransport!$H$2:$H$675,Program_data!$F422,EIAwtransport!$I$2:$I$675,Program_data!O$2)</f>
        <v>606561766</v>
      </c>
      <c r="P422" s="5">
        <f>SUMIFS(EIAwtransport!$J$2:$J$675,EIAwtransport!$E$2:$E$675,Program_data!$E422,EIAwtransport!$H$2:$H$675,Program_data!$F422,EIAwtransport!$I$2:$I$675,Program_data!P$2)</f>
        <v>121208475</v>
      </c>
      <c r="Q422" s="5">
        <f>SUMIFS(EIAwtransport!$J$2:$J$675,EIAwtransport!$E$2:$E$675,Program_data!$E422,EIAwtransport!$H$2:$H$675,Program_data!$F422,EIAwtransport!$I$2:$I$675,Program_data!Q$2)</f>
        <v>151875</v>
      </c>
      <c r="R422" s="8">
        <f>SUMIFS(EIAwtransport!$J$2:$J$675,EIAwtransport!$E$2:$E$675,Program_data!$E422,EIAwtransport!$I$2:$I$675,Program_data!R$2)</f>
        <v>2138075249</v>
      </c>
      <c r="S422" s="5">
        <f>SUMIFS(EIAwtransport!$J$2:$J$675,EIAwtransport!$E$2:$E$675,Program_data!$E422,EIAwtransport!$I$2:$I$675,Program_data!S$2)</f>
        <v>221235059</v>
      </c>
      <c r="T422" s="5">
        <f>SUMIFS(EIAwtransport!$J$2:$J$675,EIAwtransport!$E$2:$E$675,Program_data!$E422,EIAwtransport!$I$2:$I$675,Program_data!T$2)</f>
        <v>1074774</v>
      </c>
      <c r="U422" s="24">
        <f t="shared" si="156"/>
        <v>3.7231753182343094E-4</v>
      </c>
      <c r="V422" s="24">
        <f t="shared" si="172"/>
        <v>4.1368614647047884E-4</v>
      </c>
      <c r="W422" s="24">
        <f t="shared" si="157"/>
        <v>1.1168222452024653E-3</v>
      </c>
      <c r="X422" s="25">
        <f t="shared" si="158"/>
        <v>1.0418215484438737E-3</v>
      </c>
      <c r="Y422" s="8">
        <f t="shared" si="160"/>
        <v>0.36469589202612901</v>
      </c>
      <c r="Z422" s="27">
        <f t="shared" si="161"/>
        <v>0.16477192352943207</v>
      </c>
      <c r="AA422" s="27"/>
      <c r="AB422" s="27"/>
      <c r="AC422" s="56">
        <f t="shared" si="166"/>
        <v>2.0290562471463981E-2</v>
      </c>
      <c r="AD422" s="20">
        <f t="shared" si="146"/>
        <v>3223597.5</v>
      </c>
      <c r="AE422" s="20">
        <f t="shared" si="167"/>
        <v>1446201</v>
      </c>
      <c r="AF422" s="20">
        <f t="shared" si="168"/>
        <v>2886401586.1500001</v>
      </c>
      <c r="AG422">
        <f t="shared" si="169"/>
        <v>90011358</v>
      </c>
      <c r="AH422">
        <f t="shared" si="170"/>
        <v>100012620</v>
      </c>
      <c r="AI422">
        <f t="shared" si="171"/>
        <v>23335874023.32</v>
      </c>
    </row>
    <row r="423" spans="2:35" x14ac:dyDescent="0.25">
      <c r="B423" s="4">
        <v>2025</v>
      </c>
      <c r="C423" s="4" t="s">
        <v>22</v>
      </c>
      <c r="D423" s="1" t="s">
        <v>34</v>
      </c>
      <c r="E423" s="4" t="str">
        <f t="shared" si="155"/>
        <v>ConEd-NY</v>
      </c>
      <c r="F423" s="4" t="s">
        <v>146</v>
      </c>
      <c r="G423" s="4"/>
      <c r="H423" s="11" t="s">
        <v>357</v>
      </c>
      <c r="I423" s="4"/>
      <c r="J423" s="4" t="s">
        <v>142</v>
      </c>
      <c r="K423" s="5">
        <v>929270.00000000012</v>
      </c>
      <c r="L423" s="5">
        <f>K423/_xlfn.XLOOKUP(C423,'Utility target list'!$K$2:$K$8,'Utility target list'!$L$2:$L$8,1,0,1)</f>
        <v>1032522.2222222224</v>
      </c>
      <c r="M423" s="8">
        <v>2630138</v>
      </c>
      <c r="N423" s="8">
        <v>1196412</v>
      </c>
      <c r="O423" s="8">
        <f>SUMIFS(EIAwtransport!$J$2:$J$675,EIAwtransport!$E$2:$E$675,Program_data!$E423,EIAwtransport!$H$2:$H$675,Program_data!$F423,EIAwtransport!$I$2:$I$675,Program_data!O$2)</f>
        <v>606561766</v>
      </c>
      <c r="P423" s="5">
        <f>SUMIFS(EIAwtransport!$J$2:$J$675,EIAwtransport!$E$2:$E$675,Program_data!$E423,EIAwtransport!$H$2:$H$675,Program_data!$F423,EIAwtransport!$I$2:$I$675,Program_data!P$2)</f>
        <v>121208475</v>
      </c>
      <c r="Q423" s="5">
        <f>SUMIFS(EIAwtransport!$J$2:$J$675,EIAwtransport!$E$2:$E$675,Program_data!$E423,EIAwtransport!$H$2:$H$675,Program_data!$F423,EIAwtransport!$I$2:$I$675,Program_data!Q$2)</f>
        <v>151875</v>
      </c>
      <c r="R423" s="8">
        <f>SUMIFS(EIAwtransport!$J$2:$J$675,EIAwtransport!$E$2:$E$675,Program_data!$E423,EIAwtransport!$I$2:$I$675,Program_data!R$2)</f>
        <v>2138075249</v>
      </c>
      <c r="S423" s="5">
        <f>SUMIFS(EIAwtransport!$J$2:$J$675,EIAwtransport!$E$2:$E$675,Program_data!$E423,EIAwtransport!$I$2:$I$675,Program_data!S$2)</f>
        <v>221235059</v>
      </c>
      <c r="T423" s="5">
        <f>SUMIFS(EIAwtransport!$J$2:$J$675,EIAwtransport!$E$2:$E$675,Program_data!$E423,EIAwtransport!$I$2:$I$675,Program_data!T$2)</f>
        <v>1074774</v>
      </c>
      <c r="U423" s="24">
        <f t="shared" si="156"/>
        <v>4.0544151028014267E-4</v>
      </c>
      <c r="V423" s="24">
        <f t="shared" si="172"/>
        <v>4.5049056697793629E-4</v>
      </c>
      <c r="W423" s="24">
        <f t="shared" si="157"/>
        <v>1.2301428592048586E-3</v>
      </c>
      <c r="X423" s="25">
        <f t="shared" si="158"/>
        <v>1.1475320659928693E-3</v>
      </c>
      <c r="Y423" s="8">
        <f t="shared" si="160"/>
        <v>0.372284518023004</v>
      </c>
      <c r="Z423" s="27">
        <f t="shared" si="161"/>
        <v>0.16191881582608739</v>
      </c>
      <c r="AA423" s="27"/>
      <c r="AB423" s="27"/>
      <c r="AC423" s="56">
        <f t="shared" si="166"/>
        <v>1.9943429054653308E-2</v>
      </c>
      <c r="AD423" s="20">
        <f t="shared" ref="AD423:AD441" si="173">M423*1.35</f>
        <v>3550686.3000000003</v>
      </c>
      <c r="AE423" s="20">
        <f t="shared" si="167"/>
        <v>1615156.2000000002</v>
      </c>
      <c r="AF423" s="20">
        <f t="shared" si="168"/>
        <v>2886401586.1500001</v>
      </c>
      <c r="AG423">
        <f t="shared" si="169"/>
        <v>98019399.600000009</v>
      </c>
      <c r="AH423">
        <f t="shared" si="170"/>
        <v>108910444.00000001</v>
      </c>
      <c r="AI423">
        <f t="shared" si="171"/>
        <v>23335874023.32</v>
      </c>
    </row>
    <row r="424" spans="2:35" x14ac:dyDescent="0.25">
      <c r="B424" s="4">
        <v>2024</v>
      </c>
      <c r="C424" s="4" t="s">
        <v>22</v>
      </c>
      <c r="D424" s="1" t="s">
        <v>34</v>
      </c>
      <c r="E424" s="4" t="str">
        <f t="shared" si="155"/>
        <v>ConEd-NY</v>
      </c>
      <c r="F424" s="4" t="s">
        <v>146</v>
      </c>
      <c r="G424" s="4"/>
      <c r="H424" s="11" t="s">
        <v>358</v>
      </c>
      <c r="I424" s="4"/>
      <c r="J424" s="4" t="s">
        <v>75</v>
      </c>
      <c r="K424" s="5">
        <v>266670</v>
      </c>
      <c r="L424" s="5">
        <f>K424/_xlfn.XLOOKUP(C424,'Utility target list'!$K$2:$K$8,'Utility target list'!$L$2:$L$8,1,0,1)</f>
        <v>296300</v>
      </c>
      <c r="M424" s="8">
        <v>499266</v>
      </c>
      <c r="N424" s="8">
        <v>224976</v>
      </c>
      <c r="O424" s="8">
        <f>SUMIFS(EIAwtransport!$J$2:$J$675,EIAwtransport!$E$2:$E$675,Program_data!$E424,EIAwtransport!$H$2:$H$675,Program_data!$F424,EIAwtransport!$I$2:$I$675,Program_data!O$2)</f>
        <v>606561766</v>
      </c>
      <c r="P424" s="5">
        <f>SUMIFS(EIAwtransport!$J$2:$J$675,EIAwtransport!$E$2:$E$675,Program_data!$E424,EIAwtransport!$H$2:$H$675,Program_data!$F424,EIAwtransport!$I$2:$I$675,Program_data!P$2)</f>
        <v>121208475</v>
      </c>
      <c r="Q424" s="5">
        <f>SUMIFS(EIAwtransport!$J$2:$J$675,EIAwtransport!$E$2:$E$675,Program_data!$E424,EIAwtransport!$H$2:$H$675,Program_data!$F424,EIAwtransport!$I$2:$I$675,Program_data!Q$2)</f>
        <v>151875</v>
      </c>
      <c r="R424" s="8">
        <f>SUMIFS(EIAwtransport!$J$2:$J$675,EIAwtransport!$E$2:$E$675,Program_data!$E424,EIAwtransport!$I$2:$I$675,Program_data!R$2)</f>
        <v>2138075249</v>
      </c>
      <c r="S424" s="5">
        <f>SUMIFS(EIAwtransport!$J$2:$J$675,EIAwtransport!$E$2:$E$675,Program_data!$E424,EIAwtransport!$I$2:$I$675,Program_data!S$2)</f>
        <v>221235059</v>
      </c>
      <c r="T424" s="5">
        <f>SUMIFS(EIAwtransport!$J$2:$J$675,EIAwtransport!$E$2:$E$675,Program_data!$E424,EIAwtransport!$I$2:$I$675,Program_data!T$2)</f>
        <v>1074774</v>
      </c>
      <c r="U424" s="24">
        <f t="shared" si="156"/>
        <v>1.1634841063028573E-4</v>
      </c>
      <c r="V424" s="24">
        <f t="shared" si="172"/>
        <v>1.292760118114286E-4</v>
      </c>
      <c r="W424" s="24">
        <f t="shared" si="157"/>
        <v>2.3351189357507967E-4</v>
      </c>
      <c r="X424" s="25">
        <f t="shared" si="158"/>
        <v>2.1783029805280023E-4</v>
      </c>
      <c r="Y424" s="8">
        <f t="shared" si="160"/>
        <v>7.6252804501253144E-2</v>
      </c>
      <c r="Z424" s="27">
        <f t="shared" si="161"/>
        <v>3.4451502051152889E-2</v>
      </c>
      <c r="AA424" s="27"/>
      <c r="AB424" s="27"/>
      <c r="AC424" s="56">
        <f t="shared" si="166"/>
        <v>6.3407561894478232E-3</v>
      </c>
      <c r="AD424" s="20">
        <f t="shared" si="173"/>
        <v>674009.10000000009</v>
      </c>
      <c r="AE424" s="20">
        <f t="shared" si="167"/>
        <v>303717.60000000003</v>
      </c>
      <c r="AF424" s="20">
        <f t="shared" si="168"/>
        <v>2886401586.1500001</v>
      </c>
      <c r="AG424">
        <f t="shared" si="169"/>
        <v>28128351.600000001</v>
      </c>
      <c r="AH424">
        <f t="shared" si="170"/>
        <v>31253724</v>
      </c>
      <c r="AI424">
        <f t="shared" si="171"/>
        <v>23335874023.32</v>
      </c>
    </row>
    <row r="425" spans="2:35" x14ac:dyDescent="0.25">
      <c r="B425" s="4">
        <v>2025</v>
      </c>
      <c r="C425" s="4" t="s">
        <v>22</v>
      </c>
      <c r="D425" s="1" t="s">
        <v>34</v>
      </c>
      <c r="E425" s="4" t="str">
        <f t="shared" si="155"/>
        <v>ConEd-NY</v>
      </c>
      <c r="F425" s="4" t="s">
        <v>146</v>
      </c>
      <c r="G425" s="4"/>
      <c r="H425" s="11" t="s">
        <v>358</v>
      </c>
      <c r="I425" s="4"/>
      <c r="J425" s="4" t="s">
        <v>75</v>
      </c>
      <c r="K425" s="5">
        <v>290400</v>
      </c>
      <c r="L425" s="5">
        <f>K425/_xlfn.XLOOKUP(C425,'Utility target list'!$K$2:$K$8,'Utility target list'!$L$2:$L$8,1,0,1)</f>
        <v>322666.66666666669</v>
      </c>
      <c r="M425" s="8">
        <v>549953</v>
      </c>
      <c r="N425" s="8">
        <v>251260</v>
      </c>
      <c r="O425" s="8">
        <f>SUMIFS(EIAwtransport!$J$2:$J$675,EIAwtransport!$E$2:$E$675,Program_data!$E425,EIAwtransport!$H$2:$H$675,Program_data!$F425,EIAwtransport!$I$2:$I$675,Program_data!O$2)</f>
        <v>606561766</v>
      </c>
      <c r="P425" s="5">
        <f>SUMIFS(EIAwtransport!$J$2:$J$675,EIAwtransport!$E$2:$E$675,Program_data!$E425,EIAwtransport!$H$2:$H$675,Program_data!$F425,EIAwtransport!$I$2:$I$675,Program_data!P$2)</f>
        <v>121208475</v>
      </c>
      <c r="Q425" s="5">
        <f>SUMIFS(EIAwtransport!$J$2:$J$675,EIAwtransport!$E$2:$E$675,Program_data!$E425,EIAwtransport!$H$2:$H$675,Program_data!$F425,EIAwtransport!$I$2:$I$675,Program_data!Q$2)</f>
        <v>151875</v>
      </c>
      <c r="R425" s="8">
        <f>SUMIFS(EIAwtransport!$J$2:$J$675,EIAwtransport!$E$2:$E$675,Program_data!$E425,EIAwtransport!$I$2:$I$675,Program_data!R$2)</f>
        <v>2138075249</v>
      </c>
      <c r="S425" s="5">
        <f>SUMIFS(EIAwtransport!$J$2:$J$675,EIAwtransport!$E$2:$E$675,Program_data!$E425,EIAwtransport!$I$2:$I$675,Program_data!S$2)</f>
        <v>221235059</v>
      </c>
      <c r="T425" s="5">
        <f>SUMIFS(EIAwtransport!$J$2:$J$675,EIAwtransport!$E$2:$E$675,Program_data!$E425,EIAwtransport!$I$2:$I$675,Program_data!T$2)</f>
        <v>1074774</v>
      </c>
      <c r="U425" s="24">
        <f t="shared" si="156"/>
        <v>1.2670183540343862E-4</v>
      </c>
      <c r="V425" s="24">
        <f t="shared" si="172"/>
        <v>1.4077981711493182E-4</v>
      </c>
      <c r="W425" s="24">
        <f t="shared" si="157"/>
        <v>2.5721872991009962E-4</v>
      </c>
      <c r="X425" s="25">
        <f t="shared" si="158"/>
        <v>2.399450912039507E-4</v>
      </c>
      <c r="Y425" s="8">
        <f t="shared" si="160"/>
        <v>7.7843439218894639E-2</v>
      </c>
      <c r="Z425" s="27">
        <f t="shared" si="161"/>
        <v>3.3856679200864832E-2</v>
      </c>
      <c r="AA425" s="27"/>
      <c r="AB425" s="27"/>
      <c r="AC425" s="56">
        <f t="shared" si="166"/>
        <v>6.2323886464335657E-3</v>
      </c>
      <c r="AD425" s="20">
        <f t="shared" si="173"/>
        <v>742436.55</v>
      </c>
      <c r="AE425" s="20">
        <f t="shared" si="167"/>
        <v>339201</v>
      </c>
      <c r="AF425" s="20">
        <f t="shared" si="168"/>
        <v>2886401586.1500001</v>
      </c>
      <c r="AG425">
        <f t="shared" si="169"/>
        <v>30631392</v>
      </c>
      <c r="AH425">
        <f t="shared" si="170"/>
        <v>34034880</v>
      </c>
      <c r="AI425">
        <f t="shared" si="171"/>
        <v>23335874023.32</v>
      </c>
    </row>
    <row r="426" spans="2:35" x14ac:dyDescent="0.25">
      <c r="B426" s="4">
        <v>2024</v>
      </c>
      <c r="C426" s="4" t="s">
        <v>22</v>
      </c>
      <c r="D426" s="1" t="s">
        <v>34</v>
      </c>
      <c r="E426" s="4" t="str">
        <f t="shared" si="155"/>
        <v>ConEd-NY</v>
      </c>
      <c r="F426" s="4" t="s">
        <v>146</v>
      </c>
      <c r="G426" s="4"/>
      <c r="H426" s="11" t="s">
        <v>359</v>
      </c>
      <c r="I426" s="4"/>
      <c r="J426" s="4" t="s">
        <v>21</v>
      </c>
      <c r="K426" s="5">
        <v>146660</v>
      </c>
      <c r="L426" s="5">
        <f>K426/_xlfn.XLOOKUP(C426,'Utility target list'!$K$2:$K$8,'Utility target list'!$L$2:$L$8,1,0,1)</f>
        <v>162955.55555555556</v>
      </c>
      <c r="M426" s="8"/>
      <c r="N426" s="8"/>
      <c r="O426" s="8">
        <f>SUMIFS(EIAwtransport!$J$2:$J$675,EIAwtransport!$E$2:$E$675,Program_data!$E426,EIAwtransport!$H$2:$H$675,Program_data!$F426,EIAwtransport!$I$2:$I$675,Program_data!O$2)</f>
        <v>606561766</v>
      </c>
      <c r="P426" s="5">
        <f>SUMIFS(EIAwtransport!$J$2:$J$675,EIAwtransport!$E$2:$E$675,Program_data!$E426,EIAwtransport!$H$2:$H$675,Program_data!$F426,EIAwtransport!$I$2:$I$675,Program_data!P$2)</f>
        <v>121208475</v>
      </c>
      <c r="Q426" s="5">
        <f>SUMIFS(EIAwtransport!$J$2:$J$675,EIAwtransport!$E$2:$E$675,Program_data!$E426,EIAwtransport!$H$2:$H$675,Program_data!$F426,EIAwtransport!$I$2:$I$675,Program_data!Q$2)</f>
        <v>151875</v>
      </c>
      <c r="R426" s="8">
        <f>SUMIFS(EIAwtransport!$J$2:$J$675,EIAwtransport!$E$2:$E$675,Program_data!$E426,EIAwtransport!$I$2:$I$675,Program_data!R$2)</f>
        <v>2138075249</v>
      </c>
      <c r="S426" s="5">
        <f>SUMIFS(EIAwtransport!$J$2:$J$675,EIAwtransport!$E$2:$E$675,Program_data!$E426,EIAwtransport!$I$2:$I$675,Program_data!S$2)</f>
        <v>221235059</v>
      </c>
      <c r="T426" s="5">
        <f>SUMIFS(EIAwtransport!$J$2:$J$675,EIAwtransport!$E$2:$E$675,Program_data!$E426,EIAwtransport!$I$2:$I$675,Program_data!T$2)</f>
        <v>1074774</v>
      </c>
      <c r="U426" s="24">
        <f t="shared" si="156"/>
        <v>6.3987917287425307E-5</v>
      </c>
      <c r="V426" s="24">
        <f t="shared" si="172"/>
        <v>7.1097685874917002E-5</v>
      </c>
      <c r="W426" s="24">
        <f t="shared" si="157"/>
        <v>0</v>
      </c>
      <c r="X426" s="25">
        <f t="shared" si="158"/>
        <v>0</v>
      </c>
      <c r="Y426" s="8">
        <f t="shared" si="160"/>
        <v>0</v>
      </c>
      <c r="Z426" s="27">
        <f t="shared" si="161"/>
        <v>0</v>
      </c>
      <c r="AA426" s="27"/>
      <c r="AB426" s="27"/>
      <c r="AC426" s="56">
        <f t="shared" si="166"/>
        <v>3.4872137951191275E-3</v>
      </c>
      <c r="AD426" s="20">
        <f t="shared" si="173"/>
        <v>0</v>
      </c>
      <c r="AE426" s="20">
        <f t="shared" si="167"/>
        <v>0</v>
      </c>
      <c r="AF426" s="20">
        <f t="shared" si="168"/>
        <v>2886401586.1500001</v>
      </c>
      <c r="AG426">
        <f t="shared" si="169"/>
        <v>15469696.800000001</v>
      </c>
      <c r="AH426">
        <f t="shared" si="170"/>
        <v>17188552</v>
      </c>
      <c r="AI426">
        <f t="shared" si="171"/>
        <v>23335874023.32</v>
      </c>
    </row>
    <row r="427" spans="2:35" x14ac:dyDescent="0.25">
      <c r="B427" s="4">
        <v>2025</v>
      </c>
      <c r="C427" s="4" t="s">
        <v>22</v>
      </c>
      <c r="D427" s="1" t="s">
        <v>34</v>
      </c>
      <c r="E427" s="4" t="str">
        <f t="shared" si="155"/>
        <v>ConEd-NY</v>
      </c>
      <c r="F427" s="4" t="s">
        <v>146</v>
      </c>
      <c r="G427" s="4"/>
      <c r="H427" s="11" t="s">
        <v>359</v>
      </c>
      <c r="I427" s="4"/>
      <c r="J427" s="4" t="s">
        <v>142</v>
      </c>
      <c r="K427" s="5">
        <v>72590</v>
      </c>
      <c r="L427" s="5">
        <f>K427/_xlfn.XLOOKUP(C427,'Utility target list'!$K$2:$K$8,'Utility target list'!$L$2:$L$8,1,0,1)</f>
        <v>80655.555555555547</v>
      </c>
      <c r="M427" s="8"/>
      <c r="N427" s="8"/>
      <c r="O427" s="8">
        <f>SUMIFS(EIAwtransport!$J$2:$J$675,EIAwtransport!$E$2:$E$675,Program_data!$E427,EIAwtransport!$H$2:$H$675,Program_data!$F427,EIAwtransport!$I$2:$I$675,Program_data!O$2)</f>
        <v>606561766</v>
      </c>
      <c r="P427" s="5">
        <f>SUMIFS(EIAwtransport!$J$2:$J$675,EIAwtransport!$E$2:$E$675,Program_data!$E427,EIAwtransport!$H$2:$H$675,Program_data!$F427,EIAwtransport!$I$2:$I$675,Program_data!P$2)</f>
        <v>121208475</v>
      </c>
      <c r="Q427" s="5">
        <f>SUMIFS(EIAwtransport!$J$2:$J$675,EIAwtransport!$E$2:$E$675,Program_data!$E427,EIAwtransport!$H$2:$H$675,Program_data!$F427,EIAwtransport!$I$2:$I$675,Program_data!Q$2)</f>
        <v>151875</v>
      </c>
      <c r="R427" s="8">
        <f>SUMIFS(EIAwtransport!$J$2:$J$675,EIAwtransport!$E$2:$E$675,Program_data!$E427,EIAwtransport!$I$2:$I$675,Program_data!R$2)</f>
        <v>2138075249</v>
      </c>
      <c r="S427" s="5">
        <f>SUMIFS(EIAwtransport!$J$2:$J$675,EIAwtransport!$E$2:$E$675,Program_data!$E427,EIAwtransport!$I$2:$I$675,Program_data!S$2)</f>
        <v>221235059</v>
      </c>
      <c r="T427" s="5">
        <f>SUMIFS(EIAwtransport!$J$2:$J$675,EIAwtransport!$E$2:$E$675,Program_data!$E427,EIAwtransport!$I$2:$I$675,Program_data!T$2)</f>
        <v>1074774</v>
      </c>
      <c r="U427" s="24">
        <f t="shared" si="156"/>
        <v>3.1671095839998659E-5</v>
      </c>
      <c r="V427" s="24">
        <f t="shared" si="172"/>
        <v>3.519010648888739E-5</v>
      </c>
      <c r="W427" s="24">
        <f t="shared" si="157"/>
        <v>0</v>
      </c>
      <c r="X427" s="25">
        <f t="shared" si="158"/>
        <v>0</v>
      </c>
      <c r="Y427" s="8">
        <f t="shared" si="160"/>
        <v>0</v>
      </c>
      <c r="Z427" s="27">
        <f t="shared" si="161"/>
        <v>0</v>
      </c>
      <c r="AA427" s="27"/>
      <c r="AB427" s="27"/>
      <c r="AC427" s="56">
        <f t="shared" si="166"/>
        <v>1.5578825476742857E-3</v>
      </c>
      <c r="AD427" s="20">
        <f t="shared" si="173"/>
        <v>0</v>
      </c>
      <c r="AE427" s="20">
        <f t="shared" si="167"/>
        <v>0</v>
      </c>
      <c r="AF427" s="20">
        <f t="shared" si="168"/>
        <v>2886401586.1500001</v>
      </c>
      <c r="AG427">
        <f t="shared" si="169"/>
        <v>7656793.2000000002</v>
      </c>
      <c r="AH427">
        <f t="shared" si="170"/>
        <v>8507548</v>
      </c>
      <c r="AI427">
        <f t="shared" si="171"/>
        <v>23335874023.32</v>
      </c>
    </row>
    <row r="428" spans="2:35" x14ac:dyDescent="0.25">
      <c r="B428" s="4">
        <v>2024</v>
      </c>
      <c r="C428" s="4" t="s">
        <v>22</v>
      </c>
      <c r="D428" s="1" t="s">
        <v>34</v>
      </c>
      <c r="E428" s="4" t="str">
        <f>D428&amp;"-"&amp;C428</f>
        <v>ConEd-NY</v>
      </c>
      <c r="F428" s="4" t="s">
        <v>143</v>
      </c>
      <c r="G428" s="4"/>
      <c r="H428" s="11" t="s">
        <v>345</v>
      </c>
      <c r="I428" s="4"/>
      <c r="J428" s="4" t="s">
        <v>21</v>
      </c>
      <c r="K428" s="5">
        <v>2535630</v>
      </c>
      <c r="L428" s="5"/>
      <c r="M428" s="8">
        <v>440325</v>
      </c>
      <c r="N428" s="8">
        <v>413905</v>
      </c>
      <c r="O428" s="8">
        <f>SUMIFS(EIAwtransport!$J$2:$J$675,EIAwtransport!$E$2:$E$675,Program_data!$E428,EIAwtransport!$H$2:$H$675,Program_data!$F428,EIAwtransport!$I$2:$I$675,Program_data!O$2)</f>
        <v>0</v>
      </c>
      <c r="P428" s="5">
        <f>SUMIFS(EIAwtransport!$J$2:$J$675,EIAwtransport!$E$2:$E$675,Program_data!$E428,EIAwtransport!$H$2:$H$675,Program_data!$F428,EIAwtransport!$I$2:$I$675,Program_data!P$2)</f>
        <v>0</v>
      </c>
      <c r="Q428" s="5">
        <f>SUMIFS(EIAwtransport!$J$2:$J$675,EIAwtransport!$E$2:$E$675,Program_data!$E428,EIAwtransport!$H$2:$H$675,Program_data!$F428,EIAwtransport!$I$2:$I$675,Program_data!Q$2)</f>
        <v>0</v>
      </c>
      <c r="R428" s="8">
        <f>SUMIFS(EIAwtransport!$J$2:$J$675,EIAwtransport!$E$2:$E$675,Program_data!$E428,EIAwtransport!$I$2:$I$675,Program_data!R$2)</f>
        <v>2138075249</v>
      </c>
      <c r="S428" s="5">
        <f>SUMIFS(EIAwtransport!$J$2:$J$675,EIAwtransport!$E$2:$E$675,Program_data!$E428,EIAwtransport!$I$2:$I$675,Program_data!S$2)</f>
        <v>221235059</v>
      </c>
      <c r="T428" s="5">
        <f>SUMIFS(EIAwtransport!$J$2:$J$675,EIAwtransport!$E$2:$E$675,Program_data!$E428,EIAwtransport!$I$2:$I$675,Program_data!T$2)</f>
        <v>1074774</v>
      </c>
      <c r="U428" s="24">
        <f t="shared" si="156"/>
        <v>1.1062981229477309E-3</v>
      </c>
      <c r="V428" s="24">
        <f t="shared" si="172"/>
        <v>0</v>
      </c>
      <c r="W428" s="24">
        <f t="shared" si="157"/>
        <v>2.0594457571404215E-4</v>
      </c>
      <c r="X428" s="25">
        <f t="shared" si="158"/>
        <v>1.9211427573698041E-4</v>
      </c>
      <c r="Y428" s="8">
        <f t="shared" si="160"/>
        <v>0.17365506797127342</v>
      </c>
      <c r="Z428" s="27">
        <f t="shared" si="161"/>
        <v>3.0384319462318475E-2</v>
      </c>
      <c r="AA428" s="27"/>
      <c r="AB428" s="27"/>
      <c r="AC428" s="56">
        <f t="shared" si="166"/>
        <v>6.0291039924436886E-2</v>
      </c>
      <c r="AD428" s="20"/>
      <c r="AE428" s="20"/>
      <c r="AF428" s="20"/>
      <c r="AG428">
        <f>K428*105.48</f>
        <v>267458252.40000001</v>
      </c>
    </row>
    <row r="429" spans="2:35" x14ac:dyDescent="0.25">
      <c r="B429" s="4">
        <v>2025</v>
      </c>
      <c r="C429" s="4" t="s">
        <v>22</v>
      </c>
      <c r="D429" s="1" t="s">
        <v>34</v>
      </c>
      <c r="E429" s="4" t="str">
        <f>D429&amp;"-"&amp;C429</f>
        <v>ConEd-NY</v>
      </c>
      <c r="F429" s="4" t="s">
        <v>143</v>
      </c>
      <c r="G429" s="4"/>
      <c r="H429" s="11" t="s">
        <v>345</v>
      </c>
      <c r="I429" s="4"/>
      <c r="J429" s="4" t="s">
        <v>21</v>
      </c>
      <c r="K429" s="5">
        <v>3223590</v>
      </c>
      <c r="L429" s="5"/>
      <c r="M429" s="8">
        <v>440325</v>
      </c>
      <c r="N429" s="8">
        <v>413905</v>
      </c>
      <c r="O429" s="8"/>
      <c r="P429" s="5"/>
      <c r="Q429" s="5"/>
      <c r="R429" s="8"/>
      <c r="S429" s="5"/>
      <c r="T429" s="5"/>
      <c r="U429" s="24"/>
      <c r="V429" s="24"/>
      <c r="W429" s="24"/>
      <c r="X429" s="25"/>
      <c r="Y429" s="8">
        <f t="shared" si="160"/>
        <v>0.1365946041525132</v>
      </c>
      <c r="Z429" s="27">
        <f t="shared" si="161"/>
        <v>2.7107666053500588E-2</v>
      </c>
      <c r="AA429" s="27"/>
      <c r="AB429" s="27"/>
      <c r="AC429" s="56">
        <f t="shared" si="166"/>
        <v>6.9182733184424167E-2</v>
      </c>
      <c r="AD429" s="20"/>
      <c r="AE429" s="20"/>
      <c r="AF429" s="20"/>
      <c r="AG429">
        <f>K429*105.48</f>
        <v>340024273.19999999</v>
      </c>
    </row>
    <row r="430" spans="2:35" x14ac:dyDescent="0.25">
      <c r="B430" s="4">
        <v>2024</v>
      </c>
      <c r="C430" s="4" t="s">
        <v>22</v>
      </c>
      <c r="D430" s="1" t="s">
        <v>34</v>
      </c>
      <c r="E430" s="4" t="str">
        <f t="shared" si="155"/>
        <v>ConEd-NY</v>
      </c>
      <c r="F430" s="4" t="s">
        <v>135</v>
      </c>
      <c r="G430" s="4"/>
      <c r="H430" s="11" t="s">
        <v>360</v>
      </c>
      <c r="I430" s="4"/>
      <c r="J430" s="4" t="s">
        <v>21</v>
      </c>
      <c r="K430" s="5">
        <v>213340</v>
      </c>
      <c r="L430" s="5">
        <f>K430/_xlfn.XLOOKUP(C430,'Utility target list'!$K$2:$K$8,'Utility target list'!$L$2:$L$8,1,0,1)</f>
        <v>237044.44444444444</v>
      </c>
      <c r="M430" s="8">
        <v>703040</v>
      </c>
      <c r="N430" s="8">
        <v>350047</v>
      </c>
      <c r="O430" s="8">
        <f>SUMIFS(EIAwtransport!$J$2:$J$675,EIAwtransport!$E$2:$E$675,Program_data!$E430,EIAwtransport!$H$2:$H$675,Program_data!$F430,EIAwtransport!$I$2:$I$675,Program_data!O$2)</f>
        <v>1531513483</v>
      </c>
      <c r="P430" s="5">
        <f>SUMIFS(EIAwtransport!$J$2:$J$675,EIAwtransport!$E$2:$E$675,Program_data!$E430,EIAwtransport!$H$2:$H$675,Program_data!$F430,EIAwtransport!$I$2:$I$675,Program_data!P$2)</f>
        <v>100026584</v>
      </c>
      <c r="Q430" s="5">
        <f>SUMIFS(EIAwtransport!$J$2:$J$675,EIAwtransport!$E$2:$E$675,Program_data!$E430,EIAwtransport!$H$2:$H$675,Program_data!$F430,EIAwtransport!$I$2:$I$675,Program_data!Q$2)</f>
        <v>922899</v>
      </c>
      <c r="R430" s="8">
        <f>SUMIFS(EIAwtransport!$J$2:$J$675,EIAwtransport!$E$2:$E$675,Program_data!$E430,EIAwtransport!$I$2:$I$675,Program_data!R$2)</f>
        <v>2138075249</v>
      </c>
      <c r="S430" s="5">
        <f>SUMIFS(EIAwtransport!$J$2:$J$675,EIAwtransport!$E$2:$E$675,Program_data!$E430,EIAwtransport!$I$2:$I$675,Program_data!S$2)</f>
        <v>221235059</v>
      </c>
      <c r="T430" s="5">
        <f>SUMIFS(EIAwtransport!$J$2:$J$675,EIAwtransport!$E$2:$E$675,Program_data!$E430,EIAwtransport!$I$2:$I$675,Program_data!T$2)</f>
        <v>1074774</v>
      </c>
      <c r="U430" s="24">
        <f t="shared" ref="U430" si="174">IFERROR(K430/10.36/S430,"")</f>
        <v>9.3080473708572988E-5</v>
      </c>
      <c r="V430" s="24">
        <f t="shared" ref="V430" si="175">IFERROR(L430/10.36/S430,"")</f>
        <v>1.034227485650811E-4</v>
      </c>
      <c r="W430" s="24">
        <f t="shared" ref="W430" si="176">IFERROR(M430/R430,"")</f>
        <v>3.2881910977119213E-4</v>
      </c>
      <c r="X430" s="25">
        <f t="shared" ref="X430" si="177">IFERROR(M430/S430/10.36,"")</f>
        <v>3.0673711557174067E-4</v>
      </c>
      <c r="Y430" s="8">
        <f t="shared" si="160"/>
        <v>0.12998293493272889</v>
      </c>
      <c r="Z430" s="27">
        <f t="shared" si="161"/>
        <v>4.8512784772130543E-2</v>
      </c>
      <c r="AA430" s="27"/>
      <c r="AB430" s="27"/>
      <c r="AC430" s="56">
        <f t="shared" si="166"/>
        <v>5.0727000617122233E-3</v>
      </c>
      <c r="AD430" s="20">
        <f t="shared" si="173"/>
        <v>949104.00000000012</v>
      </c>
      <c r="AE430" s="20">
        <f t="shared" si="167"/>
        <v>472563.45</v>
      </c>
      <c r="AF430" s="20">
        <f t="shared" si="168"/>
        <v>2886401586.1500001</v>
      </c>
      <c r="AG430">
        <f t="shared" si="169"/>
        <v>22503103.199999999</v>
      </c>
      <c r="AH430">
        <f t="shared" si="170"/>
        <v>25003448</v>
      </c>
      <c r="AI430">
        <f t="shared" si="171"/>
        <v>23335874023.32</v>
      </c>
    </row>
    <row r="431" spans="2:35" x14ac:dyDescent="0.25">
      <c r="B431" s="4">
        <v>2025</v>
      </c>
      <c r="C431" s="4" t="s">
        <v>22</v>
      </c>
      <c r="D431" s="1" t="s">
        <v>34</v>
      </c>
      <c r="E431" s="4" t="str">
        <f t="shared" si="155"/>
        <v>ConEd-NY</v>
      </c>
      <c r="F431" s="4" t="s">
        <v>135</v>
      </c>
      <c r="G431" s="4"/>
      <c r="H431" s="11" t="s">
        <v>360</v>
      </c>
      <c r="I431" s="4"/>
      <c r="J431" s="4" t="s">
        <v>142</v>
      </c>
      <c r="K431" s="5">
        <v>232319.99999999997</v>
      </c>
      <c r="L431" s="5">
        <f>K431/_xlfn.XLOOKUP(C431,'Utility target list'!$K$2:$K$8,'Utility target list'!$L$2:$L$8,1,0,1)</f>
        <v>258133.33333333328</v>
      </c>
      <c r="M431" s="8">
        <v>775340</v>
      </c>
      <c r="N431" s="8">
        <v>390942</v>
      </c>
      <c r="O431" s="8">
        <f>SUMIFS(EIAwtransport!$J$2:$J$675,EIAwtransport!$E$2:$E$675,Program_data!$E431,EIAwtransport!$H$2:$H$675,Program_data!$F431,EIAwtransport!$I$2:$I$675,Program_data!O$2)</f>
        <v>1531513483</v>
      </c>
      <c r="P431" s="5">
        <f>SUMIFS(EIAwtransport!$J$2:$J$675,EIAwtransport!$E$2:$E$675,Program_data!$E431,EIAwtransport!$H$2:$H$675,Program_data!$F431,EIAwtransport!$I$2:$I$675,Program_data!P$2)</f>
        <v>100026584</v>
      </c>
      <c r="Q431" s="5">
        <f>SUMIFS(EIAwtransport!$J$2:$J$675,EIAwtransport!$E$2:$E$675,Program_data!$E431,EIAwtransport!$H$2:$H$675,Program_data!$F431,EIAwtransport!$I$2:$I$675,Program_data!Q$2)</f>
        <v>922899</v>
      </c>
      <c r="R431" s="8">
        <f>SUMIFS(EIAwtransport!$J$2:$J$675,EIAwtransport!$E$2:$E$675,Program_data!$E431,EIAwtransport!$I$2:$I$675,Program_data!R$2)</f>
        <v>2138075249</v>
      </c>
      <c r="S431" s="5">
        <f>SUMIFS(EIAwtransport!$J$2:$J$675,EIAwtransport!$E$2:$E$675,Program_data!$E431,EIAwtransport!$I$2:$I$675,Program_data!S$2)</f>
        <v>221235059</v>
      </c>
      <c r="T431" s="5">
        <f>SUMIFS(EIAwtransport!$J$2:$J$675,EIAwtransport!$E$2:$E$675,Program_data!$E431,EIAwtransport!$I$2:$I$675,Program_data!T$2)</f>
        <v>1074774</v>
      </c>
      <c r="U431" s="24">
        <f t="shared" si="156"/>
        <v>1.0136146832275088E-4</v>
      </c>
      <c r="V431" s="24">
        <f t="shared" si="172"/>
        <v>1.1262385369194542E-4</v>
      </c>
      <c r="W431" s="24">
        <f t="shared" si="157"/>
        <v>3.62634570678761E-4</v>
      </c>
      <c r="X431" s="25">
        <f t="shared" si="158"/>
        <v>3.3828168409677034E-4</v>
      </c>
      <c r="Y431" s="8">
        <f t="shared" si="160"/>
        <v>0.13019742708363069</v>
      </c>
      <c r="Z431" s="27">
        <f t="shared" si="161"/>
        <v>4.7732147386410372E-2</v>
      </c>
      <c r="AA431" s="27"/>
      <c r="AB431" s="27"/>
      <c r="AC431" s="56">
        <f t="shared" si="166"/>
        <v>4.985910917146852E-3</v>
      </c>
      <c r="AD431" s="20">
        <f t="shared" si="173"/>
        <v>1046709.0000000001</v>
      </c>
      <c r="AE431" s="20">
        <f t="shared" si="167"/>
        <v>527771.70000000007</v>
      </c>
      <c r="AF431" s="20">
        <f t="shared" si="168"/>
        <v>2886401586.1500001</v>
      </c>
      <c r="AG431">
        <f t="shared" si="169"/>
        <v>24505113.599999998</v>
      </c>
      <c r="AH431">
        <f t="shared" si="170"/>
        <v>27227903.999999996</v>
      </c>
      <c r="AI431">
        <f t="shared" si="171"/>
        <v>23335874023.32</v>
      </c>
    </row>
    <row r="432" spans="2:35" x14ac:dyDescent="0.25">
      <c r="B432" s="4">
        <v>2024</v>
      </c>
      <c r="C432" s="4" t="s">
        <v>22</v>
      </c>
      <c r="D432" s="1" t="s">
        <v>34</v>
      </c>
      <c r="E432" s="4" t="str">
        <f t="shared" si="155"/>
        <v>ConEd-NY</v>
      </c>
      <c r="F432" s="4" t="s">
        <v>135</v>
      </c>
      <c r="G432" s="4"/>
      <c r="H432" s="11" t="s">
        <v>361</v>
      </c>
      <c r="I432" s="4"/>
      <c r="J432" s="4" t="s">
        <v>21</v>
      </c>
      <c r="K432" s="22">
        <v>266670</v>
      </c>
      <c r="L432" s="5">
        <f>K432/_xlfn.XLOOKUP(C432,'Utility target list'!$K$2:$K$8,'Utility target list'!$L$2:$L$8,1,0,1)</f>
        <v>296300</v>
      </c>
      <c r="M432" s="50">
        <v>3077271</v>
      </c>
      <c r="N432" s="8">
        <v>594553</v>
      </c>
      <c r="O432" s="8">
        <f>SUMIFS(EIAwtransport!$J$2:$J$675,EIAwtransport!$E$2:$E$675,Program_data!$E432,EIAwtransport!$H$2:$H$675,Program_data!$F432,EIAwtransport!$I$2:$I$675,Program_data!O$2)</f>
        <v>1531513483</v>
      </c>
      <c r="P432" s="5">
        <f>SUMIFS(EIAwtransport!$J$2:$J$675,EIAwtransport!$E$2:$E$675,Program_data!$E432,EIAwtransport!$H$2:$H$675,Program_data!$F432,EIAwtransport!$I$2:$I$675,Program_data!P$2)</f>
        <v>100026584</v>
      </c>
      <c r="Q432" s="5">
        <f>SUMIFS(EIAwtransport!$J$2:$J$675,EIAwtransport!$E$2:$E$675,Program_data!$E432,EIAwtransport!$H$2:$H$675,Program_data!$F432,EIAwtransport!$I$2:$I$675,Program_data!Q$2)</f>
        <v>922899</v>
      </c>
      <c r="R432" s="8">
        <f>SUMIFS(EIAwtransport!$J$2:$J$675,EIAwtransport!$E$2:$E$675,Program_data!$E432,EIAwtransport!$I$2:$I$675,Program_data!R$2)</f>
        <v>2138075249</v>
      </c>
      <c r="S432" s="5">
        <f>SUMIFS(EIAwtransport!$J$2:$J$675,EIAwtransport!$E$2:$E$675,Program_data!$E432,EIAwtransport!$I$2:$I$675,Program_data!S$2)</f>
        <v>221235059</v>
      </c>
      <c r="T432" s="5">
        <f>SUMIFS(EIAwtransport!$J$2:$J$675,EIAwtransport!$E$2:$E$675,Program_data!$E432,EIAwtransport!$I$2:$I$675,Program_data!T$2)</f>
        <v>1074774</v>
      </c>
      <c r="U432" s="24">
        <f t="shared" si="156"/>
        <v>1.1634841063028573E-4</v>
      </c>
      <c r="V432" s="24">
        <f t="shared" si="172"/>
        <v>1.292760118114286E-4</v>
      </c>
      <c r="W432" s="24">
        <f t="shared" si="157"/>
        <v>1.4392716072267669E-3</v>
      </c>
      <c r="X432" s="25">
        <f t="shared" si="158"/>
        <v>1.3426166795240185E-3</v>
      </c>
      <c r="Y432" s="8">
        <f t="shared" si="160"/>
        <v>0.5689473090626046</v>
      </c>
      <c r="Z432" s="27">
        <f t="shared" si="161"/>
        <v>0.21234493870692839</v>
      </c>
      <c r="AA432" s="27"/>
      <c r="AB432" s="27"/>
      <c r="AC432" s="56">
        <f t="shared" si="166"/>
        <v>6.3407561894478232E-3</v>
      </c>
      <c r="AD432" s="20">
        <f t="shared" si="173"/>
        <v>4154315.85</v>
      </c>
      <c r="AE432" s="20">
        <f t="shared" si="167"/>
        <v>802646.55</v>
      </c>
      <c r="AF432" s="20">
        <f t="shared" si="168"/>
        <v>2886401586.1500001</v>
      </c>
      <c r="AG432">
        <f t="shared" si="169"/>
        <v>28128351.600000001</v>
      </c>
      <c r="AH432">
        <f t="shared" si="170"/>
        <v>31253724</v>
      </c>
      <c r="AI432">
        <f t="shared" si="171"/>
        <v>23335874023.32</v>
      </c>
    </row>
    <row r="433" spans="1:35" x14ac:dyDescent="0.25">
      <c r="B433" s="4">
        <v>2025</v>
      </c>
      <c r="C433" s="4" t="s">
        <v>22</v>
      </c>
      <c r="D433" s="1" t="s">
        <v>34</v>
      </c>
      <c r="E433" s="4" t="str">
        <f t="shared" si="155"/>
        <v>ConEd-NY</v>
      </c>
      <c r="F433" s="4" t="s">
        <v>135</v>
      </c>
      <c r="G433" s="4"/>
      <c r="H433" s="11" t="s">
        <v>361</v>
      </c>
      <c r="I433" s="4"/>
      <c r="J433" s="4" t="s">
        <v>142</v>
      </c>
      <c r="K433" s="22">
        <v>290400</v>
      </c>
      <c r="L433" s="5">
        <f>K433/_xlfn.XLOOKUP(C433,'Utility target list'!$K$2:$K$8,'Utility target list'!$L$2:$L$8,1,0,1)</f>
        <v>322666.66666666669</v>
      </c>
      <c r="M433" s="50">
        <v>3367617</v>
      </c>
      <c r="N433" s="8">
        <v>664013</v>
      </c>
      <c r="O433" s="8">
        <f>SUMIFS(EIAwtransport!$J$2:$J$675,EIAwtransport!$E$2:$E$675,Program_data!$E433,EIAwtransport!$H$2:$H$675,Program_data!$F433,EIAwtransport!$I$2:$I$675,Program_data!O$2)</f>
        <v>1531513483</v>
      </c>
      <c r="P433" s="5">
        <f>SUMIFS(EIAwtransport!$J$2:$J$675,EIAwtransport!$E$2:$E$675,Program_data!$E433,EIAwtransport!$H$2:$H$675,Program_data!$F433,EIAwtransport!$I$2:$I$675,Program_data!P$2)</f>
        <v>100026584</v>
      </c>
      <c r="Q433" s="5">
        <f>SUMIFS(EIAwtransport!$J$2:$J$675,EIAwtransport!$E$2:$E$675,Program_data!$E433,EIAwtransport!$H$2:$H$675,Program_data!$F433,EIAwtransport!$I$2:$I$675,Program_data!Q$2)</f>
        <v>922899</v>
      </c>
      <c r="R433" s="8">
        <f>SUMIFS(EIAwtransport!$J$2:$J$675,EIAwtransport!$E$2:$E$675,Program_data!$E433,EIAwtransport!$I$2:$I$675,Program_data!R$2)</f>
        <v>2138075249</v>
      </c>
      <c r="S433" s="5">
        <f>SUMIFS(EIAwtransport!$J$2:$J$675,EIAwtransport!$E$2:$E$675,Program_data!$E433,EIAwtransport!$I$2:$I$675,Program_data!S$2)</f>
        <v>221235059</v>
      </c>
      <c r="T433" s="5">
        <f>SUMIFS(EIAwtransport!$J$2:$J$675,EIAwtransport!$E$2:$E$675,Program_data!$E433,EIAwtransport!$I$2:$I$675,Program_data!T$2)</f>
        <v>1074774</v>
      </c>
      <c r="U433" s="24">
        <f t="shared" si="156"/>
        <v>1.2670183540343862E-4</v>
      </c>
      <c r="V433" s="24">
        <f t="shared" si="172"/>
        <v>1.4077981711493182E-4</v>
      </c>
      <c r="W433" s="24">
        <f t="shared" si="157"/>
        <v>1.5750694469593947E-3</v>
      </c>
      <c r="X433" s="25">
        <f t="shared" si="158"/>
        <v>1.4692949546688079E-3</v>
      </c>
      <c r="Y433" s="8">
        <f t="shared" si="160"/>
        <v>0.56550038538330949</v>
      </c>
      <c r="Z433" s="27">
        <f t="shared" si="161"/>
        <v>0.20732013179376935</v>
      </c>
      <c r="AA433" s="27"/>
      <c r="AB433" s="27"/>
      <c r="AC433" s="56">
        <f t="shared" si="166"/>
        <v>6.2323886464335657E-3</v>
      </c>
      <c r="AD433" s="20">
        <f t="shared" si="173"/>
        <v>4546282.95</v>
      </c>
      <c r="AE433" s="20">
        <f t="shared" si="167"/>
        <v>896417.55</v>
      </c>
      <c r="AF433" s="20">
        <f t="shared" si="168"/>
        <v>2886401586.1500001</v>
      </c>
      <c r="AG433">
        <f t="shared" si="169"/>
        <v>30631392</v>
      </c>
      <c r="AH433">
        <f t="shared" si="170"/>
        <v>34034880</v>
      </c>
      <c r="AI433">
        <f t="shared" si="171"/>
        <v>23335874023.32</v>
      </c>
    </row>
    <row r="434" spans="1:35" x14ac:dyDescent="0.25">
      <c r="B434" s="4">
        <v>2024</v>
      </c>
      <c r="C434" s="4" t="s">
        <v>22</v>
      </c>
      <c r="D434" s="1" t="s">
        <v>34</v>
      </c>
      <c r="E434" s="4" t="str">
        <f t="shared" si="155"/>
        <v>ConEd-NY</v>
      </c>
      <c r="F434" s="4" t="s">
        <v>135</v>
      </c>
      <c r="G434" s="4"/>
      <c r="H434" s="11" t="s">
        <v>362</v>
      </c>
      <c r="I434" s="4"/>
      <c r="J434" s="4" t="s">
        <v>21</v>
      </c>
      <c r="K434" s="5">
        <v>499539.99999999994</v>
      </c>
      <c r="L434" s="5">
        <f>K434/_xlfn.XLOOKUP(C434,'Utility target list'!$K$2:$K$8,'Utility target list'!$L$2:$L$8,1,0,1)</f>
        <v>555044.44444444438</v>
      </c>
      <c r="M434" s="8">
        <v>1786023</v>
      </c>
      <c r="N434" s="8">
        <v>706968</v>
      </c>
      <c r="O434" s="8">
        <f>SUMIFS(EIAwtransport!$J$2:$J$675,EIAwtransport!$E$2:$E$675,Program_data!$E434,EIAwtransport!$H$2:$H$675,Program_data!$F434,EIAwtransport!$I$2:$I$675,Program_data!O$2)</f>
        <v>1531513483</v>
      </c>
      <c r="P434" s="5">
        <f>SUMIFS(EIAwtransport!$J$2:$J$675,EIAwtransport!$E$2:$E$675,Program_data!$E434,EIAwtransport!$H$2:$H$675,Program_data!$F434,EIAwtransport!$I$2:$I$675,Program_data!P$2)</f>
        <v>100026584</v>
      </c>
      <c r="Q434" s="5">
        <f>SUMIFS(EIAwtransport!$J$2:$J$675,EIAwtransport!$E$2:$E$675,Program_data!$E434,EIAwtransport!$H$2:$H$675,Program_data!$F434,EIAwtransport!$I$2:$I$675,Program_data!Q$2)</f>
        <v>922899</v>
      </c>
      <c r="R434" s="8">
        <f>SUMIFS(EIAwtransport!$J$2:$J$675,EIAwtransport!$E$2:$E$675,Program_data!$E434,EIAwtransport!$I$2:$I$675,Program_data!R$2)</f>
        <v>2138075249</v>
      </c>
      <c r="S434" s="5">
        <f>SUMIFS(EIAwtransport!$J$2:$J$675,EIAwtransport!$E$2:$E$675,Program_data!$E434,EIAwtransport!$I$2:$I$675,Program_data!S$2)</f>
        <v>221235059</v>
      </c>
      <c r="T434" s="5">
        <f>SUMIFS(EIAwtransport!$J$2:$J$675,EIAwtransport!$E$2:$E$675,Program_data!$E434,EIAwtransport!$I$2:$I$675,Program_data!T$2)</f>
        <v>1074774</v>
      </c>
      <c r="U434" s="24">
        <f t="shared" si="156"/>
        <v>2.1794984455039161E-4</v>
      </c>
      <c r="V434" s="24">
        <f t="shared" si="172"/>
        <v>2.4216649394487956E-4</v>
      </c>
      <c r="W434" s="24">
        <f t="shared" si="157"/>
        <v>8.3534150672916749E-4</v>
      </c>
      <c r="X434" s="25">
        <f t="shared" si="158"/>
        <v>7.7924377469957185E-4</v>
      </c>
      <c r="Y434" s="8">
        <f t="shared" si="160"/>
        <v>0.33021237966169381</v>
      </c>
      <c r="Z434" s="27">
        <f t="shared" si="161"/>
        <v>0.12324327121796044</v>
      </c>
      <c r="AA434" s="27"/>
      <c r="AB434" s="27"/>
      <c r="AC434" s="56">
        <f t="shared" si="166"/>
        <v>1.1877831577893147E-2</v>
      </c>
      <c r="AD434" s="20">
        <f t="shared" si="173"/>
        <v>2411131.0500000003</v>
      </c>
      <c r="AE434" s="20">
        <f t="shared" si="167"/>
        <v>954406.8</v>
      </c>
      <c r="AF434" s="20">
        <f t="shared" si="168"/>
        <v>2886401586.1500001</v>
      </c>
      <c r="AG434">
        <f t="shared" si="169"/>
        <v>52691479.199999996</v>
      </c>
      <c r="AH434">
        <f t="shared" si="170"/>
        <v>58546087.999999993</v>
      </c>
      <c r="AI434">
        <f t="shared" si="171"/>
        <v>23335874023.32</v>
      </c>
    </row>
    <row r="435" spans="1:35" x14ac:dyDescent="0.25">
      <c r="B435" s="4">
        <v>2025</v>
      </c>
      <c r="C435" s="4" t="s">
        <v>22</v>
      </c>
      <c r="D435" s="1" t="s">
        <v>34</v>
      </c>
      <c r="E435" s="4" t="str">
        <f t="shared" si="155"/>
        <v>ConEd-NY</v>
      </c>
      <c r="F435" s="4" t="s">
        <v>135</v>
      </c>
      <c r="G435" s="4"/>
      <c r="H435" s="11" t="s">
        <v>362</v>
      </c>
      <c r="I435" s="4"/>
      <c r="J435" s="4" t="s">
        <v>142</v>
      </c>
      <c r="K435" s="5">
        <v>543990</v>
      </c>
      <c r="L435" s="5">
        <f>K435/_xlfn.XLOOKUP(C435,'Utility target list'!$K$2:$K$8,'Utility target list'!$L$2:$L$8,1,0,1)</f>
        <v>604433.33333333337</v>
      </c>
      <c r="M435" s="8">
        <v>1964619</v>
      </c>
      <c r="N435" s="8">
        <v>789561</v>
      </c>
      <c r="O435" s="8">
        <f>SUMIFS(EIAwtransport!$J$2:$J$675,EIAwtransport!$E$2:$E$675,Program_data!$E435,EIAwtransport!$H$2:$H$675,Program_data!$F435,EIAwtransport!$I$2:$I$675,Program_data!O$2)</f>
        <v>1531513483</v>
      </c>
      <c r="P435" s="5">
        <f>SUMIFS(EIAwtransport!$J$2:$J$675,EIAwtransport!$E$2:$E$675,Program_data!$E435,EIAwtransport!$H$2:$H$675,Program_data!$F435,EIAwtransport!$I$2:$I$675,Program_data!P$2)</f>
        <v>100026584</v>
      </c>
      <c r="Q435" s="5">
        <f>SUMIFS(EIAwtransport!$J$2:$J$675,EIAwtransport!$E$2:$E$675,Program_data!$E435,EIAwtransport!$H$2:$H$675,Program_data!$F435,EIAwtransport!$I$2:$I$675,Program_data!Q$2)</f>
        <v>922899</v>
      </c>
      <c r="R435" s="8">
        <f>SUMIFS(EIAwtransport!$J$2:$J$675,EIAwtransport!$E$2:$E$675,Program_data!$E435,EIAwtransport!$I$2:$I$675,Program_data!R$2)</f>
        <v>2138075249</v>
      </c>
      <c r="S435" s="5">
        <f>SUMIFS(EIAwtransport!$J$2:$J$675,EIAwtransport!$E$2:$E$675,Program_data!$E435,EIAwtransport!$I$2:$I$675,Program_data!S$2)</f>
        <v>221235059</v>
      </c>
      <c r="T435" s="5">
        <f>SUMIFS(EIAwtransport!$J$2:$J$675,EIAwtransport!$E$2:$E$675,Program_data!$E435,EIAwtransport!$I$2:$I$675,Program_data!T$2)</f>
        <v>1074774</v>
      </c>
      <c r="U435" s="24">
        <f t="shared" si="156"/>
        <v>2.3734342782753644E-4</v>
      </c>
      <c r="V435" s="24">
        <f t="shared" si="172"/>
        <v>2.637149198083738E-4</v>
      </c>
      <c r="W435" s="24">
        <f t="shared" si="157"/>
        <v>9.1887271082665247E-4</v>
      </c>
      <c r="X435" s="25">
        <f t="shared" si="158"/>
        <v>8.5716540347268659E-4</v>
      </c>
      <c r="Y435" s="8">
        <f t="shared" si="160"/>
        <v>0.32990473727605368</v>
      </c>
      <c r="Z435" s="27">
        <f t="shared" si="161"/>
        <v>0.12094756321890029</v>
      </c>
      <c r="AA435" s="27"/>
      <c r="AB435" s="27"/>
      <c r="AC435" s="56">
        <f t="shared" si="166"/>
        <v>1.1674783401423538E-2</v>
      </c>
      <c r="AD435" s="20">
        <f t="shared" si="173"/>
        <v>2652235.6500000004</v>
      </c>
      <c r="AE435" s="20">
        <f t="shared" si="167"/>
        <v>1065907.3500000001</v>
      </c>
      <c r="AF435" s="20">
        <f t="shared" si="168"/>
        <v>2886401586.1500001</v>
      </c>
      <c r="AG435">
        <f t="shared" si="169"/>
        <v>57380065.200000003</v>
      </c>
      <c r="AH435">
        <f t="shared" si="170"/>
        <v>63755628.000000007</v>
      </c>
      <c r="AI435">
        <f t="shared" si="171"/>
        <v>23335874023.32</v>
      </c>
    </row>
    <row r="436" spans="1:35" x14ac:dyDescent="0.25">
      <c r="B436" s="4">
        <v>2024</v>
      </c>
      <c r="C436" s="4" t="s">
        <v>22</v>
      </c>
      <c r="D436" s="1" t="s">
        <v>34</v>
      </c>
      <c r="E436" s="4" t="str">
        <f t="shared" si="155"/>
        <v>ConEd-NY</v>
      </c>
      <c r="F436" s="4" t="s">
        <v>135</v>
      </c>
      <c r="G436" s="4"/>
      <c r="H436" s="11" t="s">
        <v>363</v>
      </c>
      <c r="I436" s="4"/>
      <c r="J436" s="4" t="s">
        <v>27</v>
      </c>
      <c r="K436" s="5">
        <v>137140</v>
      </c>
      <c r="L436" s="5">
        <f>K436/_xlfn.XLOOKUP(C436,'Utility target list'!$K$2:$K$8,'Utility target list'!$L$2:$L$8,1,0,1)</f>
        <v>152377.77777777778</v>
      </c>
      <c r="M436" s="8">
        <v>764736</v>
      </c>
      <c r="N436" s="8">
        <v>764736</v>
      </c>
      <c r="O436" s="8">
        <f>SUMIFS(EIAwtransport!$J$2:$J$675,EIAwtransport!$E$2:$E$675,Program_data!$E436,EIAwtransport!$H$2:$H$675,Program_data!$F436,EIAwtransport!$I$2:$I$675,Program_data!O$2)</f>
        <v>1531513483</v>
      </c>
      <c r="P436" s="5">
        <f>SUMIFS(EIAwtransport!$J$2:$J$675,EIAwtransport!$E$2:$E$675,Program_data!$E436,EIAwtransport!$H$2:$H$675,Program_data!$F436,EIAwtransport!$I$2:$I$675,Program_data!P$2)</f>
        <v>100026584</v>
      </c>
      <c r="Q436" s="5">
        <f>SUMIFS(EIAwtransport!$J$2:$J$675,EIAwtransport!$E$2:$E$675,Program_data!$E436,EIAwtransport!$H$2:$H$675,Program_data!$F436,EIAwtransport!$I$2:$I$675,Program_data!Q$2)</f>
        <v>922899</v>
      </c>
      <c r="R436" s="8">
        <f>SUMIFS(EIAwtransport!$J$2:$J$675,EIAwtransport!$E$2:$E$675,Program_data!$E436,EIAwtransport!$I$2:$I$675,Program_data!R$2)</f>
        <v>2138075249</v>
      </c>
      <c r="S436" s="5">
        <f>SUMIFS(EIAwtransport!$J$2:$J$675,EIAwtransport!$E$2:$E$675,Program_data!$E436,EIAwtransport!$I$2:$I$675,Program_data!S$2)</f>
        <v>221235059</v>
      </c>
      <c r="T436" s="5">
        <f>SUMIFS(EIAwtransport!$J$2:$J$675,EIAwtransport!$E$2:$E$675,Program_data!$E436,EIAwtransport!$I$2:$I$675,Program_data!T$2)</f>
        <v>1074774</v>
      </c>
      <c r="U436" s="24">
        <f t="shared" si="156"/>
        <v>5.983433094775335E-5</v>
      </c>
      <c r="V436" s="24">
        <f t="shared" si="172"/>
        <v>6.6482589941948162E-5</v>
      </c>
      <c r="W436" s="24">
        <f t="shared" si="157"/>
        <v>3.576749697456509E-4</v>
      </c>
      <c r="X436" s="25">
        <f t="shared" si="158"/>
        <v>3.3365514737976597E-4</v>
      </c>
      <c r="Y436" s="8">
        <f t="shared" si="160"/>
        <v>0.14138972139382588</v>
      </c>
      <c r="Z436" s="27">
        <f t="shared" si="161"/>
        <v>5.2770074214127251E-2</v>
      </c>
      <c r="AA436" s="27"/>
      <c r="AB436" s="27"/>
      <c r="AC436" s="56">
        <f t="shared" si="166"/>
        <v>3.2608516286829208E-3</v>
      </c>
      <c r="AD436" s="20">
        <f t="shared" si="173"/>
        <v>1032393.6000000001</v>
      </c>
      <c r="AE436" s="20">
        <f t="shared" si="167"/>
        <v>1032393.6000000001</v>
      </c>
      <c r="AF436" s="20">
        <f t="shared" si="168"/>
        <v>2886401586.1500001</v>
      </c>
      <c r="AG436">
        <f t="shared" si="169"/>
        <v>14465527.200000001</v>
      </c>
      <c r="AH436">
        <f t="shared" si="170"/>
        <v>16072808.000000002</v>
      </c>
      <c r="AI436">
        <f t="shared" si="171"/>
        <v>23335874023.32</v>
      </c>
    </row>
    <row r="437" spans="1:35" x14ac:dyDescent="0.25">
      <c r="B437" s="4">
        <v>2025</v>
      </c>
      <c r="C437" s="4" t="s">
        <v>22</v>
      </c>
      <c r="D437" s="1" t="s">
        <v>34</v>
      </c>
      <c r="E437" s="4" t="str">
        <f t="shared" si="155"/>
        <v>ConEd-NY</v>
      </c>
      <c r="F437" s="4" t="s">
        <v>135</v>
      </c>
      <c r="G437" s="4"/>
      <c r="H437" s="11" t="s">
        <v>363</v>
      </c>
      <c r="I437" s="4"/>
      <c r="J437" s="4" t="s">
        <v>27</v>
      </c>
      <c r="K437" s="5">
        <v>149350</v>
      </c>
      <c r="L437" s="5">
        <f>K437/_xlfn.XLOOKUP(C437,'Utility target list'!$K$2:$K$8,'Utility target list'!$L$2:$L$8,1,0,1)</f>
        <v>165944.44444444444</v>
      </c>
      <c r="M437" s="8">
        <v>854078</v>
      </c>
      <c r="N437" s="8">
        <v>854078</v>
      </c>
      <c r="O437" s="8">
        <f>SUMIFS(EIAwtransport!$J$2:$J$675,EIAwtransport!$E$2:$E$675,Program_data!$E437,EIAwtransport!$H$2:$H$675,Program_data!$F437,EIAwtransport!$I$2:$I$675,Program_data!O$2)</f>
        <v>1531513483</v>
      </c>
      <c r="P437" s="5">
        <f>SUMIFS(EIAwtransport!$J$2:$J$675,EIAwtransport!$E$2:$E$675,Program_data!$E437,EIAwtransport!$H$2:$H$675,Program_data!$F437,EIAwtransport!$I$2:$I$675,Program_data!P$2)</f>
        <v>100026584</v>
      </c>
      <c r="Q437" s="5">
        <f>SUMIFS(EIAwtransport!$J$2:$J$675,EIAwtransport!$E$2:$E$675,Program_data!$E437,EIAwtransport!$H$2:$H$675,Program_data!$F437,EIAwtransport!$I$2:$I$675,Program_data!Q$2)</f>
        <v>922899</v>
      </c>
      <c r="R437" s="8">
        <f>SUMIFS(EIAwtransport!$J$2:$J$675,EIAwtransport!$E$2:$E$675,Program_data!$E437,EIAwtransport!$I$2:$I$675,Program_data!R$2)</f>
        <v>2138075249</v>
      </c>
      <c r="S437" s="5">
        <f>SUMIFS(EIAwtransport!$J$2:$J$675,EIAwtransport!$E$2:$E$675,Program_data!$E437,EIAwtransport!$I$2:$I$675,Program_data!S$2)</f>
        <v>221235059</v>
      </c>
      <c r="T437" s="5">
        <f>SUMIFS(EIAwtransport!$J$2:$J$675,EIAwtransport!$E$2:$E$675,Program_data!$E437,EIAwtransport!$I$2:$I$675,Program_data!T$2)</f>
        <v>1074774</v>
      </c>
      <c r="U437" s="24">
        <f t="shared" si="156"/>
        <v>6.5161567209034293E-5</v>
      </c>
      <c r="V437" s="24">
        <f t="shared" si="172"/>
        <v>7.240174134337143E-5</v>
      </c>
      <c r="W437" s="24">
        <f t="shared" si="157"/>
        <v>3.9946115105137723E-4</v>
      </c>
      <c r="X437" s="25">
        <f t="shared" si="158"/>
        <v>3.7263515901411179E-4</v>
      </c>
      <c r="Y437" s="8">
        <f t="shared" si="160"/>
        <v>0.14341934909682608</v>
      </c>
      <c r="Z437" s="27">
        <f t="shared" si="161"/>
        <v>5.2579483807736728E-2</v>
      </c>
      <c r="AA437" s="27"/>
      <c r="AB437" s="27"/>
      <c r="AC437" s="56">
        <f t="shared" si="166"/>
        <v>3.2052591058707061E-3</v>
      </c>
      <c r="AD437" s="20">
        <f t="shared" si="173"/>
        <v>1153005.3</v>
      </c>
      <c r="AE437" s="20">
        <f t="shared" si="167"/>
        <v>1153005.3</v>
      </c>
      <c r="AF437" s="20">
        <f t="shared" si="168"/>
        <v>2886401586.1500001</v>
      </c>
      <c r="AG437">
        <f t="shared" si="169"/>
        <v>15753438</v>
      </c>
      <c r="AH437">
        <f t="shared" si="170"/>
        <v>17503820</v>
      </c>
      <c r="AI437">
        <f t="shared" si="171"/>
        <v>23335874023.32</v>
      </c>
    </row>
    <row r="438" spans="1:35" x14ac:dyDescent="0.25">
      <c r="B438" s="4">
        <v>2024</v>
      </c>
      <c r="C438" s="4" t="s">
        <v>22</v>
      </c>
      <c r="D438" s="1" t="s">
        <v>34</v>
      </c>
      <c r="E438" s="4" t="str">
        <f t="shared" si="155"/>
        <v>ConEd-NY</v>
      </c>
      <c r="F438" s="4" t="s">
        <v>135</v>
      </c>
      <c r="G438" s="4"/>
      <c r="H438" s="11" t="s">
        <v>364</v>
      </c>
      <c r="I438" s="4"/>
      <c r="J438" s="4" t="s">
        <v>157</v>
      </c>
      <c r="K438" s="5">
        <v>761920</v>
      </c>
      <c r="L438" s="5">
        <f>K438/_xlfn.XLOOKUP(C438,'Utility target list'!$K$2:$K$8,'Utility target list'!$L$2:$L$8,1,0,1)</f>
        <v>846577.77777777775</v>
      </c>
      <c r="M438" s="8">
        <v>631612</v>
      </c>
      <c r="N438" s="8"/>
      <c r="O438" s="8">
        <f>SUMIFS(EIAwtransport!$J$2:$J$675,EIAwtransport!$E$2:$E$675,Program_data!$E438,EIAwtransport!$H$2:$H$675,Program_data!$F438,EIAwtransport!$I$2:$I$675,Program_data!O$2)</f>
        <v>1531513483</v>
      </c>
      <c r="P438" s="5">
        <f>SUMIFS(EIAwtransport!$J$2:$J$675,EIAwtransport!$E$2:$E$675,Program_data!$E438,EIAwtransport!$H$2:$H$675,Program_data!$F438,EIAwtransport!$I$2:$I$675,Program_data!P$2)</f>
        <v>100026584</v>
      </c>
      <c r="Q438" s="5">
        <f>SUMIFS(EIAwtransport!$J$2:$J$675,EIAwtransport!$E$2:$E$675,Program_data!$E438,EIAwtransport!$H$2:$H$675,Program_data!$F438,EIAwtransport!$I$2:$I$675,Program_data!Q$2)</f>
        <v>922899</v>
      </c>
      <c r="R438" s="8">
        <f>SUMIFS(EIAwtransport!$J$2:$J$675,EIAwtransport!$E$2:$E$675,Program_data!$E438,EIAwtransport!$I$2:$I$675,Program_data!R$2)</f>
        <v>2138075249</v>
      </c>
      <c r="S438" s="5">
        <f>SUMIFS(EIAwtransport!$J$2:$J$675,EIAwtransport!$E$2:$E$675,Program_data!$E438,EIAwtransport!$I$2:$I$675,Program_data!S$2)</f>
        <v>221235059</v>
      </c>
      <c r="T438" s="5">
        <f>SUMIFS(EIAwtransport!$J$2:$J$675,EIAwtransport!$E$2:$E$675,Program_data!$E438,EIAwtransport!$I$2:$I$675,Program_data!T$2)</f>
        <v>1074774</v>
      </c>
      <c r="U438" s="24">
        <f t="shared" si="156"/>
        <v>3.3242652352130842E-4</v>
      </c>
      <c r="V438" s="24">
        <f t="shared" si="172"/>
        <v>3.6936280391256486E-4</v>
      </c>
      <c r="W438" s="24">
        <f t="shared" si="157"/>
        <v>2.9541149232021252E-4</v>
      </c>
      <c r="X438" s="25">
        <f t="shared" si="158"/>
        <v>2.7557300159379024E-4</v>
      </c>
      <c r="Y438" s="8">
        <f t="shared" si="160"/>
        <v>0.11677682848590515</v>
      </c>
      <c r="Z438" s="27">
        <f t="shared" si="161"/>
        <v>4.3583945458999365E-2</v>
      </c>
      <c r="AA438" s="27"/>
      <c r="AB438" s="27"/>
      <c r="AC438" s="56">
        <f t="shared" si="166"/>
        <v>1.8116582127213732E-2</v>
      </c>
      <c r="AD438" s="20">
        <f t="shared" si="173"/>
        <v>852676.20000000007</v>
      </c>
      <c r="AE438" s="20">
        <f t="shared" si="167"/>
        <v>0</v>
      </c>
      <c r="AF438" s="20">
        <f t="shared" si="168"/>
        <v>2886401586.1500001</v>
      </c>
      <c r="AG438">
        <f t="shared" si="169"/>
        <v>80367321.600000009</v>
      </c>
      <c r="AH438">
        <f t="shared" si="170"/>
        <v>89297024</v>
      </c>
      <c r="AI438">
        <f t="shared" si="171"/>
        <v>23335874023.32</v>
      </c>
    </row>
    <row r="439" spans="1:35" x14ac:dyDescent="0.25">
      <c r="B439" s="4">
        <v>2025</v>
      </c>
      <c r="C439" s="4" t="s">
        <v>22</v>
      </c>
      <c r="D439" s="1" t="s">
        <v>34</v>
      </c>
      <c r="E439" s="4" t="str">
        <f t="shared" si="155"/>
        <v>ConEd-NY</v>
      </c>
      <c r="F439" s="4" t="s">
        <v>135</v>
      </c>
      <c r="G439" s="4"/>
      <c r="H439" s="11" t="s">
        <v>364</v>
      </c>
      <c r="I439" s="4"/>
      <c r="J439" s="4" t="s">
        <v>142</v>
      </c>
      <c r="K439" s="5">
        <v>829700</v>
      </c>
      <c r="L439" s="5">
        <f>K439/_xlfn.XLOOKUP(C439,'Utility target list'!$K$2:$K$8,'Utility target list'!$L$2:$L$8,1,0,1)</f>
        <v>921888.88888888888</v>
      </c>
      <c r="M439" s="8">
        <v>687480</v>
      </c>
      <c r="N439" s="8"/>
      <c r="O439" s="8">
        <f>SUMIFS(EIAwtransport!$J$2:$J$675,EIAwtransport!$E$2:$E$675,Program_data!$E439,EIAwtransport!$H$2:$H$675,Program_data!$F439,EIAwtransport!$I$2:$I$675,Program_data!O$2)</f>
        <v>1531513483</v>
      </c>
      <c r="P439" s="5">
        <f>SUMIFS(EIAwtransport!$J$2:$J$675,EIAwtransport!$E$2:$E$675,Program_data!$E439,EIAwtransport!$H$2:$H$675,Program_data!$F439,EIAwtransport!$I$2:$I$675,Program_data!P$2)</f>
        <v>100026584</v>
      </c>
      <c r="Q439" s="5">
        <f>SUMIFS(EIAwtransport!$J$2:$J$675,EIAwtransport!$E$2:$E$675,Program_data!$E439,EIAwtransport!$H$2:$H$675,Program_data!$F439,EIAwtransport!$I$2:$I$675,Program_data!Q$2)</f>
        <v>922899</v>
      </c>
      <c r="R439" s="8">
        <f>SUMIFS(EIAwtransport!$J$2:$J$675,EIAwtransport!$E$2:$E$675,Program_data!$E439,EIAwtransport!$I$2:$I$675,Program_data!R$2)</f>
        <v>2138075249</v>
      </c>
      <c r="S439" s="5">
        <f>SUMIFS(EIAwtransport!$J$2:$J$675,EIAwtransport!$E$2:$E$675,Program_data!$E439,EIAwtransport!$I$2:$I$675,Program_data!S$2)</f>
        <v>221235059</v>
      </c>
      <c r="T439" s="5">
        <f>SUMIFS(EIAwtransport!$J$2:$J$675,EIAwtransport!$E$2:$E$675,Program_data!$E439,EIAwtransport!$I$2:$I$675,Program_data!T$2)</f>
        <v>1074774</v>
      </c>
      <c r="U439" s="24">
        <f t="shared" si="156"/>
        <v>3.6199901113716606E-4</v>
      </c>
      <c r="V439" s="24">
        <f t="shared" si="172"/>
        <v>4.022211234857401E-4</v>
      </c>
      <c r="W439" s="24">
        <f t="shared" si="157"/>
        <v>3.215415361650819E-4</v>
      </c>
      <c r="X439" s="25">
        <f t="shared" si="158"/>
        <v>2.9994827067202475E-4</v>
      </c>
      <c r="Y439" s="8">
        <f t="shared" si="160"/>
        <v>0.11544371136721236</v>
      </c>
      <c r="Z439" s="27">
        <f t="shared" si="161"/>
        <v>4.2323234561881758E-2</v>
      </c>
      <c r="AA439" s="27"/>
      <c r="AB439" s="27"/>
      <c r="AC439" s="56">
        <f t="shared" si="166"/>
        <v>1.7806518112761467E-2</v>
      </c>
      <c r="AD439" s="20">
        <f t="shared" si="173"/>
        <v>928098.00000000012</v>
      </c>
      <c r="AE439" s="20">
        <f t="shared" si="167"/>
        <v>0</v>
      </c>
      <c r="AF439" s="20">
        <f t="shared" si="168"/>
        <v>2886401586.1500001</v>
      </c>
      <c r="AG439">
        <f t="shared" si="169"/>
        <v>87516756</v>
      </c>
      <c r="AH439">
        <f t="shared" si="170"/>
        <v>97240840</v>
      </c>
      <c r="AI439">
        <f t="shared" si="171"/>
        <v>23335874023.32</v>
      </c>
    </row>
    <row r="440" spans="1:35" x14ac:dyDescent="0.25">
      <c r="B440" s="4">
        <v>2024</v>
      </c>
      <c r="C440" s="4" t="s">
        <v>22</v>
      </c>
      <c r="D440" s="1" t="s">
        <v>34</v>
      </c>
      <c r="E440" s="4" t="str">
        <f t="shared" si="155"/>
        <v>ConEd-NY</v>
      </c>
      <c r="F440" s="4" t="s">
        <v>135</v>
      </c>
      <c r="G440" s="4"/>
      <c r="H440" s="11" t="s">
        <v>365</v>
      </c>
      <c r="I440" s="4"/>
      <c r="J440" s="4" t="s">
        <v>21</v>
      </c>
      <c r="K440" s="5">
        <v>170000</v>
      </c>
      <c r="L440" s="5">
        <f>K440/_xlfn.XLOOKUP(C440,'Utility target list'!$K$2:$K$8,'Utility target list'!$L$2:$L$8,1,0,1)</f>
        <v>188888.88888888888</v>
      </c>
      <c r="M440" s="8">
        <v>505172</v>
      </c>
      <c r="N440" s="8">
        <v>308204</v>
      </c>
      <c r="O440" s="8">
        <f>SUMIFS(EIAwtransport!$J$2:$J$675,EIAwtransport!$E$2:$E$675,Program_data!$E440,EIAwtransport!$H$2:$H$675,Program_data!$F440,EIAwtransport!$I$2:$I$675,Program_data!O$2)</f>
        <v>1531513483</v>
      </c>
      <c r="P440" s="5">
        <f>SUMIFS(EIAwtransport!$J$2:$J$675,EIAwtransport!$E$2:$E$675,Program_data!$E440,EIAwtransport!$H$2:$H$675,Program_data!$F440,EIAwtransport!$I$2:$I$675,Program_data!P$2)</f>
        <v>100026584</v>
      </c>
      <c r="Q440" s="5">
        <f>SUMIFS(EIAwtransport!$J$2:$J$675,EIAwtransport!$E$2:$E$675,Program_data!$E440,EIAwtransport!$H$2:$H$675,Program_data!$F440,EIAwtransport!$I$2:$I$675,Program_data!Q$2)</f>
        <v>922899</v>
      </c>
      <c r="R440" s="8">
        <f>SUMIFS(EIAwtransport!$J$2:$J$675,EIAwtransport!$E$2:$E$675,Program_data!$E440,EIAwtransport!$I$2:$I$675,Program_data!R$2)</f>
        <v>2138075249</v>
      </c>
      <c r="S440" s="5">
        <f>SUMIFS(EIAwtransport!$J$2:$J$675,EIAwtransport!$E$2:$E$675,Program_data!$E440,EIAwtransport!$I$2:$I$675,Program_data!S$2)</f>
        <v>221235059</v>
      </c>
      <c r="T440" s="5">
        <f>SUMIFS(EIAwtransport!$J$2:$J$675,EIAwtransport!$E$2:$E$675,Program_data!$E440,EIAwtransport!$I$2:$I$675,Program_data!T$2)</f>
        <v>1074774</v>
      </c>
      <c r="U440" s="24">
        <f t="shared" si="156"/>
        <v>7.417118463699919E-5</v>
      </c>
      <c r="V440" s="24">
        <f t="shared" si="172"/>
        <v>8.2412427374443543E-5</v>
      </c>
      <c r="W440" s="24">
        <f t="shared" si="157"/>
        <v>2.362741911147768E-4</v>
      </c>
      <c r="X440" s="25">
        <f t="shared" si="158"/>
        <v>2.204070922673068E-4</v>
      </c>
      <c r="Y440" s="8">
        <f t="shared" si="160"/>
        <v>9.3399720081128401E-2</v>
      </c>
      <c r="Z440" s="27">
        <f t="shared" si="161"/>
        <v>3.4859041461235106E-2</v>
      </c>
      <c r="AA440" s="27"/>
      <c r="AB440" s="27"/>
      <c r="AC440" s="56">
        <f t="shared" si="166"/>
        <v>4.0421815435036932E-3</v>
      </c>
      <c r="AD440" s="20">
        <f t="shared" si="173"/>
        <v>681982.20000000007</v>
      </c>
      <c r="AE440" s="20">
        <f t="shared" si="167"/>
        <v>416075.4</v>
      </c>
      <c r="AF440" s="20">
        <f t="shared" si="168"/>
        <v>2886401586.1500001</v>
      </c>
      <c r="AG440">
        <f t="shared" ref="AG440:AG503" si="178">K440*105.48</f>
        <v>17931600</v>
      </c>
      <c r="AH440">
        <f t="shared" ref="AH440:AH503" si="179">L440*105.48</f>
        <v>19924000</v>
      </c>
      <c r="AI440">
        <f t="shared" ref="AI440:AI503" si="180">S440*105.48</f>
        <v>23335874023.32</v>
      </c>
    </row>
    <row r="441" spans="1:35" x14ac:dyDescent="0.25">
      <c r="B441" s="4">
        <v>2025</v>
      </c>
      <c r="C441" s="4" t="s">
        <v>22</v>
      </c>
      <c r="D441" s="1" t="s">
        <v>34</v>
      </c>
      <c r="E441" s="4" t="str">
        <f t="shared" si="155"/>
        <v>ConEd-NY</v>
      </c>
      <c r="F441" s="4" t="s">
        <v>135</v>
      </c>
      <c r="G441" s="4"/>
      <c r="H441" s="11" t="s">
        <v>365</v>
      </c>
      <c r="I441" s="4"/>
      <c r="J441" s="4" t="s">
        <v>142</v>
      </c>
      <c r="K441" s="5">
        <v>170000</v>
      </c>
      <c r="L441" s="5">
        <f>K441/_xlfn.XLOOKUP(C441,'Utility target list'!$K$2:$K$8,'Utility target list'!$L$2:$L$8,1,0,1)</f>
        <v>188888.88888888888</v>
      </c>
      <c r="M441" s="8">
        <v>513057</v>
      </c>
      <c r="N441" s="8">
        <v>316088</v>
      </c>
      <c r="O441" s="8">
        <f>SUMIFS(EIAwtransport!$J$2:$J$675,EIAwtransport!$E$2:$E$675,Program_data!$E441,EIAwtransport!$H$2:$H$675,Program_data!$F441,EIAwtransport!$I$2:$I$675,Program_data!O$2)</f>
        <v>1531513483</v>
      </c>
      <c r="P441" s="5">
        <f>SUMIFS(EIAwtransport!$J$2:$J$675,EIAwtransport!$E$2:$E$675,Program_data!$E441,EIAwtransport!$H$2:$H$675,Program_data!$F441,EIAwtransport!$I$2:$I$675,Program_data!P$2)</f>
        <v>100026584</v>
      </c>
      <c r="Q441" s="5">
        <f>SUMIFS(EIAwtransport!$J$2:$J$675,EIAwtransport!$E$2:$E$675,Program_data!$E441,EIAwtransport!$H$2:$H$675,Program_data!$F441,EIAwtransport!$I$2:$I$675,Program_data!Q$2)</f>
        <v>922899</v>
      </c>
      <c r="R441" s="8">
        <f>SUMIFS(EIAwtransport!$J$2:$J$675,EIAwtransport!$E$2:$E$675,Program_data!$E441,EIAwtransport!$I$2:$I$675,Program_data!R$2)</f>
        <v>2138075249</v>
      </c>
      <c r="S441" s="5">
        <f>SUMIFS(EIAwtransport!$J$2:$J$675,EIAwtransport!$E$2:$E$675,Program_data!$E441,EIAwtransport!$I$2:$I$675,Program_data!S$2)</f>
        <v>221235059</v>
      </c>
      <c r="T441" s="5">
        <f>SUMIFS(EIAwtransport!$J$2:$J$675,EIAwtransport!$E$2:$E$675,Program_data!$E441,EIAwtransport!$I$2:$I$675,Program_data!T$2)</f>
        <v>1074774</v>
      </c>
      <c r="U441" s="24">
        <f t="shared" si="156"/>
        <v>7.417118463699919E-5</v>
      </c>
      <c r="V441" s="24">
        <f t="shared" si="172"/>
        <v>8.2412427374443543E-5</v>
      </c>
      <c r="W441" s="24">
        <f t="shared" si="157"/>
        <v>2.3996208750836159E-4</v>
      </c>
      <c r="X441" s="25">
        <f t="shared" si="158"/>
        <v>2.2384732633120528E-4</v>
      </c>
      <c r="Y441" s="8">
        <f t="shared" si="160"/>
        <v>8.6154076079199213E-2</v>
      </c>
      <c r="Z441" s="27">
        <f t="shared" si="161"/>
        <v>3.1585255941431557E-2</v>
      </c>
      <c r="AA441" s="27"/>
      <c r="AB441" s="27"/>
      <c r="AC441" s="56">
        <f t="shared" si="166"/>
        <v>3.648436879799264E-3</v>
      </c>
      <c r="AD441" s="20">
        <f t="shared" si="173"/>
        <v>692626.95000000007</v>
      </c>
      <c r="AE441" s="20">
        <f t="shared" si="167"/>
        <v>426718.80000000005</v>
      </c>
      <c r="AF441" s="20">
        <f t="shared" si="168"/>
        <v>2886401586.1500001</v>
      </c>
      <c r="AG441">
        <f t="shared" si="178"/>
        <v>17931600</v>
      </c>
      <c r="AH441">
        <f t="shared" si="179"/>
        <v>19924000</v>
      </c>
      <c r="AI441">
        <f t="shared" si="180"/>
        <v>23335874023.32</v>
      </c>
    </row>
    <row r="442" spans="1:35" x14ac:dyDescent="0.25">
      <c r="B442" s="4">
        <v>2024</v>
      </c>
      <c r="C442" s="4" t="s">
        <v>22</v>
      </c>
      <c r="D442" s="1" t="s">
        <v>34</v>
      </c>
      <c r="E442" s="4" t="str">
        <f t="shared" si="155"/>
        <v>ConEd-NY</v>
      </c>
      <c r="F442" s="4" t="s">
        <v>135</v>
      </c>
      <c r="G442" s="4"/>
      <c r="H442" s="11" t="s">
        <v>366</v>
      </c>
      <c r="I442" s="4"/>
      <c r="J442" s="4" t="s">
        <v>21</v>
      </c>
      <c r="K442" s="5">
        <v>3360100</v>
      </c>
      <c r="L442" s="5">
        <f>K442/_xlfn.XLOOKUP(C442,'Utility target list'!$K$2:$K$8,'Utility target list'!$L$2:$L$8,1,0,1)</f>
        <v>3733444.4444444445</v>
      </c>
      <c r="M442" s="8">
        <v>15578536</v>
      </c>
      <c r="N442" s="8">
        <v>10795818</v>
      </c>
      <c r="O442" s="8">
        <f>SUMIFS(EIAwtransport!$J$2:$J$675,EIAwtransport!$E$2:$E$675,Program_data!$E442,EIAwtransport!$H$2:$H$675,Program_data!$F442,EIAwtransport!$I$2:$I$675,Program_data!O$2)</f>
        <v>1531513483</v>
      </c>
      <c r="P442" s="5">
        <f>SUMIFS(EIAwtransport!$J$2:$J$675,EIAwtransport!$E$2:$E$675,Program_data!$E442,EIAwtransport!$H$2:$H$675,Program_data!$F442,EIAwtransport!$I$2:$I$675,Program_data!P$2)</f>
        <v>100026584</v>
      </c>
      <c r="Q442" s="5">
        <f>SUMIFS(EIAwtransport!$J$2:$J$675,EIAwtransport!$E$2:$E$675,Program_data!$E442,EIAwtransport!$H$2:$H$675,Program_data!$F442,EIAwtransport!$I$2:$I$675,Program_data!Q$2)</f>
        <v>922899</v>
      </c>
      <c r="R442" s="8">
        <f>SUMIFS(EIAwtransport!$J$2:$J$675,EIAwtransport!$E$2:$E$675,Program_data!$E442,EIAwtransport!$I$2:$I$675,Program_data!R$2)</f>
        <v>2138075249</v>
      </c>
      <c r="S442" s="5">
        <f>SUMIFS(EIAwtransport!$J$2:$J$675,EIAwtransport!$E$2:$E$675,Program_data!$E442,EIAwtransport!$I$2:$I$675,Program_data!S$2)</f>
        <v>221235059</v>
      </c>
      <c r="T442" s="5">
        <f>SUMIFS(EIAwtransport!$J$2:$J$675,EIAwtransport!$E$2:$E$675,Program_data!$E442,EIAwtransport!$I$2:$I$675,Program_data!T$2)</f>
        <v>1074774</v>
      </c>
      <c r="U442" s="24">
        <f t="shared" si="156"/>
        <v>1.4660152794045941E-3</v>
      </c>
      <c r="V442" s="24">
        <f t="shared" si="172"/>
        <v>1.6289058660051046E-3</v>
      </c>
      <c r="W442" s="24">
        <f t="shared" si="157"/>
        <v>7.2862430858250862E-3</v>
      </c>
      <c r="X442" s="25">
        <f t="shared" si="158"/>
        <v>6.7969321766478755E-3</v>
      </c>
      <c r="Y442" s="8">
        <f t="shared" si="160"/>
        <v>2.8802683079699225</v>
      </c>
      <c r="Z442" s="27">
        <f t="shared" si="161"/>
        <v>1.0749860093776846</v>
      </c>
      <c r="AA442" s="27"/>
      <c r="AB442" s="27"/>
      <c r="AC442" s="56">
        <f t="shared" si="166"/>
        <v>7.989490708427506E-2</v>
      </c>
      <c r="AD442" t="s">
        <v>367</v>
      </c>
      <c r="AE442" s="20">
        <f t="shared" si="167"/>
        <v>14574354.300000001</v>
      </c>
      <c r="AF442" s="20">
        <f t="shared" si="168"/>
        <v>2886401586.1500001</v>
      </c>
      <c r="AG442">
        <f t="shared" si="178"/>
        <v>354423348</v>
      </c>
      <c r="AH442">
        <f t="shared" si="179"/>
        <v>393803720</v>
      </c>
      <c r="AI442">
        <f t="shared" si="180"/>
        <v>23335874023.32</v>
      </c>
    </row>
    <row r="443" spans="1:35" x14ac:dyDescent="0.25">
      <c r="B443" s="4">
        <v>2025</v>
      </c>
      <c r="C443" s="4" t="s">
        <v>22</v>
      </c>
      <c r="D443" s="1" t="s">
        <v>34</v>
      </c>
      <c r="E443" s="4" t="str">
        <f t="shared" si="155"/>
        <v>ConEd-NY</v>
      </c>
      <c r="F443" s="4" t="s">
        <v>135</v>
      </c>
      <c r="G443" s="4"/>
      <c r="H443" s="11" t="s">
        <v>366</v>
      </c>
      <c r="I443" s="4"/>
      <c r="J443" s="4" t="s">
        <v>142</v>
      </c>
      <c r="K443" s="5">
        <v>3739350</v>
      </c>
      <c r="L443" s="5">
        <f>K443/_xlfn.XLOOKUP(C443,'Utility target list'!$K$2:$K$8,'Utility target list'!$L$2:$L$8,1,0,1)</f>
        <v>4154833.333333333</v>
      </c>
      <c r="M443" s="8">
        <v>17265295</v>
      </c>
      <c r="N443" s="8">
        <v>5208234</v>
      </c>
      <c r="O443" s="8">
        <f>SUMIFS(EIAwtransport!$J$2:$J$675,EIAwtransport!$E$2:$E$675,Program_data!$E443,EIAwtransport!$H$2:$H$675,Program_data!$F443,EIAwtransport!$I$2:$I$675,Program_data!O$2)</f>
        <v>1531513483</v>
      </c>
      <c r="P443" s="5">
        <f>SUMIFS(EIAwtransport!$J$2:$J$675,EIAwtransport!$E$2:$E$675,Program_data!$E443,EIAwtransport!$H$2:$H$675,Program_data!$F443,EIAwtransport!$I$2:$I$675,Program_data!P$2)</f>
        <v>100026584</v>
      </c>
      <c r="Q443" s="5">
        <f>SUMIFS(EIAwtransport!$J$2:$J$675,EIAwtransport!$E$2:$E$675,Program_data!$E443,EIAwtransport!$H$2:$H$675,Program_data!$F443,EIAwtransport!$I$2:$I$675,Program_data!Q$2)</f>
        <v>922899</v>
      </c>
      <c r="R443" s="8">
        <f>SUMIFS(EIAwtransport!$J$2:$J$675,EIAwtransport!$E$2:$E$675,Program_data!$E443,EIAwtransport!$I$2:$I$675,Program_data!R$2)</f>
        <v>2138075249</v>
      </c>
      <c r="S443" s="5">
        <f>SUMIFS(EIAwtransport!$J$2:$J$675,EIAwtransport!$E$2:$E$675,Program_data!$E443,EIAwtransport!$I$2:$I$675,Program_data!S$2)</f>
        <v>221235059</v>
      </c>
      <c r="T443" s="5">
        <f>SUMIFS(EIAwtransport!$J$2:$J$675,EIAwtransport!$E$2:$E$675,Program_data!$E443,EIAwtransport!$I$2:$I$675,Program_data!T$2)</f>
        <v>1074774</v>
      </c>
      <c r="U443" s="24">
        <f t="shared" si="156"/>
        <v>1.6314824663080172E-3</v>
      </c>
      <c r="V443" s="24">
        <f t="shared" si="172"/>
        <v>1.8127582958977968E-3</v>
      </c>
      <c r="W443" s="24">
        <f t="shared" si="157"/>
        <v>8.0751577887986665E-3</v>
      </c>
      <c r="X443" s="25">
        <f t="shared" si="158"/>
        <v>7.5328669603368171E-3</v>
      </c>
      <c r="Y443" s="8">
        <f t="shared" si="160"/>
        <v>2.8992403162997831</v>
      </c>
      <c r="Z443" s="27">
        <f t="shared" si="161"/>
        <v>1.0629009281216679</v>
      </c>
      <c r="AA443" s="27"/>
      <c r="AB443" s="27"/>
      <c r="AC443" s="56">
        <f t="shared" si="166"/>
        <v>8.0251661449866923E-2</v>
      </c>
      <c r="AD443" t="s">
        <v>368</v>
      </c>
      <c r="AE443" s="20">
        <f t="shared" si="167"/>
        <v>7031115.9000000004</v>
      </c>
      <c r="AF443" s="20">
        <f t="shared" si="168"/>
        <v>2886401586.1500001</v>
      </c>
      <c r="AG443">
        <f t="shared" si="178"/>
        <v>394426638</v>
      </c>
      <c r="AH443">
        <f t="shared" si="179"/>
        <v>438251820</v>
      </c>
      <c r="AI443">
        <f t="shared" si="180"/>
        <v>23335874023.32</v>
      </c>
    </row>
    <row r="444" spans="1:35" x14ac:dyDescent="0.25">
      <c r="A444" t="s">
        <v>310</v>
      </c>
      <c r="B444" s="4">
        <v>2024</v>
      </c>
      <c r="C444" s="4" t="s">
        <v>33</v>
      </c>
      <c r="D444" s="1" t="s">
        <v>81</v>
      </c>
      <c r="E444" s="4" t="str">
        <f t="shared" si="155"/>
        <v>FortisBC-CAN</v>
      </c>
      <c r="F444" s="4" t="s">
        <v>135</v>
      </c>
      <c r="G444" s="4"/>
      <c r="H444" s="11" t="s">
        <v>369</v>
      </c>
      <c r="I444" s="4"/>
      <c r="J444" s="4" t="s">
        <v>21</v>
      </c>
      <c r="K444" s="5">
        <v>1488527.7992079998</v>
      </c>
      <c r="L444" s="5">
        <f>K444/_xlfn.XLOOKUP(C444,'Utility target list'!$K$2:$K$8,'Utility target list'!$L$2:$L$8,1,0,1)</f>
        <v>1653919.7768977776</v>
      </c>
      <c r="M444" s="8">
        <v>20850980</v>
      </c>
      <c r="N444" s="8">
        <v>20345560</v>
      </c>
      <c r="O444" s="8">
        <f>SUMIFS(EIAwtransport!$J$2:$J$675,EIAwtransport!$E$2:$E$675,Program_data!$E444,EIAwtransport!$H$2:$H$675,Program_data!$F444,EIAwtransport!$I$2:$I$675,Program_data!O$2)</f>
        <v>874680000</v>
      </c>
      <c r="P444" s="5">
        <f>SUMIFS(EIAwtransport!$J$2:$J$675,EIAwtransport!$E$2:$E$675,Program_data!$E444,EIAwtransport!$H$2:$H$675,Program_data!$F444,EIAwtransport!$I$2:$I$675,Program_data!P$2)</f>
        <v>82460085.7641761</v>
      </c>
      <c r="Q444" s="5">
        <f>SUMIFS(EIAwtransport!$J$2:$J$675,EIAwtransport!$E$2:$E$675,Program_data!$E444,EIAwtransport!$H$2:$H$675,Program_data!$F444,EIAwtransport!$I$2:$I$675,Program_data!Q$2)</f>
        <v>976170</v>
      </c>
      <c r="R444" s="8">
        <f>SUMIFS(EIAwtransport!$J$2:$J$675,EIAwtransport!$E$2:$E$675,Program_data!$E444,EIAwtransport!$I$2:$I$675,Program_data!R$2)</f>
        <v>1429680000</v>
      </c>
      <c r="S444" s="5">
        <f>SUMIFS(EIAwtransport!$J$2:$J$675,EIAwtransport!$E$2:$E$675,Program_data!$E444,EIAwtransport!$I$2:$I$675,Program_data!S$2)</f>
        <v>158285451.98410821</v>
      </c>
      <c r="T444" s="5">
        <f>SUMIFS(EIAwtransport!$J$2:$J$675,EIAwtransport!$E$2:$E$675,Program_data!$E444,EIAwtransport!$I$2:$I$675,Program_data!T$2)</f>
        <v>1074614</v>
      </c>
      <c r="U444" s="55">
        <f t="shared" si="156"/>
        <v>9.0772896496683171E-4</v>
      </c>
      <c r="V444" s="24">
        <f t="shared" si="172"/>
        <v>1.0085877388520351E-3</v>
      </c>
      <c r="W444" s="24">
        <f t="shared" si="157"/>
        <v>1.4584368530020705E-2</v>
      </c>
      <c r="X444" s="25">
        <f t="shared" si="158"/>
        <v>1.2715273778571425E-2</v>
      </c>
      <c r="Y444" s="8">
        <f t="shared" si="160"/>
        <v>12.781104650281833</v>
      </c>
      <c r="Z444" s="27">
        <f t="shared" si="161"/>
        <v>2.5576663845352705</v>
      </c>
      <c r="AA444" s="29"/>
      <c r="AB444" s="31" t="s">
        <v>370</v>
      </c>
      <c r="AC444" s="56">
        <f t="shared" si="166"/>
        <v>1.3042957619705125E-2</v>
      </c>
      <c r="AD444" t="s">
        <v>371</v>
      </c>
      <c r="AE444" s="20">
        <f t="shared" si="167"/>
        <v>27466506</v>
      </c>
      <c r="AF444" s="20">
        <f t="shared" si="168"/>
        <v>1930068000.0000002</v>
      </c>
      <c r="AG444">
        <f t="shared" si="178"/>
        <v>157009912.26045984</v>
      </c>
      <c r="AH444">
        <f t="shared" si="179"/>
        <v>174455458.06717759</v>
      </c>
      <c r="AI444">
        <f t="shared" si="180"/>
        <v>16695949475.283735</v>
      </c>
    </row>
    <row r="445" spans="1:35" x14ac:dyDescent="0.25">
      <c r="B445" s="4">
        <v>2025</v>
      </c>
      <c r="C445" s="4" t="s">
        <v>33</v>
      </c>
      <c r="D445" s="1" t="s">
        <v>81</v>
      </c>
      <c r="E445" s="4" t="str">
        <f t="shared" si="155"/>
        <v>FortisBC-CAN</v>
      </c>
      <c r="F445" s="4" t="s">
        <v>135</v>
      </c>
      <c r="G445" s="4"/>
      <c r="H445" s="11" t="s">
        <v>369</v>
      </c>
      <c r="I445" s="4"/>
      <c r="J445" s="4" t="s">
        <v>142</v>
      </c>
      <c r="K445" s="5">
        <v>1674584.2959379999</v>
      </c>
      <c r="L445" s="5">
        <f>K445/_xlfn.XLOOKUP(C445,'Utility target list'!$K$2:$K$8,'Utility target list'!$L$2:$L$8,1,0,1)</f>
        <v>1860649.2177088887</v>
      </c>
      <c r="M445" s="8">
        <v>25281360</v>
      </c>
      <c r="N445" s="8">
        <v>24727840</v>
      </c>
      <c r="O445" s="8">
        <f>SUMIFS(EIAwtransport!$J$2:$J$675,EIAwtransport!$E$2:$E$675,Program_data!$E445,EIAwtransport!$H$2:$H$675,Program_data!$F445,EIAwtransport!$I$2:$I$675,Program_data!O$2)</f>
        <v>874680000</v>
      </c>
      <c r="P445" s="5">
        <f>SUMIFS(EIAwtransport!$J$2:$J$675,EIAwtransport!$E$2:$E$675,Program_data!$E445,EIAwtransport!$H$2:$H$675,Program_data!$F445,EIAwtransport!$I$2:$I$675,Program_data!P$2)</f>
        <v>82460085.7641761</v>
      </c>
      <c r="Q445" s="5">
        <f>SUMIFS(EIAwtransport!$J$2:$J$675,EIAwtransport!$E$2:$E$675,Program_data!$E445,EIAwtransport!$H$2:$H$675,Program_data!$F445,EIAwtransport!$I$2:$I$675,Program_data!Q$2)</f>
        <v>976170</v>
      </c>
      <c r="R445" s="8">
        <f>SUMIFS(EIAwtransport!$J$2:$J$675,EIAwtransport!$E$2:$E$675,Program_data!$E445,EIAwtransport!$I$2:$I$675,Program_data!R$2)</f>
        <v>1429680000</v>
      </c>
      <c r="S445" s="5">
        <f>SUMIFS(EIAwtransport!$J$2:$J$675,EIAwtransport!$E$2:$E$675,Program_data!$E445,EIAwtransport!$I$2:$I$675,Program_data!S$2)</f>
        <v>158285451.98410821</v>
      </c>
      <c r="T445" s="5">
        <f>SUMIFS(EIAwtransport!$J$2:$J$675,EIAwtransport!$E$2:$E$675,Program_data!$E445,EIAwtransport!$I$2:$I$675,Program_data!T$2)</f>
        <v>1074614</v>
      </c>
      <c r="U445" s="24">
        <f t="shared" si="156"/>
        <v>1.0211893056416503E-3</v>
      </c>
      <c r="V445" s="24">
        <f t="shared" si="172"/>
        <v>1.1346547840462781E-3</v>
      </c>
      <c r="W445" s="24">
        <f t="shared" si="157"/>
        <v>1.7683229813664596E-2</v>
      </c>
      <c r="X445" s="25">
        <f t="shared" si="158"/>
        <v>1.5416993057142852E-2</v>
      </c>
      <c r="Y445" s="8">
        <f t="shared" si="160"/>
        <v>14.206184238139404</v>
      </c>
      <c r="Z445" s="27">
        <f t="shared" si="161"/>
        <v>3.0046339627441214</v>
      </c>
      <c r="AA445" s="29" t="s">
        <v>372</v>
      </c>
      <c r="AB445" s="29" t="s">
        <v>373</v>
      </c>
      <c r="AC445" s="56">
        <f t="shared" si="166"/>
        <v>1.839468667590274E-2</v>
      </c>
      <c r="AD445" t="s">
        <v>374</v>
      </c>
      <c r="AE445" s="20">
        <f t="shared" si="167"/>
        <v>33382584.000000004</v>
      </c>
      <c r="AF445" s="20">
        <f t="shared" si="168"/>
        <v>1930068000.0000002</v>
      </c>
      <c r="AG445">
        <f t="shared" si="178"/>
        <v>176635151.53554022</v>
      </c>
      <c r="AH445">
        <f t="shared" si="179"/>
        <v>196261279.4839336</v>
      </c>
      <c r="AI445">
        <f t="shared" si="180"/>
        <v>16695949475.283735</v>
      </c>
    </row>
    <row r="446" spans="1:35" x14ac:dyDescent="0.25">
      <c r="B446" s="4">
        <v>2026</v>
      </c>
      <c r="C446" s="4" t="s">
        <v>33</v>
      </c>
      <c r="D446" s="1" t="s">
        <v>81</v>
      </c>
      <c r="E446" s="4" t="str">
        <f t="shared" ref="E446:E451" si="181">D446&amp;"-"&amp;C446</f>
        <v>FortisBC-CAN</v>
      </c>
      <c r="F446" s="4" t="s">
        <v>135</v>
      </c>
      <c r="G446" s="4"/>
      <c r="H446" s="11" t="s">
        <v>369</v>
      </c>
      <c r="I446" s="4"/>
      <c r="J446" s="4" t="s">
        <v>142</v>
      </c>
      <c r="K446" s="5">
        <v>1841703.40701</v>
      </c>
      <c r="L446" s="5">
        <f>K446/_xlfn.XLOOKUP(C446,'Utility target list'!$K$2:$K$8,'Utility target list'!$L$2:$L$8,1,0,1)</f>
        <v>2046337.1188999999</v>
      </c>
      <c r="M446" s="8">
        <v>29526740</v>
      </c>
      <c r="N446" s="8">
        <v>28991720</v>
      </c>
      <c r="O446" s="8">
        <f>SUMIFS(EIAwtransport!$J$2:$J$675,EIAwtransport!$E$2:$E$675,Program_data!$E446,EIAwtransport!$H$2:$H$675,Program_data!$F446,EIAwtransport!$I$2:$I$675,Program_data!O$2)</f>
        <v>874680000</v>
      </c>
      <c r="P446" s="5">
        <f>SUMIFS(EIAwtransport!$J$2:$J$675,EIAwtransport!$E$2:$E$675,Program_data!$E446,EIAwtransport!$H$2:$H$675,Program_data!$F446,EIAwtransport!$I$2:$I$675,Program_data!P$2)</f>
        <v>82460085.7641761</v>
      </c>
      <c r="Q446" s="5">
        <f>SUMIFS(EIAwtransport!$J$2:$J$675,EIAwtransport!$E$2:$E$675,Program_data!$E446,EIAwtransport!$H$2:$H$675,Program_data!$F446,EIAwtransport!$I$2:$I$675,Program_data!Q$2)</f>
        <v>976170</v>
      </c>
      <c r="R446" s="8">
        <f>SUMIFS(EIAwtransport!$J$2:$J$675,EIAwtransport!$E$2:$E$675,Program_data!$E446,EIAwtransport!$I$2:$I$675,Program_data!R$2)</f>
        <v>1429680000</v>
      </c>
      <c r="S446" s="5">
        <f>SUMIFS(EIAwtransport!$J$2:$J$675,EIAwtransport!$E$2:$E$675,Program_data!$E446,EIAwtransport!$I$2:$I$675,Program_data!S$2)</f>
        <v>158285451.98410821</v>
      </c>
      <c r="T446" s="5">
        <f>SUMIFS(EIAwtransport!$J$2:$J$675,EIAwtransport!$E$2:$E$675,Program_data!$E446,EIAwtransport!$I$2:$I$675,Program_data!T$2)</f>
        <v>1074614</v>
      </c>
      <c r="U446" s="24">
        <f t="shared" ref="U446:U509" si="182">IFERROR(K446/10.36/S446,"")</f>
        <v>1.1231013141377482E-3</v>
      </c>
      <c r="V446" s="24">
        <f t="shared" si="172"/>
        <v>1.2478903490419425E-3</v>
      </c>
      <c r="W446" s="24">
        <f t="shared" ref="W446:W509" si="183">IFERROR(M446/R446,"")</f>
        <v>2.0652691511387163E-2</v>
      </c>
      <c r="X446" s="25">
        <f t="shared" ref="X446:X509" si="184">IFERROR(M446/S446/10.36,"")</f>
        <v>1.8005896264285708E-2</v>
      </c>
      <c r="Y446" s="8">
        <f t="shared" si="160"/>
        <v>14.937383069740839</v>
      </c>
      <c r="Z446" s="27">
        <f t="shared" si="161"/>
        <v>3.0502624117117874</v>
      </c>
      <c r="AA446" s="30" t="s">
        <v>375</v>
      </c>
      <c r="AB446" s="30"/>
      <c r="AC446" s="56">
        <f t="shared" si="166"/>
        <v>1.7760314473862868E-2</v>
      </c>
      <c r="AD446">
        <v>993080</v>
      </c>
      <c r="AE446" s="20">
        <f t="shared" si="167"/>
        <v>39138822</v>
      </c>
      <c r="AF446" s="20">
        <f t="shared" si="168"/>
        <v>1930068000.0000002</v>
      </c>
      <c r="AG446">
        <f t="shared" si="178"/>
        <v>194262875.37141481</v>
      </c>
      <c r="AH446">
        <f t="shared" si="179"/>
        <v>215847639.301572</v>
      </c>
      <c r="AI446">
        <f t="shared" si="180"/>
        <v>16695949475.283735</v>
      </c>
    </row>
    <row r="447" spans="1:35" x14ac:dyDescent="0.25">
      <c r="B447" s="4">
        <v>2027</v>
      </c>
      <c r="C447" s="4" t="s">
        <v>33</v>
      </c>
      <c r="D447" s="1" t="s">
        <v>81</v>
      </c>
      <c r="E447" s="4" t="str">
        <f t="shared" si="181"/>
        <v>FortisBC-CAN</v>
      </c>
      <c r="F447" s="4" t="s">
        <v>135</v>
      </c>
      <c r="G447" s="4"/>
      <c r="H447" s="11" t="s">
        <v>369</v>
      </c>
      <c r="I447" s="4"/>
      <c r="J447" s="4" t="s">
        <v>142</v>
      </c>
      <c r="K447" s="5">
        <v>2033257.2429199999</v>
      </c>
      <c r="L447" s="5">
        <f>K447/_xlfn.XLOOKUP(C447,'Utility target list'!$K$2:$K$8,'Utility target list'!$L$2:$L$8,1,0,1)</f>
        <v>2259174.7143555554</v>
      </c>
      <c r="M447" s="8">
        <v>34617200</v>
      </c>
      <c r="N447" s="8">
        <v>34122880</v>
      </c>
      <c r="O447" s="8">
        <f>SUMIFS(EIAwtransport!$J$2:$J$675,EIAwtransport!$E$2:$E$675,Program_data!$E447,EIAwtransport!$H$2:$H$675,Program_data!$F447,EIAwtransport!$I$2:$I$675,Program_data!O$2)</f>
        <v>874680000</v>
      </c>
      <c r="P447" s="5">
        <f>SUMIFS(EIAwtransport!$J$2:$J$675,EIAwtransport!$E$2:$E$675,Program_data!$E447,EIAwtransport!$H$2:$H$675,Program_data!$F447,EIAwtransport!$I$2:$I$675,Program_data!P$2)</f>
        <v>82460085.7641761</v>
      </c>
      <c r="Q447" s="5">
        <f>SUMIFS(EIAwtransport!$J$2:$J$675,EIAwtransport!$E$2:$E$675,Program_data!$E447,EIAwtransport!$H$2:$H$675,Program_data!$F447,EIAwtransport!$I$2:$I$675,Program_data!Q$2)</f>
        <v>976170</v>
      </c>
      <c r="R447" s="8">
        <f>SUMIFS(EIAwtransport!$J$2:$J$675,EIAwtransport!$E$2:$E$675,Program_data!$E447,EIAwtransport!$I$2:$I$675,Program_data!R$2)</f>
        <v>1429680000</v>
      </c>
      <c r="S447" s="5">
        <f>SUMIFS(EIAwtransport!$J$2:$J$675,EIAwtransport!$E$2:$E$675,Program_data!$E447,EIAwtransport!$I$2:$I$675,Program_data!S$2)</f>
        <v>158285451.98410821</v>
      </c>
      <c r="T447" s="5">
        <f>SUMIFS(EIAwtransport!$J$2:$J$675,EIAwtransport!$E$2:$E$675,Program_data!$E447,EIAwtransport!$I$2:$I$675,Program_data!T$2)</f>
        <v>1074614</v>
      </c>
      <c r="U447" s="24">
        <f t="shared" si="182"/>
        <v>1.2399140235130964E-3</v>
      </c>
      <c r="V447" s="24">
        <f t="shared" si="172"/>
        <v>1.3776822483478847E-3</v>
      </c>
      <c r="W447" s="24">
        <f t="shared" si="183"/>
        <v>2.4213250517598345E-2</v>
      </c>
      <c r="X447" s="25">
        <f t="shared" si="184"/>
        <v>2.111014328571428E-2</v>
      </c>
      <c r="Y447" s="8">
        <f t="shared" si="160"/>
        <v>15.702368159412968</v>
      </c>
      <c r="Z447" s="27">
        <f t="shared" si="161"/>
        <v>3.238220569129397</v>
      </c>
      <c r="AA447" s="30" t="s">
        <v>376</v>
      </c>
      <c r="AB447" s="30"/>
      <c r="AC447" s="56">
        <f t="shared" si="166"/>
        <v>1.7676449089139061E-2</v>
      </c>
      <c r="AD447">
        <v>916480</v>
      </c>
      <c r="AE447" s="20">
        <f t="shared" si="167"/>
        <v>46065888</v>
      </c>
      <c r="AF447" s="20">
        <f t="shared" si="168"/>
        <v>1930068000.0000002</v>
      </c>
      <c r="AG447">
        <f t="shared" si="178"/>
        <v>214467973.98320159</v>
      </c>
      <c r="AH447">
        <f t="shared" si="179"/>
        <v>238297748.870224</v>
      </c>
      <c r="AI447">
        <f t="shared" si="180"/>
        <v>16695949475.283735</v>
      </c>
    </row>
    <row r="448" spans="1:35" x14ac:dyDescent="0.25">
      <c r="A448" t="s">
        <v>310</v>
      </c>
      <c r="B448" s="4">
        <v>2024</v>
      </c>
      <c r="C448" s="4" t="s">
        <v>33</v>
      </c>
      <c r="D448" s="1" t="s">
        <v>81</v>
      </c>
      <c r="E448" s="4" t="str">
        <f t="shared" si="181"/>
        <v>FortisBC-CAN</v>
      </c>
      <c r="F448" s="4" t="s">
        <v>135</v>
      </c>
      <c r="G448" s="4"/>
      <c r="H448" s="11" t="s">
        <v>207</v>
      </c>
      <c r="I448" s="4"/>
      <c r="J448" s="4" t="s">
        <v>32</v>
      </c>
      <c r="K448" s="5">
        <v>91056.788797000001</v>
      </c>
      <c r="L448" s="5">
        <f>K448/_xlfn.XLOOKUP(C448,'Utility target list'!$K$2:$K$8,'Utility target list'!$L$2:$L$8,1,0,1)</f>
        <v>101174.20977444445</v>
      </c>
      <c r="M448" s="8">
        <v>2632180</v>
      </c>
      <c r="N448" s="8">
        <v>2147480</v>
      </c>
      <c r="O448" s="8">
        <f>SUMIFS(EIAwtransport!$J$2:$J$675,EIAwtransport!$E$2:$E$675,Program_data!$E448,EIAwtransport!$H$2:$H$675,Program_data!$F448,EIAwtransport!$I$2:$I$675,Program_data!O$2)</f>
        <v>874680000</v>
      </c>
      <c r="P448" s="5">
        <f>SUMIFS(EIAwtransport!$J$2:$J$675,EIAwtransport!$E$2:$E$675,Program_data!$E448,EIAwtransport!$H$2:$H$675,Program_data!$F448,EIAwtransport!$I$2:$I$675,Program_data!P$2)</f>
        <v>82460085.7641761</v>
      </c>
      <c r="Q448" s="5">
        <f>SUMIFS(EIAwtransport!$J$2:$J$675,EIAwtransport!$E$2:$E$675,Program_data!$E448,EIAwtransport!$H$2:$H$675,Program_data!$F448,EIAwtransport!$I$2:$I$675,Program_data!Q$2)</f>
        <v>976170</v>
      </c>
      <c r="R448" s="8">
        <f>SUMIFS(EIAwtransport!$J$2:$J$675,EIAwtransport!$E$2:$E$675,Program_data!$E448,EIAwtransport!$I$2:$I$675,Program_data!R$2)</f>
        <v>1429680000</v>
      </c>
      <c r="S448" s="5">
        <f>SUMIFS(EIAwtransport!$J$2:$J$675,EIAwtransport!$E$2:$E$675,Program_data!$E448,EIAwtransport!$I$2:$I$675,Program_data!S$2)</f>
        <v>158285451.98410821</v>
      </c>
      <c r="T448" s="5">
        <f>SUMIFS(EIAwtransport!$J$2:$J$675,EIAwtransport!$E$2:$E$675,Program_data!$E448,EIAwtransport!$I$2:$I$675,Program_data!T$2)</f>
        <v>1074614</v>
      </c>
      <c r="U448" s="55">
        <f t="shared" si="182"/>
        <v>5.5527941562046977E-5</v>
      </c>
      <c r="V448" s="24">
        <f t="shared" si="172"/>
        <v>6.1697712846718857E-5</v>
      </c>
      <c r="W448" s="24">
        <f t="shared" si="183"/>
        <v>1.8410973084886128E-3</v>
      </c>
      <c r="X448" s="25">
        <f t="shared" si="184"/>
        <v>1.6051470642857136E-3</v>
      </c>
      <c r="Y448" s="8">
        <f t="shared" si="160"/>
        <v>1.6134574028836455</v>
      </c>
      <c r="Z448" s="27">
        <f t="shared" si="161"/>
        <v>0.32287395144238051</v>
      </c>
      <c r="AA448" s="27"/>
      <c r="AB448" s="27"/>
      <c r="AC448" s="56">
        <f t="shared" si="166"/>
        <v>7.9786876529791626E-4</v>
      </c>
      <c r="AD448">
        <v>149340</v>
      </c>
      <c r="AE448" s="20">
        <f t="shared" si="167"/>
        <v>2899098</v>
      </c>
      <c r="AF448" s="20">
        <f t="shared" si="168"/>
        <v>1930068000.0000002</v>
      </c>
      <c r="AG448">
        <f t="shared" si="178"/>
        <v>9604670.0823075604</v>
      </c>
      <c r="AH448">
        <f t="shared" si="179"/>
        <v>10671855.6470084</v>
      </c>
      <c r="AI448">
        <f t="shared" si="180"/>
        <v>16695949475.283735</v>
      </c>
    </row>
    <row r="449" spans="1:35" x14ac:dyDescent="0.25">
      <c r="B449" s="4">
        <v>2025</v>
      </c>
      <c r="C449" s="4" t="s">
        <v>33</v>
      </c>
      <c r="D449" s="1" t="s">
        <v>81</v>
      </c>
      <c r="E449" s="4" t="str">
        <f t="shared" si="181"/>
        <v>FortisBC-CAN</v>
      </c>
      <c r="F449" s="4" t="s">
        <v>135</v>
      </c>
      <c r="G449" s="4"/>
      <c r="H449" s="11" t="s">
        <v>207</v>
      </c>
      <c r="I449" s="4"/>
      <c r="J449" s="4" t="s">
        <v>32</v>
      </c>
      <c r="K449" s="5">
        <v>105018.13468</v>
      </c>
      <c r="L449" s="5">
        <f>K449/_xlfn.XLOOKUP(C449,'Utility target list'!$K$2:$K$8,'Utility target list'!$L$2:$L$8,1,0,1)</f>
        <v>116686.81631111111</v>
      </c>
      <c r="M449" s="8">
        <v>3164240</v>
      </c>
      <c r="N449" s="8">
        <v>2679540</v>
      </c>
      <c r="O449" s="8">
        <f>SUMIFS(EIAwtransport!$J$2:$J$675,EIAwtransport!$E$2:$E$675,Program_data!$E449,EIAwtransport!$H$2:$H$675,Program_data!$F449,EIAwtransport!$I$2:$I$675,Program_data!O$2)</f>
        <v>874680000</v>
      </c>
      <c r="P449" s="5">
        <f>SUMIFS(EIAwtransport!$J$2:$J$675,EIAwtransport!$E$2:$E$675,Program_data!$E449,EIAwtransport!$H$2:$H$675,Program_data!$F449,EIAwtransport!$I$2:$I$675,Program_data!P$2)</f>
        <v>82460085.7641761</v>
      </c>
      <c r="Q449" s="5">
        <f>SUMIFS(EIAwtransport!$J$2:$J$675,EIAwtransport!$E$2:$E$675,Program_data!$E449,EIAwtransport!$H$2:$H$675,Program_data!$F449,EIAwtransport!$I$2:$I$675,Program_data!Q$2)</f>
        <v>976170</v>
      </c>
      <c r="R449" s="8">
        <f>SUMIFS(EIAwtransport!$J$2:$J$675,EIAwtransport!$E$2:$E$675,Program_data!$E449,EIAwtransport!$I$2:$I$675,Program_data!R$2)</f>
        <v>1429680000</v>
      </c>
      <c r="S449" s="5">
        <f>SUMIFS(EIAwtransport!$J$2:$J$675,EIAwtransport!$E$2:$E$675,Program_data!$E449,EIAwtransport!$I$2:$I$675,Program_data!S$2)</f>
        <v>158285451.98410821</v>
      </c>
      <c r="T449" s="5">
        <f>SUMIFS(EIAwtransport!$J$2:$J$675,EIAwtransport!$E$2:$E$675,Program_data!$E449,EIAwtransport!$I$2:$I$675,Program_data!T$2)</f>
        <v>1074614</v>
      </c>
      <c r="U449" s="24">
        <f t="shared" si="182"/>
        <v>6.404180207218492E-5</v>
      </c>
      <c r="V449" s="24">
        <f t="shared" si="172"/>
        <v>7.1157557857983234E-5</v>
      </c>
      <c r="W449" s="24">
        <f t="shared" si="183"/>
        <v>2.2132505175983439E-3</v>
      </c>
      <c r="X449" s="25">
        <f t="shared" si="184"/>
        <v>1.9296060857142848E-3</v>
      </c>
      <c r="Y449" s="8">
        <f t="shared" si="160"/>
        <v>1.7780600574371881</v>
      </c>
      <c r="Z449" s="27">
        <f t="shared" si="161"/>
        <v>0.37606295588027933</v>
      </c>
      <c r="AA449" s="27"/>
      <c r="AB449" s="27"/>
      <c r="AC449" s="56">
        <f t="shared" si="166"/>
        <v>1.1535852136032919E-3</v>
      </c>
      <c r="AE449" s="20">
        <f t="shared" si="167"/>
        <v>3617379.0000000005</v>
      </c>
      <c r="AF449" s="20">
        <f t="shared" si="168"/>
        <v>1930068000.0000002</v>
      </c>
      <c r="AG449">
        <f t="shared" si="178"/>
        <v>11077312.846046401</v>
      </c>
      <c r="AH449">
        <f t="shared" si="179"/>
        <v>12308125.384496</v>
      </c>
      <c r="AI449">
        <f t="shared" si="180"/>
        <v>16695949475.283735</v>
      </c>
    </row>
    <row r="450" spans="1:35" x14ac:dyDescent="0.25">
      <c r="B450" s="4">
        <v>2026</v>
      </c>
      <c r="C450" s="4" t="s">
        <v>33</v>
      </c>
      <c r="D450" s="1" t="s">
        <v>81</v>
      </c>
      <c r="E450" s="4" t="str">
        <f t="shared" si="181"/>
        <v>FortisBC-CAN</v>
      </c>
      <c r="F450" s="4" t="s">
        <v>135</v>
      </c>
      <c r="G450" s="4"/>
      <c r="H450" s="11" t="s">
        <v>207</v>
      </c>
      <c r="I450" s="4"/>
      <c r="J450" s="4" t="s">
        <v>32</v>
      </c>
      <c r="K450" s="5">
        <v>134997.589553</v>
      </c>
      <c r="L450" s="5">
        <f>K450/_xlfn.XLOOKUP(C450,'Utility target list'!$K$2:$K$8,'Utility target list'!$L$2:$L$8,1,0,1)</f>
        <v>149997.32172555555</v>
      </c>
      <c r="M450" s="8">
        <v>4084060</v>
      </c>
      <c r="N450" s="8">
        <v>3599360</v>
      </c>
      <c r="O450" s="8">
        <f>SUMIFS(EIAwtransport!$J$2:$J$675,EIAwtransport!$E$2:$E$675,Program_data!$E450,EIAwtransport!$H$2:$H$675,Program_data!$F450,EIAwtransport!$I$2:$I$675,Program_data!O$2)</f>
        <v>874680000</v>
      </c>
      <c r="P450" s="5">
        <f>SUMIFS(EIAwtransport!$J$2:$J$675,EIAwtransport!$E$2:$E$675,Program_data!$E450,EIAwtransport!$H$2:$H$675,Program_data!$F450,EIAwtransport!$I$2:$I$675,Program_data!P$2)</f>
        <v>82460085.7641761</v>
      </c>
      <c r="Q450" s="5">
        <f>SUMIFS(EIAwtransport!$J$2:$J$675,EIAwtransport!$E$2:$E$675,Program_data!$E450,EIAwtransport!$H$2:$H$675,Program_data!$F450,EIAwtransport!$I$2:$I$675,Program_data!Q$2)</f>
        <v>976170</v>
      </c>
      <c r="R450" s="8">
        <f>SUMIFS(EIAwtransport!$J$2:$J$675,EIAwtransport!$E$2:$E$675,Program_data!$E450,EIAwtransport!$I$2:$I$675,Program_data!R$2)</f>
        <v>1429680000</v>
      </c>
      <c r="S450" s="5">
        <f>SUMIFS(EIAwtransport!$J$2:$J$675,EIAwtransport!$E$2:$E$675,Program_data!$E450,EIAwtransport!$I$2:$I$675,Program_data!S$2)</f>
        <v>158285451.98410821</v>
      </c>
      <c r="T450" s="5">
        <f>SUMIFS(EIAwtransport!$J$2:$J$675,EIAwtransport!$E$2:$E$675,Program_data!$E450,EIAwtransport!$I$2:$I$675,Program_data!T$2)</f>
        <v>1074614</v>
      </c>
      <c r="U450" s="24">
        <f t="shared" si="182"/>
        <v>8.2323771382141665E-5</v>
      </c>
      <c r="V450" s="24">
        <f t="shared" si="172"/>
        <v>9.1470857091268526E-5</v>
      </c>
      <c r="W450" s="24">
        <f t="shared" si="183"/>
        <v>2.856625258799172E-3</v>
      </c>
      <c r="X450" s="25">
        <f t="shared" si="184"/>
        <v>2.490527592857142E-3</v>
      </c>
      <c r="Y450" s="8">
        <f t="shared" si="160"/>
        <v>2.0660990241322197</v>
      </c>
      <c r="Z450" s="27">
        <f t="shared" si="161"/>
        <v>0.42190416907439299</v>
      </c>
      <c r="AA450" s="27"/>
      <c r="AB450" s="27"/>
      <c r="AC450" s="56">
        <f t="shared" si="166"/>
        <v>1.3018380888849201E-3</v>
      </c>
      <c r="AE450" s="20">
        <f t="shared" si="167"/>
        <v>4859136</v>
      </c>
      <c r="AF450" s="20">
        <f t="shared" si="168"/>
        <v>1930068000.0000002</v>
      </c>
      <c r="AG450">
        <f t="shared" si="178"/>
        <v>14239545.74605044</v>
      </c>
      <c r="AH450">
        <f t="shared" si="179"/>
        <v>15821717.495611601</v>
      </c>
      <c r="AI450">
        <f t="shared" si="180"/>
        <v>16695949475.283735</v>
      </c>
    </row>
    <row r="451" spans="1:35" x14ac:dyDescent="0.25">
      <c r="B451" s="4">
        <v>2027</v>
      </c>
      <c r="C451" s="4" t="s">
        <v>33</v>
      </c>
      <c r="D451" s="1" t="s">
        <v>81</v>
      </c>
      <c r="E451" s="4" t="str">
        <f t="shared" si="181"/>
        <v>FortisBC-CAN</v>
      </c>
      <c r="F451" s="4" t="s">
        <v>135</v>
      </c>
      <c r="G451" s="4"/>
      <c r="H451" s="11" t="s">
        <v>207</v>
      </c>
      <c r="I451" s="4"/>
      <c r="J451" s="4" t="s">
        <v>32</v>
      </c>
      <c r="K451" s="5">
        <v>171327.41899599999</v>
      </c>
      <c r="L451" s="5">
        <f>K451/_xlfn.XLOOKUP(C451,'Utility target list'!$K$2:$K$8,'Utility target list'!$L$2:$L$8,1,0,1)</f>
        <v>190363.79888444443</v>
      </c>
      <c r="M451" s="8">
        <v>5054940</v>
      </c>
      <c r="N451" s="8">
        <v>4570240</v>
      </c>
      <c r="O451" s="8">
        <f>SUMIFS(EIAwtransport!$J$2:$J$675,EIAwtransport!$E$2:$E$675,Program_data!$E451,EIAwtransport!$H$2:$H$675,Program_data!$F451,EIAwtransport!$I$2:$I$675,Program_data!O$2)</f>
        <v>874680000</v>
      </c>
      <c r="P451" s="5">
        <f>SUMIFS(EIAwtransport!$J$2:$J$675,EIAwtransport!$E$2:$E$675,Program_data!$E451,EIAwtransport!$H$2:$H$675,Program_data!$F451,EIAwtransport!$I$2:$I$675,Program_data!P$2)</f>
        <v>82460085.7641761</v>
      </c>
      <c r="Q451" s="5">
        <f>SUMIFS(EIAwtransport!$J$2:$J$675,EIAwtransport!$E$2:$E$675,Program_data!$E451,EIAwtransport!$H$2:$H$675,Program_data!$F451,EIAwtransport!$I$2:$I$675,Program_data!Q$2)</f>
        <v>976170</v>
      </c>
      <c r="R451" s="8">
        <f>SUMIFS(EIAwtransport!$J$2:$J$675,EIAwtransport!$E$2:$E$675,Program_data!$E451,EIAwtransport!$I$2:$I$675,Program_data!R$2)</f>
        <v>1429680000</v>
      </c>
      <c r="S451" s="5">
        <f>SUMIFS(EIAwtransport!$J$2:$J$675,EIAwtransport!$E$2:$E$675,Program_data!$E451,EIAwtransport!$I$2:$I$675,Program_data!S$2)</f>
        <v>158285451.98410821</v>
      </c>
      <c r="T451" s="5">
        <f>SUMIFS(EIAwtransport!$J$2:$J$675,EIAwtransport!$E$2:$E$675,Program_data!$E451,EIAwtransport!$I$2:$I$675,Program_data!T$2)</f>
        <v>1074614</v>
      </c>
      <c r="U451" s="24">
        <f t="shared" si="182"/>
        <v>1.044783045358136E-4</v>
      </c>
      <c r="V451" s="24">
        <f t="shared" si="172"/>
        <v>1.1608700503979287E-4</v>
      </c>
      <c r="W451" s="24">
        <f t="shared" si="183"/>
        <v>3.5357142857142857E-3</v>
      </c>
      <c r="X451" s="25">
        <f t="shared" si="184"/>
        <v>3.0825863357142849E-3</v>
      </c>
      <c r="Y451" s="8">
        <f t="shared" si="160"/>
        <v>2.2929216951036766</v>
      </c>
      <c r="Z451" s="27">
        <f t="shared" si="161"/>
        <v>0.47285773210181509</v>
      </c>
      <c r="AA451" s="27"/>
      <c r="AB451" s="27"/>
      <c r="AC451" s="56">
        <f t="shared" si="166"/>
        <v>1.4894624917736233E-3</v>
      </c>
      <c r="AE451" s="20">
        <f t="shared" si="167"/>
        <v>6169824</v>
      </c>
      <c r="AF451" s="20">
        <f t="shared" si="168"/>
        <v>1930068000.0000002</v>
      </c>
      <c r="AG451">
        <f t="shared" si="178"/>
        <v>18071616.15569808</v>
      </c>
      <c r="AH451">
        <f t="shared" si="179"/>
        <v>20079573.506331198</v>
      </c>
      <c r="AI451">
        <f t="shared" si="180"/>
        <v>16695949475.283735</v>
      </c>
    </row>
    <row r="452" spans="1:35" x14ac:dyDescent="0.25">
      <c r="B452" s="4"/>
      <c r="C452" s="4"/>
      <c r="D452" s="1"/>
      <c r="E452" s="4"/>
      <c r="F452" s="4"/>
      <c r="G452" s="4"/>
      <c r="H452" s="11"/>
      <c r="I452" s="4"/>
      <c r="J452" s="4"/>
      <c r="K452" s="5"/>
      <c r="L452" s="5"/>
      <c r="M452" s="8"/>
      <c r="N452" s="8"/>
      <c r="O452" s="8">
        <f>SUMIFS(EIAwtransport!$J$2:$J$675,EIAwtransport!$E$2:$E$675,Program_data!$E452,EIAwtransport!$H$2:$H$675,Program_data!$F452,EIAwtransport!$I$2:$I$675,Program_data!O$2)</f>
        <v>0</v>
      </c>
      <c r="P452" s="5">
        <f>SUMIFS(EIAwtransport!$J$2:$J$675,EIAwtransport!$E$2:$E$675,Program_data!$E452,EIAwtransport!$H$2:$H$675,Program_data!$F452,EIAwtransport!$I$2:$I$675,Program_data!P$2)</f>
        <v>0</v>
      </c>
      <c r="Q452" s="5">
        <f>SUMIFS(EIAwtransport!$J$2:$J$675,EIAwtransport!$E$2:$E$675,Program_data!$E452,EIAwtransport!$H$2:$H$675,Program_data!$F452,EIAwtransport!$I$2:$I$675,Program_data!Q$2)</f>
        <v>0</v>
      </c>
      <c r="R452" s="8">
        <f>SUMIFS(EIAwtransport!$J$2:$J$675,EIAwtransport!$E$2:$E$675,Program_data!$E452,EIAwtransport!$I$2:$I$675,Program_data!R$2)</f>
        <v>0</v>
      </c>
      <c r="S452" s="5">
        <f>SUMIFS(EIAwtransport!$J$2:$J$675,EIAwtransport!$E$2:$E$675,Program_data!$E452,EIAwtransport!$I$2:$I$675,Program_data!S$2)</f>
        <v>0</v>
      </c>
      <c r="T452" s="5">
        <f>SUMIFS(EIAwtransport!$J$2:$J$675,EIAwtransport!$E$2:$E$675,Program_data!$E452,EIAwtransport!$I$2:$I$675,Program_data!T$2)</f>
        <v>0</v>
      </c>
      <c r="U452" s="97" t="str">
        <f t="shared" si="182"/>
        <v/>
      </c>
      <c r="V452" s="24" t="str">
        <f t="shared" si="172"/>
        <v/>
      </c>
      <c r="W452" s="24" t="str">
        <f t="shared" si="183"/>
        <v/>
      </c>
      <c r="X452" s="25" t="str">
        <f t="shared" si="184"/>
        <v/>
      </c>
      <c r="Y452" s="8" t="str">
        <f t="shared" ref="Y452:Y515" si="185">IFERROR(M452/SUMIFS($K$3:$K$1492,$E$3:$E$1492,E452,$B$3:$B$1492,B452,$F$3:$F$1492,F452,$A$3:$A$1492,""),"")</f>
        <v/>
      </c>
      <c r="Z452" s="27" t="str">
        <f t="shared" ref="Z452:Z515" si="186">IFERROR(M452/SUMIFS($K$3:$K$1492,$E$3:$E$1492,E452,$B$3:$B$1492,B452,$A$3:$A$1492,""),"")</f>
        <v/>
      </c>
      <c r="AA452" s="27"/>
      <c r="AB452" s="27"/>
      <c r="AC452" s="56" t="str">
        <f t="shared" si="166"/>
        <v/>
      </c>
      <c r="AE452" s="20">
        <f t="shared" si="167"/>
        <v>0</v>
      </c>
      <c r="AF452" s="20">
        <f t="shared" si="168"/>
        <v>0</v>
      </c>
      <c r="AG452">
        <f t="shared" si="178"/>
        <v>0</v>
      </c>
      <c r="AH452">
        <f t="shared" si="179"/>
        <v>0</v>
      </c>
      <c r="AI452">
        <f t="shared" si="180"/>
        <v>0</v>
      </c>
    </row>
    <row r="453" spans="1:35" x14ac:dyDescent="0.25">
      <c r="B453" s="4">
        <v>2025</v>
      </c>
      <c r="C453" s="4" t="s">
        <v>33</v>
      </c>
      <c r="D453" s="1" t="s">
        <v>81</v>
      </c>
      <c r="E453" s="4" t="str">
        <f>D453&amp;"-"&amp;C453</f>
        <v>FortisBC-CAN</v>
      </c>
      <c r="F453" s="4" t="s">
        <v>155</v>
      </c>
      <c r="G453" s="4"/>
      <c r="H453" s="11" t="s">
        <v>377</v>
      </c>
      <c r="I453" s="4"/>
      <c r="J453" s="4" t="s">
        <v>155</v>
      </c>
      <c r="K453" s="5">
        <v>0</v>
      </c>
      <c r="L453" s="38"/>
      <c r="M453" s="8">
        <v>1575460</v>
      </c>
      <c r="N453" s="8">
        <v>0</v>
      </c>
      <c r="O453" s="8">
        <f>SUMIFS(EIAwtransport!$J$2:$J$675,EIAwtransport!$E$2:$E$675,Program_data!$E453,EIAwtransport!$H$2:$H$675,Program_data!$F453,EIAwtransport!$I$2:$I$675,Program_data!O$2)</f>
        <v>0</v>
      </c>
      <c r="P453" s="5">
        <f>SUMIFS(EIAwtransport!$J$2:$J$675,EIAwtransport!$E$2:$E$675,Program_data!$E453,EIAwtransport!$H$2:$H$675,Program_data!$F453,EIAwtransport!$I$2:$I$675,Program_data!P$2)</f>
        <v>0</v>
      </c>
      <c r="Q453" s="5">
        <f>SUMIFS(EIAwtransport!$J$2:$J$675,EIAwtransport!$E$2:$E$675,Program_data!$E453,EIAwtransport!$H$2:$H$675,Program_data!$F453,EIAwtransport!$I$2:$I$675,Program_data!Q$2)</f>
        <v>0</v>
      </c>
      <c r="R453" s="8">
        <f>SUMIFS(EIAwtransport!$J$2:$J$675,EIAwtransport!$E$2:$E$675,Program_data!$E453,EIAwtransport!$I$2:$I$675,Program_data!R$2)</f>
        <v>1429680000</v>
      </c>
      <c r="S453" s="5">
        <f>SUMIFS(EIAwtransport!$J$2:$J$675,EIAwtransport!$E$2:$E$675,Program_data!$E453,EIAwtransport!$I$2:$I$675,Program_data!S$2)</f>
        <v>158285451.98410821</v>
      </c>
      <c r="T453" s="5">
        <f>SUMIFS(EIAwtransport!$J$2:$J$675,EIAwtransport!$E$2:$E$675,Program_data!$E453,EIAwtransport!$I$2:$I$675,Program_data!T$2)</f>
        <v>1074614</v>
      </c>
      <c r="U453" s="24">
        <f t="shared" si="182"/>
        <v>0</v>
      </c>
      <c r="V453" s="24">
        <f t="shared" si="172"/>
        <v>0</v>
      </c>
      <c r="W453" s="24">
        <f t="shared" si="183"/>
        <v>1.101966873706004E-3</v>
      </c>
      <c r="X453" s="25">
        <f t="shared" si="184"/>
        <v>9.6074166428571387E-4</v>
      </c>
      <c r="Y453" s="8" t="str">
        <f t="shared" si="185"/>
        <v/>
      </c>
      <c r="Z453" s="27">
        <f t="shared" si="186"/>
        <v>0.1872399516064347</v>
      </c>
      <c r="AA453" s="27"/>
      <c r="AB453" s="27"/>
      <c r="AC453" s="56">
        <f t="shared" si="166"/>
        <v>0</v>
      </c>
      <c r="AE453" s="20">
        <f t="shared" si="167"/>
        <v>0</v>
      </c>
      <c r="AF453" s="20">
        <f t="shared" si="168"/>
        <v>1930068000.0000002</v>
      </c>
      <c r="AG453">
        <f t="shared" si="178"/>
        <v>0</v>
      </c>
      <c r="AH453">
        <f t="shared" si="179"/>
        <v>0</v>
      </c>
      <c r="AI453">
        <f t="shared" si="180"/>
        <v>16695949475.283735</v>
      </c>
    </row>
    <row r="454" spans="1:35" x14ac:dyDescent="0.25">
      <c r="B454" s="4">
        <v>2026</v>
      </c>
      <c r="C454" s="4" t="s">
        <v>33</v>
      </c>
      <c r="D454" s="1" t="s">
        <v>81</v>
      </c>
      <c r="E454" s="4" t="str">
        <f>D454&amp;"-"&amp;C454</f>
        <v>FortisBC-CAN</v>
      </c>
      <c r="F454" s="4" t="s">
        <v>155</v>
      </c>
      <c r="G454" s="4"/>
      <c r="H454" s="11" t="s">
        <v>377</v>
      </c>
      <c r="I454" s="4"/>
      <c r="J454" s="4" t="s">
        <v>155</v>
      </c>
      <c r="K454" s="5">
        <v>0</v>
      </c>
      <c r="L454" s="38"/>
      <c r="M454" s="8">
        <v>1815960</v>
      </c>
      <c r="N454" s="8">
        <v>0</v>
      </c>
      <c r="O454" s="8">
        <f>SUMIFS(EIAwtransport!$J$2:$J$675,EIAwtransport!$E$2:$E$675,Program_data!$E454,EIAwtransport!$H$2:$H$675,Program_data!$F454,EIAwtransport!$I$2:$I$675,Program_data!O$2)</f>
        <v>0</v>
      </c>
      <c r="P454" s="5">
        <f>SUMIFS(EIAwtransport!$J$2:$J$675,EIAwtransport!$E$2:$E$675,Program_data!$E454,EIAwtransport!$H$2:$H$675,Program_data!$F454,EIAwtransport!$I$2:$I$675,Program_data!P$2)</f>
        <v>0</v>
      </c>
      <c r="Q454" s="5">
        <f>SUMIFS(EIAwtransport!$J$2:$J$675,EIAwtransport!$E$2:$E$675,Program_data!$E454,EIAwtransport!$H$2:$H$675,Program_data!$F454,EIAwtransport!$I$2:$I$675,Program_data!Q$2)</f>
        <v>0</v>
      </c>
      <c r="R454" s="8">
        <f>SUMIFS(EIAwtransport!$J$2:$J$675,EIAwtransport!$E$2:$E$675,Program_data!$E454,EIAwtransport!$I$2:$I$675,Program_data!R$2)</f>
        <v>1429680000</v>
      </c>
      <c r="S454" s="5">
        <f>SUMIFS(EIAwtransport!$J$2:$J$675,EIAwtransport!$E$2:$E$675,Program_data!$E454,EIAwtransport!$I$2:$I$675,Program_data!S$2)</f>
        <v>158285451.98410821</v>
      </c>
      <c r="T454" s="5">
        <f>SUMIFS(EIAwtransport!$J$2:$J$675,EIAwtransport!$E$2:$E$675,Program_data!$E454,EIAwtransport!$I$2:$I$675,Program_data!T$2)</f>
        <v>1074614</v>
      </c>
      <c r="U454" s="24">
        <f t="shared" si="182"/>
        <v>0</v>
      </c>
      <c r="V454" s="24">
        <f t="shared" si="172"/>
        <v>0</v>
      </c>
      <c r="W454" s="24">
        <f t="shared" si="183"/>
        <v>1.2701863354037267E-3</v>
      </c>
      <c r="X454" s="25">
        <f t="shared" si="184"/>
        <v>1.1074025571428568E-3</v>
      </c>
      <c r="Y454" s="8" t="str">
        <f t="shared" si="185"/>
        <v/>
      </c>
      <c r="Z454" s="27">
        <f t="shared" si="186"/>
        <v>0.18759790377034977</v>
      </c>
      <c r="AA454" s="27"/>
      <c r="AB454" s="27"/>
      <c r="AC454" s="56">
        <f t="shared" si="166"/>
        <v>0</v>
      </c>
      <c r="AE454" s="20">
        <f t="shared" si="167"/>
        <v>0</v>
      </c>
      <c r="AF454" s="20">
        <f t="shared" si="168"/>
        <v>1930068000.0000002</v>
      </c>
      <c r="AG454">
        <f t="shared" si="178"/>
        <v>0</v>
      </c>
      <c r="AH454">
        <f t="shared" si="179"/>
        <v>0</v>
      </c>
      <c r="AI454">
        <f t="shared" si="180"/>
        <v>16695949475.283735</v>
      </c>
    </row>
    <row r="455" spans="1:35" x14ac:dyDescent="0.25">
      <c r="B455" s="4">
        <v>2027</v>
      </c>
      <c r="C455" s="4" t="s">
        <v>33</v>
      </c>
      <c r="D455" s="1" t="s">
        <v>81</v>
      </c>
      <c r="E455" s="4" t="str">
        <f>D455&amp;"-"&amp;C455</f>
        <v>FortisBC-CAN</v>
      </c>
      <c r="F455" s="4" t="s">
        <v>155</v>
      </c>
      <c r="G455" s="4"/>
      <c r="H455" s="11" t="s">
        <v>377</v>
      </c>
      <c r="I455" s="4"/>
      <c r="J455" s="4" t="s">
        <v>155</v>
      </c>
      <c r="K455" s="5">
        <v>0</v>
      </c>
      <c r="L455" s="38"/>
      <c r="M455" s="8">
        <v>1852960</v>
      </c>
      <c r="N455" s="8">
        <v>0</v>
      </c>
      <c r="O455" s="8">
        <f>SUMIFS(EIAwtransport!$J$2:$J$675,EIAwtransport!$E$2:$E$675,Program_data!$E455,EIAwtransport!$H$2:$H$675,Program_data!$F455,EIAwtransport!$I$2:$I$675,Program_data!O$2)</f>
        <v>0</v>
      </c>
      <c r="P455" s="5">
        <f>SUMIFS(EIAwtransport!$J$2:$J$675,EIAwtransport!$E$2:$E$675,Program_data!$E455,EIAwtransport!$H$2:$H$675,Program_data!$F455,EIAwtransport!$I$2:$I$675,Program_data!P$2)</f>
        <v>0</v>
      </c>
      <c r="Q455" s="5">
        <f>SUMIFS(EIAwtransport!$J$2:$J$675,EIAwtransport!$E$2:$E$675,Program_data!$E455,EIAwtransport!$H$2:$H$675,Program_data!$F455,EIAwtransport!$I$2:$I$675,Program_data!Q$2)</f>
        <v>0</v>
      </c>
      <c r="R455" s="8">
        <f>SUMIFS(EIAwtransport!$J$2:$J$675,EIAwtransport!$E$2:$E$675,Program_data!$E455,EIAwtransport!$I$2:$I$675,Program_data!R$2)</f>
        <v>1429680000</v>
      </c>
      <c r="S455" s="5">
        <f>SUMIFS(EIAwtransport!$J$2:$J$675,EIAwtransport!$E$2:$E$675,Program_data!$E455,EIAwtransport!$I$2:$I$675,Program_data!S$2)</f>
        <v>158285451.98410821</v>
      </c>
      <c r="T455" s="5">
        <f>SUMIFS(EIAwtransport!$J$2:$J$675,EIAwtransport!$E$2:$E$675,Program_data!$E455,EIAwtransport!$I$2:$I$675,Program_data!T$2)</f>
        <v>1074614</v>
      </c>
      <c r="U455" s="24">
        <f t="shared" si="182"/>
        <v>0</v>
      </c>
      <c r="V455" s="24">
        <f t="shared" si="172"/>
        <v>0</v>
      </c>
      <c r="W455" s="24">
        <f t="shared" si="183"/>
        <v>1.2960662525879918E-3</v>
      </c>
      <c r="X455" s="25">
        <f t="shared" si="184"/>
        <v>1.1299657714285709E-3</v>
      </c>
      <c r="Y455" s="8" t="str">
        <f t="shared" si="185"/>
        <v/>
      </c>
      <c r="Z455" s="27">
        <f t="shared" si="186"/>
        <v>0.17333271280675525</v>
      </c>
      <c r="AA455" s="27"/>
      <c r="AB455" s="27"/>
      <c r="AC455" s="56">
        <f t="shared" si="166"/>
        <v>0</v>
      </c>
      <c r="AE455" s="20">
        <f t="shared" si="167"/>
        <v>0</v>
      </c>
      <c r="AF455" s="20">
        <f t="shared" si="168"/>
        <v>1930068000.0000002</v>
      </c>
      <c r="AG455">
        <f t="shared" si="178"/>
        <v>0</v>
      </c>
      <c r="AH455">
        <f t="shared" si="179"/>
        <v>0</v>
      </c>
      <c r="AI455">
        <f t="shared" si="180"/>
        <v>16695949475.283735</v>
      </c>
    </row>
    <row r="456" spans="1:35" x14ac:dyDescent="0.25">
      <c r="B456" s="4"/>
      <c r="C456" s="4"/>
      <c r="D456" s="1"/>
      <c r="E456" s="4"/>
      <c r="F456" s="4"/>
      <c r="G456" s="4"/>
      <c r="H456" s="11"/>
      <c r="I456" s="4"/>
      <c r="J456" s="4"/>
      <c r="K456" s="5"/>
      <c r="L456" s="5"/>
      <c r="M456" s="8"/>
      <c r="N456" s="8"/>
      <c r="O456" s="8">
        <f>SUMIFS(EIAwtransport!$J$2:$J$675,EIAwtransport!$E$2:$E$675,Program_data!$E456,EIAwtransport!$H$2:$H$675,Program_data!$F456,EIAwtransport!$I$2:$I$675,Program_data!O$2)</f>
        <v>0</v>
      </c>
      <c r="P456" s="5">
        <f>SUMIFS(EIAwtransport!$J$2:$J$675,EIAwtransport!$E$2:$E$675,Program_data!$E456,EIAwtransport!$H$2:$H$675,Program_data!$F456,EIAwtransport!$I$2:$I$675,Program_data!P$2)</f>
        <v>0</v>
      </c>
      <c r="Q456" s="5">
        <f>SUMIFS(EIAwtransport!$J$2:$J$675,EIAwtransport!$E$2:$E$675,Program_data!$E456,EIAwtransport!$H$2:$H$675,Program_data!$F456,EIAwtransport!$I$2:$I$675,Program_data!Q$2)</f>
        <v>0</v>
      </c>
      <c r="R456" s="8">
        <f>SUMIFS(EIAwtransport!$J$2:$J$675,EIAwtransport!$E$2:$E$675,Program_data!$E456,EIAwtransport!$I$2:$I$675,Program_data!R$2)</f>
        <v>0</v>
      </c>
      <c r="S456" s="5">
        <f>SUMIFS(EIAwtransport!$J$2:$J$675,EIAwtransport!$E$2:$E$675,Program_data!$E456,EIAwtransport!$I$2:$I$675,Program_data!S$2)</f>
        <v>0</v>
      </c>
      <c r="T456" s="5">
        <f>SUMIFS(EIAwtransport!$J$2:$J$675,EIAwtransport!$E$2:$E$675,Program_data!$E456,EIAwtransport!$I$2:$I$675,Program_data!T$2)</f>
        <v>0</v>
      </c>
      <c r="U456" s="97" t="str">
        <f t="shared" si="182"/>
        <v/>
      </c>
      <c r="V456" s="24" t="str">
        <f t="shared" si="172"/>
        <v/>
      </c>
      <c r="W456" s="24" t="str">
        <f t="shared" si="183"/>
        <v/>
      </c>
      <c r="X456" s="25" t="str">
        <f t="shared" si="184"/>
        <v/>
      </c>
      <c r="Y456" s="8" t="str">
        <f t="shared" si="185"/>
        <v/>
      </c>
      <c r="Z456" s="27" t="str">
        <f t="shared" si="186"/>
        <v/>
      </c>
      <c r="AA456" s="27"/>
      <c r="AB456" s="27"/>
      <c r="AC456" s="56" t="str">
        <f t="shared" si="166"/>
        <v/>
      </c>
      <c r="AE456" s="20">
        <f t="shared" si="167"/>
        <v>0</v>
      </c>
      <c r="AF456" s="20">
        <f t="shared" si="168"/>
        <v>0</v>
      </c>
      <c r="AG456">
        <f t="shared" si="178"/>
        <v>0</v>
      </c>
      <c r="AH456">
        <f t="shared" si="179"/>
        <v>0</v>
      </c>
      <c r="AI456">
        <f t="shared" si="180"/>
        <v>0</v>
      </c>
    </row>
    <row r="457" spans="1:35" x14ac:dyDescent="0.25">
      <c r="B457" s="4">
        <v>2025</v>
      </c>
      <c r="C457" s="4" t="s">
        <v>33</v>
      </c>
      <c r="D457" s="1" t="s">
        <v>81</v>
      </c>
      <c r="E457" s="4" t="str">
        <f t="shared" ref="E457:E467" si="187">D457&amp;"-"&amp;C457</f>
        <v>FortisBC-CAN</v>
      </c>
      <c r="F457" s="4" t="s">
        <v>155</v>
      </c>
      <c r="G457" s="4"/>
      <c r="H457" s="11" t="s">
        <v>378</v>
      </c>
      <c r="I457" s="4"/>
      <c r="J457" s="4" t="s">
        <v>155</v>
      </c>
      <c r="K457" s="5">
        <v>0</v>
      </c>
      <c r="L457" s="38"/>
      <c r="M457" s="8">
        <v>44400</v>
      </c>
      <c r="N457" s="8">
        <v>0</v>
      </c>
      <c r="O457" s="8">
        <f>SUMIFS(EIAwtransport!$J$2:$J$675,EIAwtransport!$E$2:$E$675,Program_data!$E457,EIAwtransport!$H$2:$H$675,Program_data!$F457,EIAwtransport!$I$2:$I$675,Program_data!O$2)</f>
        <v>0</v>
      </c>
      <c r="P457" s="5">
        <f>SUMIFS(EIAwtransport!$J$2:$J$675,EIAwtransport!$E$2:$E$675,Program_data!$E457,EIAwtransport!$H$2:$H$675,Program_data!$F457,EIAwtransport!$I$2:$I$675,Program_data!P$2)</f>
        <v>0</v>
      </c>
      <c r="Q457" s="5">
        <f>SUMIFS(EIAwtransport!$J$2:$J$675,EIAwtransport!$E$2:$E$675,Program_data!$E457,EIAwtransport!$H$2:$H$675,Program_data!$F457,EIAwtransport!$I$2:$I$675,Program_data!Q$2)</f>
        <v>0</v>
      </c>
      <c r="R457" s="8">
        <f>SUMIFS(EIAwtransport!$J$2:$J$675,EIAwtransport!$E$2:$E$675,Program_data!$E457,EIAwtransport!$I$2:$I$675,Program_data!R$2)</f>
        <v>1429680000</v>
      </c>
      <c r="S457" s="5">
        <f>SUMIFS(EIAwtransport!$J$2:$J$675,EIAwtransport!$E$2:$E$675,Program_data!$E457,EIAwtransport!$I$2:$I$675,Program_data!S$2)</f>
        <v>158285451.98410821</v>
      </c>
      <c r="T457" s="5">
        <f>SUMIFS(EIAwtransport!$J$2:$J$675,EIAwtransport!$E$2:$E$675,Program_data!$E457,EIAwtransport!$I$2:$I$675,Program_data!T$2)</f>
        <v>1074614</v>
      </c>
      <c r="U457" s="24">
        <f t="shared" si="182"/>
        <v>0</v>
      </c>
      <c r="V457" s="24">
        <f t="shared" si="172"/>
        <v>0</v>
      </c>
      <c r="W457" s="24">
        <f t="shared" si="183"/>
        <v>3.1055900621118014E-5</v>
      </c>
      <c r="X457" s="25">
        <f t="shared" si="184"/>
        <v>2.707585714285713E-5</v>
      </c>
      <c r="Y457" s="8" t="str">
        <f t="shared" si="185"/>
        <v/>
      </c>
      <c r="Z457" s="27">
        <f t="shared" si="186"/>
        <v>5.276842224699897E-3</v>
      </c>
      <c r="AA457" s="27"/>
      <c r="AB457" s="27"/>
      <c r="AC457" s="56">
        <f t="shared" si="166"/>
        <v>0</v>
      </c>
      <c r="AE457" s="20">
        <f t="shared" si="167"/>
        <v>0</v>
      </c>
      <c r="AF457" s="20">
        <f t="shared" si="168"/>
        <v>1930068000.0000002</v>
      </c>
      <c r="AG457">
        <f t="shared" si="178"/>
        <v>0</v>
      </c>
      <c r="AH457">
        <f t="shared" si="179"/>
        <v>0</v>
      </c>
      <c r="AI457">
        <f t="shared" si="180"/>
        <v>16695949475.283735</v>
      </c>
    </row>
    <row r="458" spans="1:35" x14ac:dyDescent="0.25">
      <c r="B458" s="4">
        <v>2026</v>
      </c>
      <c r="C458" s="4" t="s">
        <v>33</v>
      </c>
      <c r="D458" s="1" t="s">
        <v>81</v>
      </c>
      <c r="E458" s="4" t="str">
        <f t="shared" si="187"/>
        <v>FortisBC-CAN</v>
      </c>
      <c r="F458" s="4" t="s">
        <v>155</v>
      </c>
      <c r="G458" s="4"/>
      <c r="H458" s="11" t="s">
        <v>378</v>
      </c>
      <c r="I458" s="4"/>
      <c r="J458" s="4" t="s">
        <v>155</v>
      </c>
      <c r="K458" s="5">
        <v>0</v>
      </c>
      <c r="L458" s="38"/>
      <c r="M458" s="8">
        <v>53280</v>
      </c>
      <c r="N458" s="8">
        <v>0</v>
      </c>
      <c r="O458" s="8">
        <f>SUMIFS(EIAwtransport!$J$2:$J$675,EIAwtransport!$E$2:$E$675,Program_data!$E458,EIAwtransport!$H$2:$H$675,Program_data!$F458,EIAwtransport!$I$2:$I$675,Program_data!O$2)</f>
        <v>0</v>
      </c>
      <c r="P458" s="5">
        <f>SUMIFS(EIAwtransport!$J$2:$J$675,EIAwtransport!$E$2:$E$675,Program_data!$E458,EIAwtransport!$H$2:$H$675,Program_data!$F458,EIAwtransport!$I$2:$I$675,Program_data!P$2)</f>
        <v>0</v>
      </c>
      <c r="Q458" s="5">
        <f>SUMIFS(EIAwtransport!$J$2:$J$675,EIAwtransport!$E$2:$E$675,Program_data!$E458,EIAwtransport!$H$2:$H$675,Program_data!$F458,EIAwtransport!$I$2:$I$675,Program_data!Q$2)</f>
        <v>0</v>
      </c>
      <c r="R458" s="8">
        <f>SUMIFS(EIAwtransport!$J$2:$J$675,EIAwtransport!$E$2:$E$675,Program_data!$E458,EIAwtransport!$I$2:$I$675,Program_data!R$2)</f>
        <v>1429680000</v>
      </c>
      <c r="S458" s="5">
        <f>SUMIFS(EIAwtransport!$J$2:$J$675,EIAwtransport!$E$2:$E$675,Program_data!$E458,EIAwtransport!$I$2:$I$675,Program_data!S$2)</f>
        <v>158285451.98410821</v>
      </c>
      <c r="T458" s="5">
        <f>SUMIFS(EIAwtransport!$J$2:$J$675,EIAwtransport!$E$2:$E$675,Program_data!$E458,EIAwtransport!$I$2:$I$675,Program_data!T$2)</f>
        <v>1074614</v>
      </c>
      <c r="U458" s="24">
        <f t="shared" si="182"/>
        <v>0</v>
      </c>
      <c r="V458" s="24">
        <f t="shared" si="172"/>
        <v>0</v>
      </c>
      <c r="W458" s="24">
        <f t="shared" si="183"/>
        <v>3.7267080745341614E-5</v>
      </c>
      <c r="X458" s="25">
        <f t="shared" si="184"/>
        <v>3.249102857142856E-5</v>
      </c>
      <c r="Y458" s="8" t="str">
        <f t="shared" si="185"/>
        <v/>
      </c>
      <c r="Z458" s="27">
        <f t="shared" si="186"/>
        <v>5.5040949761471815E-3</v>
      </c>
      <c r="AA458" s="27"/>
      <c r="AB458" s="27"/>
      <c r="AC458" s="56">
        <f t="shared" si="166"/>
        <v>0</v>
      </c>
      <c r="AE458" s="20">
        <f t="shared" si="167"/>
        <v>0</v>
      </c>
      <c r="AF458" s="20">
        <f t="shared" si="168"/>
        <v>1930068000.0000002</v>
      </c>
      <c r="AG458">
        <f t="shared" si="178"/>
        <v>0</v>
      </c>
      <c r="AH458">
        <f t="shared" si="179"/>
        <v>0</v>
      </c>
      <c r="AI458">
        <f t="shared" si="180"/>
        <v>16695949475.283735</v>
      </c>
    </row>
    <row r="459" spans="1:35" x14ac:dyDescent="0.25">
      <c r="B459" s="4">
        <v>2027</v>
      </c>
      <c r="C459" s="4" t="s">
        <v>33</v>
      </c>
      <c r="D459" s="1" t="s">
        <v>81</v>
      </c>
      <c r="E459" s="4" t="str">
        <f t="shared" si="187"/>
        <v>FortisBC-CAN</v>
      </c>
      <c r="F459" s="4" t="s">
        <v>155</v>
      </c>
      <c r="G459" s="4"/>
      <c r="H459" s="11" t="s">
        <v>378</v>
      </c>
      <c r="I459" s="4"/>
      <c r="J459" s="4" t="s">
        <v>155</v>
      </c>
      <c r="K459" s="5">
        <v>0</v>
      </c>
      <c r="L459" s="38"/>
      <c r="M459" s="8">
        <v>63640</v>
      </c>
      <c r="N459" s="8">
        <v>0</v>
      </c>
      <c r="O459" s="8">
        <f>SUMIFS(EIAwtransport!$J$2:$J$675,EIAwtransport!$E$2:$E$675,Program_data!$E459,EIAwtransport!$H$2:$H$675,Program_data!$F459,EIAwtransport!$I$2:$I$675,Program_data!O$2)</f>
        <v>0</v>
      </c>
      <c r="P459" s="5">
        <f>SUMIFS(EIAwtransport!$J$2:$J$675,EIAwtransport!$E$2:$E$675,Program_data!$E459,EIAwtransport!$H$2:$H$675,Program_data!$F459,EIAwtransport!$I$2:$I$675,Program_data!P$2)</f>
        <v>0</v>
      </c>
      <c r="Q459" s="5">
        <f>SUMIFS(EIAwtransport!$J$2:$J$675,EIAwtransport!$E$2:$E$675,Program_data!$E459,EIAwtransport!$H$2:$H$675,Program_data!$F459,EIAwtransport!$I$2:$I$675,Program_data!Q$2)</f>
        <v>0</v>
      </c>
      <c r="R459" s="8">
        <f>SUMIFS(EIAwtransport!$J$2:$J$675,EIAwtransport!$E$2:$E$675,Program_data!$E459,EIAwtransport!$I$2:$I$675,Program_data!R$2)</f>
        <v>1429680000</v>
      </c>
      <c r="S459" s="5">
        <f>SUMIFS(EIAwtransport!$J$2:$J$675,EIAwtransport!$E$2:$E$675,Program_data!$E459,EIAwtransport!$I$2:$I$675,Program_data!S$2)</f>
        <v>158285451.98410821</v>
      </c>
      <c r="T459" s="5">
        <f>SUMIFS(EIAwtransport!$J$2:$J$675,EIAwtransport!$E$2:$E$675,Program_data!$E459,EIAwtransport!$I$2:$I$675,Program_data!T$2)</f>
        <v>1074614</v>
      </c>
      <c r="U459" s="24">
        <f t="shared" si="182"/>
        <v>0</v>
      </c>
      <c r="V459" s="24">
        <f t="shared" si="172"/>
        <v>0</v>
      </c>
      <c r="W459" s="24">
        <f t="shared" si="183"/>
        <v>4.451345755693582E-5</v>
      </c>
      <c r="X459" s="25">
        <f t="shared" si="184"/>
        <v>3.8808728571428555E-5</v>
      </c>
      <c r="Y459" s="8" t="str">
        <f t="shared" si="185"/>
        <v/>
      </c>
      <c r="Z459" s="27">
        <f t="shared" si="186"/>
        <v>5.9531203280275358E-3</v>
      </c>
      <c r="AA459" s="27"/>
      <c r="AB459" s="27"/>
      <c r="AC459" s="56">
        <f t="shared" si="166"/>
        <v>0</v>
      </c>
      <c r="AE459" s="20">
        <f t="shared" si="167"/>
        <v>0</v>
      </c>
      <c r="AF459" s="20">
        <f t="shared" si="168"/>
        <v>1930068000.0000002</v>
      </c>
      <c r="AG459">
        <f t="shared" si="178"/>
        <v>0</v>
      </c>
      <c r="AH459">
        <f t="shared" si="179"/>
        <v>0</v>
      </c>
      <c r="AI459">
        <f t="shared" si="180"/>
        <v>16695949475.283735</v>
      </c>
    </row>
    <row r="460" spans="1:35" x14ac:dyDescent="0.25">
      <c r="A460" t="s">
        <v>310</v>
      </c>
      <c r="B460" s="4">
        <v>2024</v>
      </c>
      <c r="C460" s="4" t="s">
        <v>33</v>
      </c>
      <c r="D460" s="1" t="s">
        <v>81</v>
      </c>
      <c r="E460" s="4" t="str">
        <f t="shared" si="187"/>
        <v>FortisBC-CAN</v>
      </c>
      <c r="F460" s="4" t="s">
        <v>146</v>
      </c>
      <c r="G460" s="4"/>
      <c r="H460" s="11" t="s">
        <v>379</v>
      </c>
      <c r="I460" s="4"/>
      <c r="J460" s="4" t="s">
        <v>21</v>
      </c>
      <c r="K460" s="5">
        <v>469766.58927299996</v>
      </c>
      <c r="L460" s="5">
        <f>K460/_xlfn.XLOOKUP(C460,'Utility target list'!$K$2:$K$8,'Utility target list'!$L$2:$L$8,1,0,1)</f>
        <v>521962.87696999992</v>
      </c>
      <c r="M460" s="8">
        <v>1840380</v>
      </c>
      <c r="N460" s="8">
        <v>1470380</v>
      </c>
      <c r="O460" s="8">
        <f>SUMIFS(EIAwtransport!$J$2:$J$675,EIAwtransport!$E$2:$E$675,Program_data!$E460,EIAwtransport!$H$2:$H$675,Program_data!$F460,EIAwtransport!$I$2:$I$675,Program_data!O$2)</f>
        <v>555000000</v>
      </c>
      <c r="P460" s="5">
        <f>SUMIFS(EIAwtransport!$J$2:$J$675,EIAwtransport!$E$2:$E$675,Program_data!$E460,EIAwtransport!$H$2:$H$675,Program_data!$F460,EIAwtransport!$I$2:$I$675,Program_data!P$2)</f>
        <v>75825366.219932109</v>
      </c>
      <c r="Q460" s="5">
        <f>SUMIFS(EIAwtransport!$J$2:$J$675,EIAwtransport!$E$2:$E$675,Program_data!$E460,EIAwtransport!$H$2:$H$675,Program_data!$F460,EIAwtransport!$I$2:$I$675,Program_data!Q$2)</f>
        <v>98444</v>
      </c>
      <c r="R460" s="8">
        <f>SUMIFS(EIAwtransport!$J$2:$J$675,EIAwtransport!$E$2:$E$675,Program_data!$E460,EIAwtransport!$I$2:$I$675,Program_data!R$2)</f>
        <v>1429680000</v>
      </c>
      <c r="S460" s="5">
        <f>SUMIFS(EIAwtransport!$J$2:$J$675,EIAwtransport!$E$2:$E$675,Program_data!$E460,EIAwtransport!$I$2:$I$675,Program_data!S$2)</f>
        <v>158285451.98410821</v>
      </c>
      <c r="T460" s="5">
        <f>SUMIFS(EIAwtransport!$J$2:$J$675,EIAwtransport!$E$2:$E$675,Program_data!$E460,EIAwtransport!$I$2:$I$675,Program_data!T$2)</f>
        <v>1074614</v>
      </c>
      <c r="U460" s="55">
        <f t="shared" si="182"/>
        <v>2.8647146535231956E-4</v>
      </c>
      <c r="V460" s="24">
        <f t="shared" si="172"/>
        <v>3.1830162816924394E-4</v>
      </c>
      <c r="W460" s="24">
        <f t="shared" si="183"/>
        <v>1.2872670807453415E-3</v>
      </c>
      <c r="X460" s="25">
        <f t="shared" si="184"/>
        <v>1.1222942785714281E-3</v>
      </c>
      <c r="Y460" s="8">
        <f t="shared" si="185"/>
        <v>0.31128542870171583</v>
      </c>
      <c r="Z460" s="27">
        <f t="shared" si="186"/>
        <v>0.22574852888310384</v>
      </c>
      <c r="AA460" s="27"/>
      <c r="AB460" s="27"/>
      <c r="AC460" s="56">
        <f t="shared" si="166"/>
        <v>4.1162454058978476E-3</v>
      </c>
      <c r="AE460" s="20">
        <f t="shared" si="167"/>
        <v>1985013.0000000002</v>
      </c>
      <c r="AF460" s="20">
        <f t="shared" si="168"/>
        <v>1930068000.0000002</v>
      </c>
      <c r="AG460">
        <f t="shared" si="178"/>
        <v>49550979.836516038</v>
      </c>
      <c r="AH460">
        <f t="shared" si="179"/>
        <v>55056644.262795597</v>
      </c>
      <c r="AI460">
        <f t="shared" si="180"/>
        <v>16695949475.283735</v>
      </c>
    </row>
    <row r="461" spans="1:35" x14ac:dyDescent="0.25">
      <c r="B461" s="4">
        <v>2025</v>
      </c>
      <c r="C461" s="4" t="s">
        <v>33</v>
      </c>
      <c r="D461" s="1" t="s">
        <v>81</v>
      </c>
      <c r="E461" s="4" t="str">
        <f t="shared" si="187"/>
        <v>FortisBC-CAN</v>
      </c>
      <c r="F461" s="4" t="s">
        <v>146</v>
      </c>
      <c r="G461" s="4"/>
      <c r="H461" s="11" t="s">
        <v>379</v>
      </c>
      <c r="I461" s="4"/>
      <c r="J461" s="4" t="s">
        <v>142</v>
      </c>
      <c r="K461" s="5">
        <v>515148.07202099997</v>
      </c>
      <c r="L461" s="5">
        <f>K461/_xlfn.XLOOKUP(C461,'Utility target list'!$K$2:$K$8,'Utility target list'!$L$2:$L$8,1,0,1)</f>
        <v>572386.74668999994</v>
      </c>
      <c r="M461" s="8">
        <v>2123800</v>
      </c>
      <c r="N461" s="8">
        <v>1753800</v>
      </c>
      <c r="O461" s="8">
        <f>SUMIFS(EIAwtransport!$J$2:$J$675,EIAwtransport!$E$2:$E$675,Program_data!$E461,EIAwtransport!$H$2:$H$675,Program_data!$F461,EIAwtransport!$I$2:$I$675,Program_data!O$2)</f>
        <v>555000000</v>
      </c>
      <c r="P461" s="5">
        <f>SUMIFS(EIAwtransport!$J$2:$J$675,EIAwtransport!$E$2:$E$675,Program_data!$E461,EIAwtransport!$H$2:$H$675,Program_data!$F461,EIAwtransport!$I$2:$I$675,Program_data!P$2)</f>
        <v>75825366.219932109</v>
      </c>
      <c r="Q461" s="5">
        <f>SUMIFS(EIAwtransport!$J$2:$J$675,EIAwtransport!$E$2:$E$675,Program_data!$E461,EIAwtransport!$H$2:$H$675,Program_data!$F461,EIAwtransport!$I$2:$I$675,Program_data!Q$2)</f>
        <v>98444</v>
      </c>
      <c r="R461" s="8">
        <f>SUMIFS(EIAwtransport!$J$2:$J$675,EIAwtransport!$E$2:$E$675,Program_data!$E461,EIAwtransport!$I$2:$I$675,Program_data!R$2)</f>
        <v>1429680000</v>
      </c>
      <c r="S461" s="5">
        <f>SUMIFS(EIAwtransport!$J$2:$J$675,EIAwtransport!$E$2:$E$675,Program_data!$E461,EIAwtransport!$I$2:$I$675,Program_data!S$2)</f>
        <v>158285451.98410821</v>
      </c>
      <c r="T461" s="5">
        <f>SUMIFS(EIAwtransport!$J$2:$J$675,EIAwtransport!$E$2:$E$675,Program_data!$E461,EIAwtransport!$I$2:$I$675,Program_data!T$2)</f>
        <v>1074614</v>
      </c>
      <c r="U461" s="24">
        <f t="shared" si="182"/>
        <v>3.1414584696979442E-4</v>
      </c>
      <c r="V461" s="24">
        <f t="shared" si="172"/>
        <v>3.4905094107754933E-4</v>
      </c>
      <c r="W461" s="24">
        <f t="shared" si="183"/>
        <v>1.4855072463768116E-3</v>
      </c>
      <c r="X461" s="25">
        <f t="shared" si="184"/>
        <v>1.2951284999999995E-3</v>
      </c>
      <c r="Y461" s="8">
        <f t="shared" si="185"/>
        <v>0.3609710298537131</v>
      </c>
      <c r="Z461" s="27">
        <f t="shared" si="186"/>
        <v>0.25240895308147843</v>
      </c>
      <c r="AA461" s="27"/>
      <c r="AB461" s="27"/>
      <c r="AC461" s="56">
        <f t="shared" si="166"/>
        <v>5.6587102838043784E-3</v>
      </c>
      <c r="AE461" s="20">
        <f t="shared" si="167"/>
        <v>2367630</v>
      </c>
      <c r="AF461" s="20">
        <f t="shared" si="168"/>
        <v>1930068000.0000002</v>
      </c>
      <c r="AG461">
        <f t="shared" si="178"/>
        <v>54337818.636775076</v>
      </c>
      <c r="AH461">
        <f t="shared" si="179"/>
        <v>60375354.040861197</v>
      </c>
      <c r="AI461">
        <f t="shared" si="180"/>
        <v>16695949475.283735</v>
      </c>
    </row>
    <row r="462" spans="1:35" x14ac:dyDescent="0.25">
      <c r="B462" s="4">
        <v>2026</v>
      </c>
      <c r="C462" s="4" t="s">
        <v>33</v>
      </c>
      <c r="D462" s="1" t="s">
        <v>81</v>
      </c>
      <c r="E462" s="4" t="str">
        <f t="shared" si="187"/>
        <v>FortisBC-CAN</v>
      </c>
      <c r="F462" s="4" t="s">
        <v>146</v>
      </c>
      <c r="G462" s="4"/>
      <c r="H462" s="11" t="s">
        <v>379</v>
      </c>
      <c r="I462" s="4"/>
      <c r="J462" s="4" t="s">
        <v>142</v>
      </c>
      <c r="K462" s="5">
        <v>564747.34086400003</v>
      </c>
      <c r="L462" s="5">
        <f>K462/_xlfn.XLOOKUP(C462,'Utility target list'!$K$2:$K$8,'Utility target list'!$L$2:$L$8,1,0,1)</f>
        <v>627497.04540444445</v>
      </c>
      <c r="M462" s="8">
        <v>2314720</v>
      </c>
      <c r="N462" s="8">
        <v>1944720</v>
      </c>
      <c r="O462" s="8">
        <f>SUMIFS(EIAwtransport!$J$2:$J$675,EIAwtransport!$E$2:$E$675,Program_data!$E462,EIAwtransport!$H$2:$H$675,Program_data!$F462,EIAwtransport!$I$2:$I$675,Program_data!O$2)</f>
        <v>555000000</v>
      </c>
      <c r="P462" s="5">
        <f>SUMIFS(EIAwtransport!$J$2:$J$675,EIAwtransport!$E$2:$E$675,Program_data!$E462,EIAwtransport!$H$2:$H$675,Program_data!$F462,EIAwtransport!$I$2:$I$675,Program_data!P$2)</f>
        <v>75825366.219932109</v>
      </c>
      <c r="Q462" s="5">
        <f>SUMIFS(EIAwtransport!$J$2:$J$675,EIAwtransport!$E$2:$E$675,Program_data!$E462,EIAwtransport!$H$2:$H$675,Program_data!$F462,EIAwtransport!$I$2:$I$675,Program_data!Q$2)</f>
        <v>98444</v>
      </c>
      <c r="R462" s="8">
        <f>SUMIFS(EIAwtransport!$J$2:$J$675,EIAwtransport!$E$2:$E$675,Program_data!$E462,EIAwtransport!$I$2:$I$675,Program_data!R$2)</f>
        <v>1429680000</v>
      </c>
      <c r="S462" s="5">
        <f>SUMIFS(EIAwtransport!$J$2:$J$675,EIAwtransport!$E$2:$E$675,Program_data!$E462,EIAwtransport!$I$2:$I$675,Program_data!S$2)</f>
        <v>158285451.98410821</v>
      </c>
      <c r="T462" s="5">
        <f>SUMIFS(EIAwtransport!$J$2:$J$675,EIAwtransport!$E$2:$E$675,Program_data!$E462,EIAwtransport!$I$2:$I$675,Program_data!T$2)</f>
        <v>1074614</v>
      </c>
      <c r="U462" s="24">
        <f t="shared" si="182"/>
        <v>3.4439230457302046E-4</v>
      </c>
      <c r="V462" s="24">
        <f t="shared" si="172"/>
        <v>3.8265811619224492E-4</v>
      </c>
      <c r="W462" s="24">
        <f t="shared" si="183"/>
        <v>1.6190476190476191E-3</v>
      </c>
      <c r="X462" s="25">
        <f t="shared" si="184"/>
        <v>1.411554685714285E-3</v>
      </c>
      <c r="Y462" s="8">
        <f t="shared" si="185"/>
        <v>0.33883719745155316</v>
      </c>
      <c r="Z462" s="27">
        <f t="shared" si="186"/>
        <v>0.23912234840817201</v>
      </c>
      <c r="AA462" s="27"/>
      <c r="AB462" s="27"/>
      <c r="AC462" s="56">
        <f t="shared" si="166"/>
        <v>5.4460942700357423E-3</v>
      </c>
      <c r="AE462" s="20">
        <f t="shared" si="167"/>
        <v>2625372</v>
      </c>
      <c r="AF462" s="20">
        <f t="shared" si="168"/>
        <v>1930068000.0000002</v>
      </c>
      <c r="AG462">
        <f t="shared" si="178"/>
        <v>59569549.514334723</v>
      </c>
      <c r="AH462">
        <f t="shared" si="179"/>
        <v>66188388.3492608</v>
      </c>
      <c r="AI462">
        <f t="shared" si="180"/>
        <v>16695949475.283735</v>
      </c>
    </row>
    <row r="463" spans="1:35" x14ac:dyDescent="0.25">
      <c r="B463" s="4">
        <v>2027</v>
      </c>
      <c r="C463" s="4" t="s">
        <v>33</v>
      </c>
      <c r="D463" s="1" t="s">
        <v>81</v>
      </c>
      <c r="E463" s="4" t="str">
        <f t="shared" si="187"/>
        <v>FortisBC-CAN</v>
      </c>
      <c r="F463" s="4" t="s">
        <v>146</v>
      </c>
      <c r="G463" s="4"/>
      <c r="H463" s="11" t="s">
        <v>379</v>
      </c>
      <c r="I463" s="4"/>
      <c r="J463" s="4" t="s">
        <v>142</v>
      </c>
      <c r="K463" s="5">
        <v>581874.39586099994</v>
      </c>
      <c r="L463" s="5">
        <f>K463/_xlfn.XLOOKUP(C463,'Utility target list'!$K$2:$K$8,'Utility target list'!$L$2:$L$8,1,0,1)</f>
        <v>646527.10651222209</v>
      </c>
      <c r="M463" s="8">
        <v>2516740</v>
      </c>
      <c r="N463" s="8">
        <v>2146740</v>
      </c>
      <c r="O463" s="8">
        <f>SUMIFS(EIAwtransport!$J$2:$J$675,EIAwtransport!$E$2:$E$675,Program_data!$E463,EIAwtransport!$H$2:$H$675,Program_data!$F463,EIAwtransport!$I$2:$I$675,Program_data!O$2)</f>
        <v>555000000</v>
      </c>
      <c r="P463" s="5">
        <f>SUMIFS(EIAwtransport!$J$2:$J$675,EIAwtransport!$E$2:$E$675,Program_data!$E463,EIAwtransport!$H$2:$H$675,Program_data!$F463,EIAwtransport!$I$2:$I$675,Program_data!P$2)</f>
        <v>75825366.219932109</v>
      </c>
      <c r="Q463" s="5">
        <f>SUMIFS(EIAwtransport!$J$2:$J$675,EIAwtransport!$E$2:$E$675,Program_data!$E463,EIAwtransport!$H$2:$H$675,Program_data!$F463,EIAwtransport!$I$2:$I$675,Program_data!Q$2)</f>
        <v>98444</v>
      </c>
      <c r="R463" s="8">
        <f>SUMIFS(EIAwtransport!$J$2:$J$675,EIAwtransport!$E$2:$E$675,Program_data!$E463,EIAwtransport!$I$2:$I$675,Program_data!R$2)</f>
        <v>1429680000</v>
      </c>
      <c r="S463" s="5">
        <f>SUMIFS(EIAwtransport!$J$2:$J$675,EIAwtransport!$E$2:$E$675,Program_data!$E463,EIAwtransport!$I$2:$I$675,Program_data!S$2)</f>
        <v>158285451.98410821</v>
      </c>
      <c r="T463" s="5">
        <f>SUMIFS(EIAwtransport!$J$2:$J$675,EIAwtransport!$E$2:$E$675,Program_data!$E463,EIAwtransport!$I$2:$I$675,Program_data!T$2)</f>
        <v>1074614</v>
      </c>
      <c r="U463" s="24">
        <f t="shared" si="182"/>
        <v>3.5483666705898051E-4</v>
      </c>
      <c r="V463" s="24">
        <f t="shared" si="172"/>
        <v>3.9426296339886718E-4</v>
      </c>
      <c r="W463" s="24">
        <f t="shared" si="183"/>
        <v>1.7603519668737059E-3</v>
      </c>
      <c r="X463" s="25">
        <f t="shared" si="184"/>
        <v>1.5347498357142851E-3</v>
      </c>
      <c r="Y463" s="8">
        <f t="shared" si="185"/>
        <v>0.3359163686476237</v>
      </c>
      <c r="Z463" s="27">
        <f t="shared" si="186"/>
        <v>0.23542514227467035</v>
      </c>
      <c r="AA463" s="27"/>
      <c r="AB463" s="27"/>
      <c r="AC463" s="56">
        <f t="shared" si="166"/>
        <v>5.0586187116881225E-3</v>
      </c>
      <c r="AE463" s="20">
        <f t="shared" si="167"/>
        <v>2898099</v>
      </c>
      <c r="AF463" s="20">
        <f t="shared" si="168"/>
        <v>1930068000.0000002</v>
      </c>
      <c r="AG463">
        <f t="shared" si="178"/>
        <v>61376111.275418274</v>
      </c>
      <c r="AH463">
        <f t="shared" si="179"/>
        <v>68195679.194909185</v>
      </c>
      <c r="AI463">
        <f t="shared" si="180"/>
        <v>16695949475.283735</v>
      </c>
    </row>
    <row r="464" spans="1:35" x14ac:dyDescent="0.25">
      <c r="A464" t="s">
        <v>310</v>
      </c>
      <c r="B464" s="4">
        <v>2024</v>
      </c>
      <c r="C464" s="4" t="s">
        <v>33</v>
      </c>
      <c r="D464" s="1" t="s">
        <v>81</v>
      </c>
      <c r="E464" s="4" t="str">
        <f t="shared" si="187"/>
        <v>FortisBC-CAN</v>
      </c>
      <c r="F464" s="4" t="s">
        <v>146</v>
      </c>
      <c r="G464" s="4"/>
      <c r="H464" s="11" t="s">
        <v>380</v>
      </c>
      <c r="I464" s="4"/>
      <c r="J464" s="4" t="s">
        <v>21</v>
      </c>
      <c r="K464" s="5">
        <v>284496.78073599999</v>
      </c>
      <c r="L464" s="5">
        <f>K464/_xlfn.XLOOKUP(C464,'Utility target list'!$K$2:$K$8,'Utility target list'!$L$2:$L$8,1,0,1)</f>
        <v>316107.53415111109</v>
      </c>
      <c r="M464" s="8">
        <v>2386500</v>
      </c>
      <c r="N464" s="8">
        <v>2312500</v>
      </c>
      <c r="O464" s="8">
        <f>SUMIFS(EIAwtransport!$J$2:$J$675,EIAwtransport!$E$2:$E$675,Program_data!$E464,EIAwtransport!$H$2:$H$675,Program_data!$F464,EIAwtransport!$I$2:$I$675,Program_data!O$2)</f>
        <v>555000000</v>
      </c>
      <c r="P464" s="5">
        <f>SUMIFS(EIAwtransport!$J$2:$J$675,EIAwtransport!$E$2:$E$675,Program_data!$E464,EIAwtransport!$H$2:$H$675,Program_data!$F464,EIAwtransport!$I$2:$I$675,Program_data!P$2)</f>
        <v>75825366.219932109</v>
      </c>
      <c r="Q464" s="5">
        <f>SUMIFS(EIAwtransport!$J$2:$J$675,EIAwtransport!$E$2:$E$675,Program_data!$E464,EIAwtransport!$H$2:$H$675,Program_data!$F464,EIAwtransport!$I$2:$I$675,Program_data!Q$2)</f>
        <v>98444</v>
      </c>
      <c r="R464" s="8">
        <f>SUMIFS(EIAwtransport!$J$2:$J$675,EIAwtransport!$E$2:$E$675,Program_data!$E464,EIAwtransport!$I$2:$I$675,Program_data!R$2)</f>
        <v>1429680000</v>
      </c>
      <c r="S464" s="5">
        <f>SUMIFS(EIAwtransport!$J$2:$J$675,EIAwtransport!$E$2:$E$675,Program_data!$E464,EIAwtransport!$I$2:$I$675,Program_data!S$2)</f>
        <v>158285451.98410821</v>
      </c>
      <c r="T464" s="5">
        <f>SUMIFS(EIAwtransport!$J$2:$J$675,EIAwtransport!$E$2:$E$675,Program_data!$E464,EIAwtransport!$I$2:$I$675,Program_data!T$2)</f>
        <v>1074614</v>
      </c>
      <c r="U464" s="55">
        <f t="shared" si="182"/>
        <v>1.7349086019843884E-4</v>
      </c>
      <c r="V464" s="24">
        <f t="shared" si="172"/>
        <v>1.9276762244270981E-4</v>
      </c>
      <c r="W464" s="24">
        <f t="shared" si="183"/>
        <v>1.6692546583850932E-3</v>
      </c>
      <c r="X464" s="25">
        <f t="shared" si="184"/>
        <v>1.455327321428571E-3</v>
      </c>
      <c r="Y464" s="8">
        <f t="shared" si="185"/>
        <v>0.40365722057218884</v>
      </c>
      <c r="Z464" s="27">
        <f t="shared" si="186"/>
        <v>0.29273783902211897</v>
      </c>
      <c r="AA464" s="27"/>
      <c r="AB464" s="27"/>
      <c r="AC464" s="56">
        <f t="shared" si="166"/>
        <v>2.4928519682712869E-3</v>
      </c>
      <c r="AE464" s="20">
        <f t="shared" si="167"/>
        <v>3121875</v>
      </c>
      <c r="AF464" s="20">
        <f t="shared" si="168"/>
        <v>1930068000.0000002</v>
      </c>
      <c r="AG464">
        <f t="shared" si="178"/>
        <v>30008720.432033278</v>
      </c>
      <c r="AH464">
        <f t="shared" si="179"/>
        <v>33343022.702259198</v>
      </c>
      <c r="AI464">
        <f t="shared" si="180"/>
        <v>16695949475.283735</v>
      </c>
    </row>
    <row r="465" spans="1:35" x14ac:dyDescent="0.25">
      <c r="B465" s="4">
        <v>2025</v>
      </c>
      <c r="C465" s="4" t="s">
        <v>33</v>
      </c>
      <c r="D465" s="1" t="s">
        <v>81</v>
      </c>
      <c r="E465" s="4" t="str">
        <f t="shared" si="187"/>
        <v>FortisBC-CAN</v>
      </c>
      <c r="F465" s="4" t="s">
        <v>146</v>
      </c>
      <c r="G465" s="4"/>
      <c r="H465" s="11" t="s">
        <v>380</v>
      </c>
      <c r="I465" s="4"/>
      <c r="J465" s="4" t="s">
        <v>142</v>
      </c>
      <c r="K465" s="5">
        <v>659339.48744399997</v>
      </c>
      <c r="L465" s="5">
        <f>K465/_xlfn.XLOOKUP(C465,'Utility target list'!$K$2:$K$8,'Utility target list'!$L$2:$L$8,1,0,1)</f>
        <v>732599.43049333326</v>
      </c>
      <c r="M465" s="8">
        <v>4865500</v>
      </c>
      <c r="N465" s="8">
        <v>4791500</v>
      </c>
      <c r="O465" s="8">
        <f>SUMIFS(EIAwtransport!$J$2:$J$675,EIAwtransport!$E$2:$E$675,Program_data!$E465,EIAwtransport!$H$2:$H$675,Program_data!$F465,EIAwtransport!$I$2:$I$675,Program_data!O$2)</f>
        <v>555000000</v>
      </c>
      <c r="P465" s="5">
        <f>SUMIFS(EIAwtransport!$J$2:$J$675,EIAwtransport!$E$2:$E$675,Program_data!$E465,EIAwtransport!$H$2:$H$675,Program_data!$F465,EIAwtransport!$I$2:$I$675,Program_data!P$2)</f>
        <v>75825366.219932109</v>
      </c>
      <c r="Q465" s="5">
        <f>SUMIFS(EIAwtransport!$J$2:$J$675,EIAwtransport!$E$2:$E$675,Program_data!$E465,EIAwtransport!$H$2:$H$675,Program_data!$F465,EIAwtransport!$I$2:$I$675,Program_data!Q$2)</f>
        <v>98444</v>
      </c>
      <c r="R465" s="8">
        <f>SUMIFS(EIAwtransport!$J$2:$J$675,EIAwtransport!$E$2:$E$675,Program_data!$E465,EIAwtransport!$I$2:$I$675,Program_data!R$2)</f>
        <v>1429680000</v>
      </c>
      <c r="S465" s="5">
        <f>SUMIFS(EIAwtransport!$J$2:$J$675,EIAwtransport!$E$2:$E$675,Program_data!$E465,EIAwtransport!$I$2:$I$675,Program_data!S$2)</f>
        <v>158285451.98410821</v>
      </c>
      <c r="T465" s="5">
        <f>SUMIFS(EIAwtransport!$J$2:$J$675,EIAwtransport!$E$2:$E$675,Program_data!$E465,EIAwtransport!$I$2:$I$675,Program_data!T$2)</f>
        <v>1074614</v>
      </c>
      <c r="U465" s="24">
        <f t="shared" si="182"/>
        <v>4.0207616600626995E-4</v>
      </c>
      <c r="V465" s="24">
        <f t="shared" si="172"/>
        <v>4.4675129556252222E-4</v>
      </c>
      <c r="W465" s="24">
        <f t="shared" si="183"/>
        <v>3.4032091097308489E-3</v>
      </c>
      <c r="X465" s="25">
        <f t="shared" si="184"/>
        <v>2.9670626785714273E-3</v>
      </c>
      <c r="Y465" s="8">
        <f t="shared" si="185"/>
        <v>0.82696324783559705</v>
      </c>
      <c r="Z465" s="27">
        <f t="shared" si="186"/>
        <v>0.57825396045669708</v>
      </c>
      <c r="AA465" s="27"/>
      <c r="AB465" s="27"/>
      <c r="AC465" s="56">
        <f t="shared" si="166"/>
        <v>7.24259944035193E-3</v>
      </c>
      <c r="AE465" s="20">
        <f t="shared" si="167"/>
        <v>6468525</v>
      </c>
      <c r="AF465" s="20">
        <f t="shared" si="168"/>
        <v>1930068000.0000002</v>
      </c>
      <c r="AG465">
        <f t="shared" si="178"/>
        <v>69547129.135593116</v>
      </c>
      <c r="AH465">
        <f t="shared" si="179"/>
        <v>77274587.928436801</v>
      </c>
      <c r="AI465">
        <f t="shared" si="180"/>
        <v>16695949475.283735</v>
      </c>
    </row>
    <row r="466" spans="1:35" x14ac:dyDescent="0.25">
      <c r="B466" s="4">
        <v>2026</v>
      </c>
      <c r="C466" s="4" t="s">
        <v>33</v>
      </c>
      <c r="D466" s="1" t="s">
        <v>81</v>
      </c>
      <c r="E466" s="4" t="str">
        <f t="shared" si="187"/>
        <v>FortisBC-CAN</v>
      </c>
      <c r="F466" s="4" t="s">
        <v>146</v>
      </c>
      <c r="G466" s="4"/>
      <c r="H466" s="11" t="s">
        <v>380</v>
      </c>
      <c r="I466" s="4"/>
      <c r="J466" s="4" t="s">
        <v>142</v>
      </c>
      <c r="K466" s="5">
        <v>1062370.274706</v>
      </c>
      <c r="L466" s="5">
        <f>K466/_xlfn.XLOOKUP(C466,'Utility target list'!$K$2:$K$8,'Utility target list'!$L$2:$L$8,1,0,1)</f>
        <v>1180411.41634</v>
      </c>
      <c r="M466" s="8">
        <v>7354120</v>
      </c>
      <c r="N466" s="8">
        <v>7280120</v>
      </c>
      <c r="O466" s="8">
        <f>SUMIFS(EIAwtransport!$J$2:$J$675,EIAwtransport!$E$2:$E$675,Program_data!$E466,EIAwtransport!$H$2:$H$675,Program_data!$F466,EIAwtransport!$I$2:$I$675,Program_data!O$2)</f>
        <v>555000000</v>
      </c>
      <c r="P466" s="5">
        <f>SUMIFS(EIAwtransport!$J$2:$J$675,EIAwtransport!$E$2:$E$675,Program_data!$E466,EIAwtransport!$H$2:$H$675,Program_data!$F466,EIAwtransport!$I$2:$I$675,Program_data!P$2)</f>
        <v>75825366.219932109</v>
      </c>
      <c r="Q466" s="5">
        <f>SUMIFS(EIAwtransport!$J$2:$J$675,EIAwtransport!$E$2:$E$675,Program_data!$E466,EIAwtransport!$H$2:$H$675,Program_data!$F466,EIAwtransport!$I$2:$I$675,Program_data!Q$2)</f>
        <v>98444</v>
      </c>
      <c r="R466" s="8">
        <f>SUMIFS(EIAwtransport!$J$2:$J$675,EIAwtransport!$E$2:$E$675,Program_data!$E466,EIAwtransport!$I$2:$I$675,Program_data!R$2)</f>
        <v>1429680000</v>
      </c>
      <c r="S466" s="5">
        <f>SUMIFS(EIAwtransport!$J$2:$J$675,EIAwtransport!$E$2:$E$675,Program_data!$E466,EIAwtransport!$I$2:$I$675,Program_data!S$2)</f>
        <v>158285451.98410821</v>
      </c>
      <c r="T466" s="5">
        <f>SUMIFS(EIAwtransport!$J$2:$J$675,EIAwtransport!$E$2:$E$675,Program_data!$E466,EIAwtransport!$I$2:$I$675,Program_data!T$2)</f>
        <v>1074614</v>
      </c>
      <c r="U466" s="24">
        <f t="shared" si="182"/>
        <v>6.4785103132336812E-4</v>
      </c>
      <c r="V466" s="24">
        <f t="shared" si="172"/>
        <v>7.1983447924818674E-4</v>
      </c>
      <c r="W466" s="24">
        <f t="shared" si="183"/>
        <v>5.1438923395445138E-3</v>
      </c>
      <c r="X466" s="25">
        <f t="shared" si="184"/>
        <v>4.48466447142857E-3</v>
      </c>
      <c r="Y466" s="8">
        <f t="shared" si="185"/>
        <v>1.076523039729391</v>
      </c>
      <c r="Z466" s="27">
        <f t="shared" si="186"/>
        <v>0.7597179982354263</v>
      </c>
      <c r="AA466" s="27"/>
      <c r="AB466" s="27"/>
      <c r="AC466" s="56">
        <f t="shared" si="166"/>
        <v>1.024487987297305E-2</v>
      </c>
      <c r="AE466" s="20">
        <f t="shared" si="167"/>
        <v>9828162</v>
      </c>
      <c r="AF466" s="20">
        <f t="shared" si="168"/>
        <v>1930068000.0000002</v>
      </c>
      <c r="AG466">
        <f t="shared" si="178"/>
        <v>112058816.57598889</v>
      </c>
      <c r="AH466">
        <f t="shared" si="179"/>
        <v>124509796.1955432</v>
      </c>
      <c r="AI466">
        <f t="shared" si="180"/>
        <v>16695949475.283735</v>
      </c>
    </row>
    <row r="467" spans="1:35" x14ac:dyDescent="0.25">
      <c r="B467" s="4">
        <v>2027</v>
      </c>
      <c r="C467" s="4" t="s">
        <v>33</v>
      </c>
      <c r="D467" s="1" t="s">
        <v>81</v>
      </c>
      <c r="E467" s="4" t="str">
        <f t="shared" si="187"/>
        <v>FortisBC-CAN</v>
      </c>
      <c r="F467" s="4" t="s">
        <v>146</v>
      </c>
      <c r="G467" s="4"/>
      <c r="H467" s="11" t="s">
        <v>380</v>
      </c>
      <c r="I467" s="4"/>
      <c r="J467" s="4" t="s">
        <v>142</v>
      </c>
      <c r="K467" s="5">
        <v>1344933.508558</v>
      </c>
      <c r="L467" s="5">
        <f>K467/_xlfn.XLOOKUP(C467,'Utility target list'!$K$2:$K$8,'Utility target list'!$L$2:$L$8,1,0,1)</f>
        <v>1494370.5650644444</v>
      </c>
      <c r="M467" s="8">
        <v>8968800</v>
      </c>
      <c r="N467" s="8">
        <v>8894800</v>
      </c>
      <c r="O467" s="8">
        <f>SUMIFS(EIAwtransport!$J$2:$J$675,EIAwtransport!$E$2:$E$675,Program_data!$E467,EIAwtransport!$H$2:$H$675,Program_data!$F467,EIAwtransport!$I$2:$I$675,Program_data!O$2)</f>
        <v>555000000</v>
      </c>
      <c r="P467" s="5">
        <f>SUMIFS(EIAwtransport!$J$2:$J$675,EIAwtransport!$E$2:$E$675,Program_data!$E467,EIAwtransport!$H$2:$H$675,Program_data!$F467,EIAwtransport!$I$2:$I$675,Program_data!P$2)</f>
        <v>75825366.219932109</v>
      </c>
      <c r="Q467" s="5">
        <f>SUMIFS(EIAwtransport!$J$2:$J$675,EIAwtransport!$E$2:$E$675,Program_data!$E467,EIAwtransport!$H$2:$H$675,Program_data!$F467,EIAwtransport!$I$2:$I$675,Program_data!Q$2)</f>
        <v>98444</v>
      </c>
      <c r="R467" s="8">
        <f>SUMIFS(EIAwtransport!$J$2:$J$675,EIAwtransport!$E$2:$E$675,Program_data!$E467,EIAwtransport!$I$2:$I$675,Program_data!R$2)</f>
        <v>1429680000</v>
      </c>
      <c r="S467" s="5">
        <f>SUMIFS(EIAwtransport!$J$2:$J$675,EIAwtransport!$E$2:$E$675,Program_data!$E467,EIAwtransport!$I$2:$I$675,Program_data!S$2)</f>
        <v>158285451.98410821</v>
      </c>
      <c r="T467" s="5">
        <f>SUMIFS(EIAwtransport!$J$2:$J$675,EIAwtransport!$E$2:$E$675,Program_data!$E467,EIAwtransport!$I$2:$I$675,Program_data!T$2)</f>
        <v>1074614</v>
      </c>
      <c r="U467" s="24">
        <f t="shared" si="182"/>
        <v>8.2016278253058627E-4</v>
      </c>
      <c r="V467" s="24">
        <f t="shared" si="172"/>
        <v>9.1129198058954029E-4</v>
      </c>
      <c r="W467" s="24">
        <f t="shared" si="183"/>
        <v>6.2732919254658388E-3</v>
      </c>
      <c r="X467" s="25">
        <f t="shared" si="184"/>
        <v>5.4693231428571409E-3</v>
      </c>
      <c r="Y467" s="8">
        <f t="shared" si="185"/>
        <v>1.1970909697174945</v>
      </c>
      <c r="Z467" s="27">
        <f t="shared" si="186"/>
        <v>0.83897463227550861</v>
      </c>
      <c r="AA467" s="27"/>
      <c r="AB467" s="27"/>
      <c r="AC467" s="56">
        <f t="shared" si="166"/>
        <v>1.1692395920430051E-2</v>
      </c>
      <c r="AE467" s="20">
        <f t="shared" si="167"/>
        <v>12007980</v>
      </c>
      <c r="AF467" s="20">
        <f t="shared" si="168"/>
        <v>1930068000.0000002</v>
      </c>
      <c r="AG467">
        <f t="shared" si="178"/>
        <v>141863586.48269784</v>
      </c>
      <c r="AH467">
        <f t="shared" si="179"/>
        <v>157626207.2029976</v>
      </c>
      <c r="AI467">
        <f t="shared" si="180"/>
        <v>16695949475.283735</v>
      </c>
    </row>
    <row r="468" spans="1:35" x14ac:dyDescent="0.25">
      <c r="B468" s="4"/>
      <c r="C468" s="4"/>
      <c r="D468" s="1"/>
      <c r="E468" s="4"/>
      <c r="F468" s="4"/>
      <c r="G468" s="4"/>
      <c r="H468" s="11"/>
      <c r="I468" s="4"/>
      <c r="J468" s="4"/>
      <c r="K468" s="5"/>
      <c r="L468" s="5"/>
      <c r="M468" s="8"/>
      <c r="N468" s="8"/>
      <c r="O468" s="8">
        <f>SUMIFS(EIAwtransport!$J$2:$J$675,EIAwtransport!$E$2:$E$675,Program_data!$E468,EIAwtransport!$H$2:$H$675,Program_data!$F468,EIAwtransport!$I$2:$I$675,Program_data!O$2)</f>
        <v>0</v>
      </c>
      <c r="P468" s="5">
        <f>SUMIFS(EIAwtransport!$J$2:$J$675,EIAwtransport!$E$2:$E$675,Program_data!$E468,EIAwtransport!$H$2:$H$675,Program_data!$F468,EIAwtransport!$I$2:$I$675,Program_data!P$2)</f>
        <v>0</v>
      </c>
      <c r="Q468" s="5">
        <f>SUMIFS(EIAwtransport!$J$2:$J$675,EIAwtransport!$E$2:$E$675,Program_data!$E468,EIAwtransport!$H$2:$H$675,Program_data!$F468,EIAwtransport!$I$2:$I$675,Program_data!Q$2)</f>
        <v>0</v>
      </c>
      <c r="R468" s="8">
        <f>SUMIFS(EIAwtransport!$J$2:$J$675,EIAwtransport!$E$2:$E$675,Program_data!$E468,EIAwtransport!$I$2:$I$675,Program_data!R$2)</f>
        <v>0</v>
      </c>
      <c r="S468" s="5">
        <f>SUMIFS(EIAwtransport!$J$2:$J$675,EIAwtransport!$E$2:$E$675,Program_data!$E468,EIAwtransport!$I$2:$I$675,Program_data!S$2)</f>
        <v>0</v>
      </c>
      <c r="T468" s="5">
        <f>SUMIFS(EIAwtransport!$J$2:$J$675,EIAwtransport!$E$2:$E$675,Program_data!$E468,EIAwtransport!$I$2:$I$675,Program_data!T$2)</f>
        <v>0</v>
      </c>
      <c r="U468" s="97" t="str">
        <f t="shared" si="182"/>
        <v/>
      </c>
      <c r="V468" s="24" t="str">
        <f t="shared" si="172"/>
        <v/>
      </c>
      <c r="W468" s="24" t="str">
        <f t="shared" si="183"/>
        <v/>
      </c>
      <c r="X468" s="25" t="str">
        <f t="shared" si="184"/>
        <v/>
      </c>
      <c r="Y468" s="8" t="str">
        <f t="shared" si="185"/>
        <v/>
      </c>
      <c r="Z468" s="27" t="str">
        <f t="shared" si="186"/>
        <v/>
      </c>
      <c r="AA468" s="27"/>
      <c r="AB468" s="27"/>
      <c r="AC468" s="56" t="str">
        <f t="shared" si="166"/>
        <v/>
      </c>
      <c r="AE468" s="20">
        <f t="shared" si="167"/>
        <v>0</v>
      </c>
      <c r="AF468" s="20">
        <f t="shared" si="168"/>
        <v>0</v>
      </c>
      <c r="AG468">
        <f t="shared" si="178"/>
        <v>0</v>
      </c>
      <c r="AH468">
        <f t="shared" si="179"/>
        <v>0</v>
      </c>
      <c r="AI468">
        <f t="shared" si="180"/>
        <v>0</v>
      </c>
    </row>
    <row r="469" spans="1:35" x14ac:dyDescent="0.25">
      <c r="B469" s="4">
        <v>2025</v>
      </c>
      <c r="C469" s="4" t="s">
        <v>33</v>
      </c>
      <c r="D469" s="1" t="s">
        <v>81</v>
      </c>
      <c r="E469" s="4" t="str">
        <f t="shared" ref="E469:E475" si="188">D469&amp;"-"&amp;C469</f>
        <v>FortisBC-CAN</v>
      </c>
      <c r="F469" s="4" t="s">
        <v>146</v>
      </c>
      <c r="G469" s="4"/>
      <c r="H469" s="11" t="s">
        <v>381</v>
      </c>
      <c r="I469" s="4"/>
      <c r="J469" s="4" t="s">
        <v>155</v>
      </c>
      <c r="K469" s="5">
        <v>0</v>
      </c>
      <c r="L469" s="38"/>
      <c r="M469" s="8">
        <v>111000</v>
      </c>
      <c r="N469" s="8">
        <v>0</v>
      </c>
      <c r="O469" s="8">
        <f>SUMIFS(EIAwtransport!$J$2:$J$675,EIAwtransport!$E$2:$E$675,Program_data!$E469,EIAwtransport!$H$2:$H$675,Program_data!$F469,EIAwtransport!$I$2:$I$675,Program_data!O$2)</f>
        <v>555000000</v>
      </c>
      <c r="P469" s="5">
        <f>SUMIFS(EIAwtransport!$J$2:$J$675,EIAwtransport!$E$2:$E$675,Program_data!$E469,EIAwtransport!$H$2:$H$675,Program_data!$F469,EIAwtransport!$I$2:$I$675,Program_data!P$2)</f>
        <v>75825366.219932109</v>
      </c>
      <c r="Q469" s="5">
        <f>SUMIFS(EIAwtransport!$J$2:$J$675,EIAwtransport!$E$2:$E$675,Program_data!$E469,EIAwtransport!$H$2:$H$675,Program_data!$F469,EIAwtransport!$I$2:$I$675,Program_data!Q$2)</f>
        <v>98444</v>
      </c>
      <c r="R469" s="8">
        <f>SUMIFS(EIAwtransport!$J$2:$J$675,EIAwtransport!$E$2:$E$675,Program_data!$E469,EIAwtransport!$I$2:$I$675,Program_data!R$2)</f>
        <v>1429680000</v>
      </c>
      <c r="S469" s="5">
        <f>SUMIFS(EIAwtransport!$J$2:$J$675,EIAwtransport!$E$2:$E$675,Program_data!$E469,EIAwtransport!$I$2:$I$675,Program_data!S$2)</f>
        <v>158285451.98410821</v>
      </c>
      <c r="T469" s="5">
        <f>SUMIFS(EIAwtransport!$J$2:$J$675,EIAwtransport!$E$2:$E$675,Program_data!$E469,EIAwtransport!$I$2:$I$675,Program_data!T$2)</f>
        <v>1074614</v>
      </c>
      <c r="U469" s="24">
        <f t="shared" si="182"/>
        <v>0</v>
      </c>
      <c r="V469" s="24">
        <f t="shared" si="172"/>
        <v>0</v>
      </c>
      <c r="W469" s="24">
        <f t="shared" si="183"/>
        <v>7.7639751552795034E-5</v>
      </c>
      <c r="X469" s="25">
        <f t="shared" si="184"/>
        <v>6.7689642857142826E-5</v>
      </c>
      <c r="Y469" s="8">
        <f t="shared" si="185"/>
        <v>1.8866081699671414E-2</v>
      </c>
      <c r="Z469" s="27">
        <f t="shared" si="186"/>
        <v>1.3192105561749743E-2</v>
      </c>
      <c r="AA469" s="27"/>
      <c r="AB469" s="27"/>
      <c r="AC469" s="56">
        <f t="shared" si="166"/>
        <v>0</v>
      </c>
      <c r="AE469" s="20">
        <f t="shared" si="167"/>
        <v>0</v>
      </c>
      <c r="AF469" s="20">
        <f t="shared" si="168"/>
        <v>1930068000.0000002</v>
      </c>
      <c r="AG469">
        <f t="shared" si="178"/>
        <v>0</v>
      </c>
      <c r="AH469">
        <f t="shared" si="179"/>
        <v>0</v>
      </c>
      <c r="AI469">
        <f t="shared" si="180"/>
        <v>16695949475.283735</v>
      </c>
    </row>
    <row r="470" spans="1:35" x14ac:dyDescent="0.25">
      <c r="B470" s="4">
        <v>2026</v>
      </c>
      <c r="C470" s="4" t="s">
        <v>33</v>
      </c>
      <c r="D470" s="1" t="s">
        <v>81</v>
      </c>
      <c r="E470" s="4" t="str">
        <f t="shared" si="188"/>
        <v>FortisBC-CAN</v>
      </c>
      <c r="F470" s="4" t="s">
        <v>146</v>
      </c>
      <c r="G470" s="4"/>
      <c r="H470" s="11" t="s">
        <v>381</v>
      </c>
      <c r="I470" s="4"/>
      <c r="J470" s="4" t="s">
        <v>32</v>
      </c>
      <c r="K470" s="5">
        <v>19657.726653999998</v>
      </c>
      <c r="L470" s="5">
        <f>K470/_xlfn.XLOOKUP(C470,'Utility target list'!$K$2:$K$8,'Utility target list'!$L$2:$L$8,1,0,1)</f>
        <v>21841.918504444442</v>
      </c>
      <c r="M470" s="8">
        <v>703000</v>
      </c>
      <c r="N470" s="8">
        <v>592000</v>
      </c>
      <c r="O470" s="8">
        <f>SUMIFS(EIAwtransport!$J$2:$J$675,EIAwtransport!$E$2:$E$675,Program_data!$E470,EIAwtransport!$H$2:$H$675,Program_data!$F470,EIAwtransport!$I$2:$I$675,Program_data!O$2)</f>
        <v>555000000</v>
      </c>
      <c r="P470" s="5">
        <f>SUMIFS(EIAwtransport!$J$2:$J$675,EIAwtransport!$E$2:$E$675,Program_data!$E470,EIAwtransport!$H$2:$H$675,Program_data!$F470,EIAwtransport!$I$2:$I$675,Program_data!P$2)</f>
        <v>75825366.219932109</v>
      </c>
      <c r="Q470" s="5">
        <f>SUMIFS(EIAwtransport!$J$2:$J$675,EIAwtransport!$E$2:$E$675,Program_data!$E470,EIAwtransport!$H$2:$H$675,Program_data!$F470,EIAwtransport!$I$2:$I$675,Program_data!Q$2)</f>
        <v>98444</v>
      </c>
      <c r="R470" s="8">
        <f>SUMIFS(EIAwtransport!$J$2:$J$675,EIAwtransport!$E$2:$E$675,Program_data!$E470,EIAwtransport!$I$2:$I$675,Program_data!R$2)</f>
        <v>1429680000</v>
      </c>
      <c r="S470" s="5">
        <f>SUMIFS(EIAwtransport!$J$2:$J$675,EIAwtransport!$E$2:$E$675,Program_data!$E470,EIAwtransport!$I$2:$I$675,Program_data!S$2)</f>
        <v>158285451.98410821</v>
      </c>
      <c r="T470" s="5">
        <f>SUMIFS(EIAwtransport!$J$2:$J$675,EIAwtransport!$E$2:$E$675,Program_data!$E470,EIAwtransport!$I$2:$I$675,Program_data!T$2)</f>
        <v>1074614</v>
      </c>
      <c r="U470" s="24">
        <f t="shared" si="182"/>
        <v>1.1987608077410785E-5</v>
      </c>
      <c r="V470" s="24">
        <f t="shared" si="172"/>
        <v>1.3319564530456428E-5</v>
      </c>
      <c r="W470" s="24">
        <f t="shared" si="183"/>
        <v>4.9171842650103516E-4</v>
      </c>
      <c r="X470" s="25">
        <f t="shared" si="184"/>
        <v>4.2870107142857126E-4</v>
      </c>
      <c r="Y470" s="8">
        <f t="shared" si="185"/>
        <v>0.10290771661731953</v>
      </c>
      <c r="Z470" s="27">
        <f t="shared" si="186"/>
        <v>7.2623475379719762E-2</v>
      </c>
      <c r="AA470" s="27"/>
      <c r="AB470" s="27"/>
      <c r="AC470" s="56">
        <f t="shared" ref="AC470:AC533" si="189">IFERROR(K470/SUMIFS($M$3:$M$1234,$E$3:$E$1234,E470,$B$3:$B$1234,B470),"")</f>
        <v>1.8956766105085473E-4</v>
      </c>
      <c r="AE470" s="20">
        <f t="shared" si="167"/>
        <v>799200</v>
      </c>
      <c r="AF470" s="20">
        <f t="shared" si="168"/>
        <v>1930068000.0000002</v>
      </c>
      <c r="AG470">
        <f t="shared" si="178"/>
        <v>2073497.0074639199</v>
      </c>
      <c r="AH470">
        <f t="shared" si="179"/>
        <v>2303885.5638488</v>
      </c>
      <c r="AI470">
        <f t="shared" si="180"/>
        <v>16695949475.283735</v>
      </c>
    </row>
    <row r="471" spans="1:35" x14ac:dyDescent="0.25">
      <c r="B471" s="4">
        <v>2027</v>
      </c>
      <c r="C471" s="4" t="s">
        <v>33</v>
      </c>
      <c r="D471" s="1" t="s">
        <v>81</v>
      </c>
      <c r="E471" s="4" t="str">
        <f t="shared" si="188"/>
        <v>FortisBC-CAN</v>
      </c>
      <c r="F471" s="4" t="s">
        <v>146</v>
      </c>
      <c r="G471" s="4"/>
      <c r="H471" s="11" t="s">
        <v>381</v>
      </c>
      <c r="I471" s="4"/>
      <c r="J471" s="4" t="s">
        <v>32</v>
      </c>
      <c r="K471" s="5">
        <v>43675.411968</v>
      </c>
      <c r="L471" s="5">
        <f>K471/_xlfn.XLOOKUP(C471,'Utility target list'!$K$2:$K$8,'Utility target list'!$L$2:$L$8,1,0,1)</f>
        <v>48528.235520000002</v>
      </c>
      <c r="M471" s="8">
        <v>1295000</v>
      </c>
      <c r="N471" s="8">
        <v>1184000</v>
      </c>
      <c r="O471" s="8">
        <f>SUMIFS(EIAwtransport!$J$2:$J$675,EIAwtransport!$E$2:$E$675,Program_data!$E471,EIAwtransport!$H$2:$H$675,Program_data!$F471,EIAwtransport!$I$2:$I$675,Program_data!O$2)</f>
        <v>555000000</v>
      </c>
      <c r="P471" s="5">
        <f>SUMIFS(EIAwtransport!$J$2:$J$675,EIAwtransport!$E$2:$E$675,Program_data!$E471,EIAwtransport!$H$2:$H$675,Program_data!$F471,EIAwtransport!$I$2:$I$675,Program_data!P$2)</f>
        <v>75825366.219932109</v>
      </c>
      <c r="Q471" s="5">
        <f>SUMIFS(EIAwtransport!$J$2:$J$675,EIAwtransport!$E$2:$E$675,Program_data!$E471,EIAwtransport!$H$2:$H$675,Program_data!$F471,EIAwtransport!$I$2:$I$675,Program_data!Q$2)</f>
        <v>98444</v>
      </c>
      <c r="R471" s="8">
        <f>SUMIFS(EIAwtransport!$J$2:$J$675,EIAwtransport!$E$2:$E$675,Program_data!$E471,EIAwtransport!$I$2:$I$675,Program_data!R$2)</f>
        <v>1429680000</v>
      </c>
      <c r="S471" s="5">
        <f>SUMIFS(EIAwtransport!$J$2:$J$675,EIAwtransport!$E$2:$E$675,Program_data!$E471,EIAwtransport!$I$2:$I$675,Program_data!S$2)</f>
        <v>158285451.98410821</v>
      </c>
      <c r="T471" s="5">
        <f>SUMIFS(EIAwtransport!$J$2:$J$675,EIAwtransport!$E$2:$E$675,Program_data!$E471,EIAwtransport!$I$2:$I$675,Program_data!T$2)</f>
        <v>1074614</v>
      </c>
      <c r="U471" s="24">
        <f t="shared" si="182"/>
        <v>2.6633991331103622E-5</v>
      </c>
      <c r="V471" s="24">
        <f t="shared" si="172"/>
        <v>2.9593323701226244E-5</v>
      </c>
      <c r="W471" s="24">
        <f t="shared" si="183"/>
        <v>9.0579710144927537E-4</v>
      </c>
      <c r="X471" s="25">
        <f t="shared" si="184"/>
        <v>7.8971249999999966E-4</v>
      </c>
      <c r="Y471" s="8">
        <f t="shared" si="185"/>
        <v>0.17284729348231151</v>
      </c>
      <c r="Z471" s="27">
        <f t="shared" si="186"/>
        <v>0.12113907644242079</v>
      </c>
      <c r="AA471" s="27"/>
      <c r="AB471" s="27"/>
      <c r="AC471" s="56">
        <f t="shared" si="189"/>
        <v>3.7969922339526756E-4</v>
      </c>
      <c r="AE471" s="20">
        <f t="shared" si="167"/>
        <v>1598400</v>
      </c>
      <c r="AF471" s="20">
        <f t="shared" si="168"/>
        <v>1930068000.0000002</v>
      </c>
      <c r="AG471">
        <f t="shared" si="178"/>
        <v>4606882.4543846399</v>
      </c>
      <c r="AH471">
        <f t="shared" si="179"/>
        <v>5118758.2826495999</v>
      </c>
      <c r="AI471">
        <f t="shared" si="180"/>
        <v>16695949475.283735</v>
      </c>
    </row>
    <row r="472" spans="1:35" x14ac:dyDescent="0.25">
      <c r="A472" t="s">
        <v>310</v>
      </c>
      <c r="B472" s="4">
        <v>2024</v>
      </c>
      <c r="C472" s="4" t="s">
        <v>33</v>
      </c>
      <c r="D472" s="1" t="s">
        <v>81</v>
      </c>
      <c r="E472" s="4" t="str">
        <f t="shared" si="188"/>
        <v>FortisBC-CAN</v>
      </c>
      <c r="F472" s="4" t="s">
        <v>146</v>
      </c>
      <c r="G472" s="4"/>
      <c r="H472" s="11" t="s">
        <v>382</v>
      </c>
      <c r="I472" s="4"/>
      <c r="J472" s="4" t="s">
        <v>21</v>
      </c>
      <c r="K472" s="5">
        <v>136552.009597</v>
      </c>
      <c r="L472" s="5">
        <f>K472/_xlfn.XLOOKUP(C472,'Utility target list'!$K$2:$K$8,'Utility target list'!$L$2:$L$8,1,0,1)</f>
        <v>151724.45510777776</v>
      </c>
      <c r="M472" s="8">
        <v>569060</v>
      </c>
      <c r="N472" s="8">
        <v>273060</v>
      </c>
      <c r="O472" s="8">
        <f>SUMIFS(EIAwtransport!$J$2:$J$675,EIAwtransport!$E$2:$E$675,Program_data!$E472,EIAwtransport!$H$2:$H$675,Program_data!$F472,EIAwtransport!$I$2:$I$675,Program_data!O$2)</f>
        <v>555000000</v>
      </c>
      <c r="P472" s="5">
        <f>SUMIFS(EIAwtransport!$J$2:$J$675,EIAwtransport!$E$2:$E$675,Program_data!$E472,EIAwtransport!$H$2:$H$675,Program_data!$F472,EIAwtransport!$I$2:$I$675,Program_data!P$2)</f>
        <v>75825366.219932109</v>
      </c>
      <c r="Q472" s="5">
        <f>SUMIFS(EIAwtransport!$J$2:$J$675,EIAwtransport!$E$2:$E$675,Program_data!$E472,EIAwtransport!$H$2:$H$675,Program_data!$F472,EIAwtransport!$I$2:$I$675,Program_data!Q$2)</f>
        <v>98444</v>
      </c>
      <c r="R472" s="8">
        <f>SUMIFS(EIAwtransport!$J$2:$J$675,EIAwtransport!$E$2:$E$675,Program_data!$E472,EIAwtransport!$I$2:$I$675,Program_data!R$2)</f>
        <v>1429680000</v>
      </c>
      <c r="S472" s="5">
        <f>SUMIFS(EIAwtransport!$J$2:$J$675,EIAwtransport!$E$2:$E$675,Program_data!$E472,EIAwtransport!$I$2:$I$675,Program_data!S$2)</f>
        <v>158285451.98410821</v>
      </c>
      <c r="T472" s="5">
        <f>SUMIFS(EIAwtransport!$J$2:$J$675,EIAwtransport!$E$2:$E$675,Program_data!$E472,EIAwtransport!$I$2:$I$675,Program_data!T$2)</f>
        <v>1074614</v>
      </c>
      <c r="U472" s="55">
        <f t="shared" si="182"/>
        <v>8.3271682531946579E-5</v>
      </c>
      <c r="V472" s="24">
        <f t="shared" si="172"/>
        <v>9.2524091702162855E-5</v>
      </c>
      <c r="W472" s="24">
        <f t="shared" si="183"/>
        <v>3.9803312629399588E-4</v>
      </c>
      <c r="X472" s="25">
        <f t="shared" si="184"/>
        <v>3.470222357142856E-4</v>
      </c>
      <c r="Y472" s="8">
        <f t="shared" si="185"/>
        <v>9.6251907789151381E-2</v>
      </c>
      <c r="Z472" s="27">
        <f t="shared" si="186"/>
        <v>6.9803224250545581E-2</v>
      </c>
      <c r="AA472" s="27"/>
      <c r="AB472" s="27"/>
      <c r="AC472" s="56">
        <f t="shared" si="189"/>
        <v>1.1965124702453503E-3</v>
      </c>
      <c r="AE472" s="20">
        <f t="shared" si="167"/>
        <v>368631</v>
      </c>
      <c r="AF472" s="20">
        <f t="shared" si="168"/>
        <v>1930068000.0000002</v>
      </c>
      <c r="AG472">
        <f t="shared" si="178"/>
        <v>14403505.972291561</v>
      </c>
      <c r="AH472">
        <f t="shared" si="179"/>
        <v>16003895.524768399</v>
      </c>
      <c r="AI472">
        <f t="shared" si="180"/>
        <v>16695949475.283735</v>
      </c>
    </row>
    <row r="473" spans="1:35" x14ac:dyDescent="0.25">
      <c r="B473" s="4">
        <v>2025</v>
      </c>
      <c r="C473" s="4" t="s">
        <v>33</v>
      </c>
      <c r="D473" s="1" t="s">
        <v>81</v>
      </c>
      <c r="E473" s="4" t="str">
        <f t="shared" si="188"/>
        <v>FortisBC-CAN</v>
      </c>
      <c r="F473" s="4" t="s">
        <v>146</v>
      </c>
      <c r="G473" s="4"/>
      <c r="H473" s="11" t="s">
        <v>382</v>
      </c>
      <c r="I473" s="4"/>
      <c r="J473" s="4" t="s">
        <v>142</v>
      </c>
      <c r="K473" s="5">
        <v>136552.009597</v>
      </c>
      <c r="L473" s="5">
        <f>K473/_xlfn.XLOOKUP(C473,'Utility target list'!$K$2:$K$8,'Utility target list'!$L$2:$L$8,1,0,1)</f>
        <v>151724.45510777776</v>
      </c>
      <c r="M473" s="8">
        <v>569060</v>
      </c>
      <c r="N473" s="8">
        <v>273060</v>
      </c>
      <c r="O473" s="8">
        <f>SUMIFS(EIAwtransport!$J$2:$J$675,EIAwtransport!$E$2:$E$675,Program_data!$E473,EIAwtransport!$H$2:$H$675,Program_data!$F473,EIAwtransport!$I$2:$I$675,Program_data!O$2)</f>
        <v>555000000</v>
      </c>
      <c r="P473" s="5">
        <f>SUMIFS(EIAwtransport!$J$2:$J$675,EIAwtransport!$E$2:$E$675,Program_data!$E473,EIAwtransport!$H$2:$H$675,Program_data!$F473,EIAwtransport!$I$2:$I$675,Program_data!P$2)</f>
        <v>75825366.219932109</v>
      </c>
      <c r="Q473" s="5">
        <f>SUMIFS(EIAwtransport!$J$2:$J$675,EIAwtransport!$E$2:$E$675,Program_data!$E473,EIAwtransport!$H$2:$H$675,Program_data!$F473,EIAwtransport!$I$2:$I$675,Program_data!Q$2)</f>
        <v>98444</v>
      </c>
      <c r="R473" s="8">
        <f>SUMIFS(EIAwtransport!$J$2:$J$675,EIAwtransport!$E$2:$E$675,Program_data!$E473,EIAwtransport!$I$2:$I$675,Program_data!R$2)</f>
        <v>1429680000</v>
      </c>
      <c r="S473" s="5">
        <f>SUMIFS(EIAwtransport!$J$2:$J$675,EIAwtransport!$E$2:$E$675,Program_data!$E473,EIAwtransport!$I$2:$I$675,Program_data!S$2)</f>
        <v>158285451.98410821</v>
      </c>
      <c r="T473" s="5">
        <f>SUMIFS(EIAwtransport!$J$2:$J$675,EIAwtransport!$E$2:$E$675,Program_data!$E473,EIAwtransport!$I$2:$I$675,Program_data!T$2)</f>
        <v>1074614</v>
      </c>
      <c r="U473" s="24">
        <f t="shared" si="182"/>
        <v>8.3271682531946579E-5</v>
      </c>
      <c r="V473" s="24">
        <f t="shared" si="172"/>
        <v>9.2524091702162855E-5</v>
      </c>
      <c r="W473" s="24">
        <f t="shared" si="183"/>
        <v>3.9803312629399588E-4</v>
      </c>
      <c r="X473" s="25">
        <f t="shared" si="184"/>
        <v>3.470222357142856E-4</v>
      </c>
      <c r="Y473" s="8">
        <f t="shared" si="185"/>
        <v>9.6720112180315454E-2</v>
      </c>
      <c r="Z473" s="27">
        <f t="shared" si="186"/>
        <v>6.7631527846570352E-2</v>
      </c>
      <c r="AA473" s="27"/>
      <c r="AB473" s="27"/>
      <c r="AC473" s="56">
        <f t="shared" si="189"/>
        <v>1.4999731202511395E-3</v>
      </c>
      <c r="AE473" s="20">
        <f t="shared" si="167"/>
        <v>368631</v>
      </c>
      <c r="AF473" s="20">
        <f t="shared" si="168"/>
        <v>1930068000.0000002</v>
      </c>
      <c r="AG473">
        <f t="shared" si="178"/>
        <v>14403505.972291561</v>
      </c>
      <c r="AH473">
        <f t="shared" si="179"/>
        <v>16003895.524768399</v>
      </c>
      <c r="AI473">
        <f t="shared" si="180"/>
        <v>16695949475.283735</v>
      </c>
    </row>
    <row r="474" spans="1:35" x14ac:dyDescent="0.25">
      <c r="B474" s="4">
        <v>2026</v>
      </c>
      <c r="C474" s="4" t="s">
        <v>33</v>
      </c>
      <c r="D474" s="1" t="s">
        <v>81</v>
      </c>
      <c r="E474" s="4" t="str">
        <f t="shared" si="188"/>
        <v>FortisBC-CAN</v>
      </c>
      <c r="F474" s="4" t="s">
        <v>146</v>
      </c>
      <c r="G474" s="4"/>
      <c r="H474" s="11" t="s">
        <v>382</v>
      </c>
      <c r="I474" s="4"/>
      <c r="J474" s="4" t="s">
        <v>142</v>
      </c>
      <c r="K474" s="5">
        <v>115472.55729299999</v>
      </c>
      <c r="L474" s="5">
        <f>K474/_xlfn.XLOOKUP(C474,'Utility target list'!$K$2:$K$8,'Utility target list'!$L$2:$L$8,1,0,1)</f>
        <v>128302.84143666665</v>
      </c>
      <c r="M474" s="8">
        <v>569060</v>
      </c>
      <c r="N474" s="8">
        <v>273060</v>
      </c>
      <c r="O474" s="8">
        <f>SUMIFS(EIAwtransport!$J$2:$J$675,EIAwtransport!$E$2:$E$675,Program_data!$E474,EIAwtransport!$H$2:$H$675,Program_data!$F474,EIAwtransport!$I$2:$I$675,Program_data!O$2)</f>
        <v>555000000</v>
      </c>
      <c r="P474" s="5">
        <f>SUMIFS(EIAwtransport!$J$2:$J$675,EIAwtransport!$E$2:$E$675,Program_data!$E474,EIAwtransport!$H$2:$H$675,Program_data!$F474,EIAwtransport!$I$2:$I$675,Program_data!P$2)</f>
        <v>75825366.219932109</v>
      </c>
      <c r="Q474" s="5">
        <f>SUMIFS(EIAwtransport!$J$2:$J$675,EIAwtransport!$E$2:$E$675,Program_data!$E474,EIAwtransport!$H$2:$H$675,Program_data!$F474,EIAwtransport!$I$2:$I$675,Program_data!Q$2)</f>
        <v>98444</v>
      </c>
      <c r="R474" s="8">
        <f>SUMIFS(EIAwtransport!$J$2:$J$675,EIAwtransport!$E$2:$E$675,Program_data!$E474,EIAwtransport!$I$2:$I$675,Program_data!R$2)</f>
        <v>1429680000</v>
      </c>
      <c r="S474" s="5">
        <f>SUMIFS(EIAwtransport!$J$2:$J$675,EIAwtransport!$E$2:$E$675,Program_data!$E474,EIAwtransport!$I$2:$I$675,Program_data!S$2)</f>
        <v>158285451.98410821</v>
      </c>
      <c r="T474" s="5">
        <f>SUMIFS(EIAwtransport!$J$2:$J$675,EIAwtransport!$E$2:$E$675,Program_data!$E474,EIAwtransport!$I$2:$I$675,Program_data!T$2)</f>
        <v>1074614</v>
      </c>
      <c r="U474" s="24">
        <f t="shared" si="182"/>
        <v>7.041708254922642E-5</v>
      </c>
      <c r="V474" s="24">
        <f t="shared" si="172"/>
        <v>7.8241202832473811E-5</v>
      </c>
      <c r="W474" s="24">
        <f t="shared" si="183"/>
        <v>3.9803312629399588E-4</v>
      </c>
      <c r="X474" s="25">
        <f t="shared" si="184"/>
        <v>3.470222357142856E-4</v>
      </c>
      <c r="Y474" s="8">
        <f t="shared" si="185"/>
        <v>8.3301088503914433E-2</v>
      </c>
      <c r="Z474" s="27">
        <f t="shared" si="186"/>
        <v>5.8786792175794203E-2</v>
      </c>
      <c r="AA474" s="27"/>
      <c r="AB474" s="27"/>
      <c r="AC474" s="56">
        <f t="shared" si="189"/>
        <v>1.1135500552471376E-3</v>
      </c>
      <c r="AE474" s="20">
        <f t="shared" si="167"/>
        <v>368631</v>
      </c>
      <c r="AF474" s="20">
        <f t="shared" si="168"/>
        <v>1930068000.0000002</v>
      </c>
      <c r="AG474">
        <f t="shared" si="178"/>
        <v>12180045.34326564</v>
      </c>
      <c r="AH474">
        <f t="shared" si="179"/>
        <v>13533383.714739598</v>
      </c>
      <c r="AI474">
        <f t="shared" si="180"/>
        <v>16695949475.283735</v>
      </c>
    </row>
    <row r="475" spans="1:35" x14ac:dyDescent="0.25">
      <c r="B475" s="4">
        <v>2027</v>
      </c>
      <c r="C475" s="4" t="s">
        <v>33</v>
      </c>
      <c r="D475" s="1" t="s">
        <v>81</v>
      </c>
      <c r="E475" s="4" t="str">
        <f t="shared" si="188"/>
        <v>FortisBC-CAN</v>
      </c>
      <c r="F475" s="4" t="s">
        <v>146</v>
      </c>
      <c r="G475" s="4"/>
      <c r="H475" s="11" t="s">
        <v>382</v>
      </c>
      <c r="I475" s="4"/>
      <c r="J475" s="4" t="s">
        <v>142</v>
      </c>
      <c r="K475" s="5">
        <v>134997.589553</v>
      </c>
      <c r="L475" s="5">
        <f>K475/_xlfn.XLOOKUP(C475,'Utility target list'!$K$2:$K$8,'Utility target list'!$L$2:$L$8,1,0,1)</f>
        <v>149997.32172555555</v>
      </c>
      <c r="M475" s="8">
        <v>569060</v>
      </c>
      <c r="N475" s="8">
        <v>273060</v>
      </c>
      <c r="O475" s="8">
        <f>SUMIFS(EIAwtransport!$J$2:$J$675,EIAwtransport!$E$2:$E$675,Program_data!$E475,EIAwtransport!$H$2:$H$675,Program_data!$F475,EIAwtransport!$I$2:$I$675,Program_data!O$2)</f>
        <v>555000000</v>
      </c>
      <c r="P475" s="5">
        <f>SUMIFS(EIAwtransport!$J$2:$J$675,EIAwtransport!$E$2:$E$675,Program_data!$E475,EIAwtransport!$H$2:$H$675,Program_data!$F475,EIAwtransport!$I$2:$I$675,Program_data!P$2)</f>
        <v>75825366.219932109</v>
      </c>
      <c r="Q475" s="5">
        <f>SUMIFS(EIAwtransport!$J$2:$J$675,EIAwtransport!$E$2:$E$675,Program_data!$E475,EIAwtransport!$H$2:$H$675,Program_data!$F475,EIAwtransport!$I$2:$I$675,Program_data!Q$2)</f>
        <v>98444</v>
      </c>
      <c r="R475" s="8">
        <f>SUMIFS(EIAwtransport!$J$2:$J$675,EIAwtransport!$E$2:$E$675,Program_data!$E475,EIAwtransport!$I$2:$I$675,Program_data!R$2)</f>
        <v>1429680000</v>
      </c>
      <c r="S475" s="5">
        <f>SUMIFS(EIAwtransport!$J$2:$J$675,EIAwtransport!$E$2:$E$675,Program_data!$E475,EIAwtransport!$I$2:$I$675,Program_data!S$2)</f>
        <v>158285451.98410821</v>
      </c>
      <c r="T475" s="5">
        <f>SUMIFS(EIAwtransport!$J$2:$J$675,EIAwtransport!$E$2:$E$675,Program_data!$E475,EIAwtransport!$I$2:$I$675,Program_data!T$2)</f>
        <v>1074614</v>
      </c>
      <c r="U475" s="24">
        <f t="shared" si="182"/>
        <v>8.2323771382141665E-5</v>
      </c>
      <c r="V475" s="24">
        <f t="shared" si="172"/>
        <v>9.1470857091268526E-5</v>
      </c>
      <c r="W475" s="24">
        <f t="shared" si="183"/>
        <v>3.9803312629399588E-4</v>
      </c>
      <c r="X475" s="25">
        <f t="shared" si="184"/>
        <v>3.470222357142856E-4</v>
      </c>
      <c r="Y475" s="8">
        <f t="shared" si="185"/>
        <v>7.5954039250227173E-2</v>
      </c>
      <c r="Z475" s="27">
        <f t="shared" si="186"/>
        <v>5.3231971305269479E-2</v>
      </c>
      <c r="AA475" s="27"/>
      <c r="AB475" s="27"/>
      <c r="AC475" s="56">
        <f t="shared" si="189"/>
        <v>1.1736232723131067E-3</v>
      </c>
      <c r="AE475" s="20">
        <f t="shared" ref="AE475:AE538" si="190">N475*1.35</f>
        <v>368631</v>
      </c>
      <c r="AF475" s="20">
        <f t="shared" ref="AF475:AF538" si="191">R475*1.35</f>
        <v>1930068000.0000002</v>
      </c>
      <c r="AG475">
        <f t="shared" si="178"/>
        <v>14239545.74605044</v>
      </c>
      <c r="AH475">
        <f t="shared" si="179"/>
        <v>15821717.495611601</v>
      </c>
      <c r="AI475">
        <f t="shared" si="180"/>
        <v>16695949475.283735</v>
      </c>
    </row>
    <row r="476" spans="1:35" x14ac:dyDescent="0.25">
      <c r="B476" s="4"/>
      <c r="C476" s="4"/>
      <c r="D476" s="1"/>
      <c r="E476" s="4"/>
      <c r="F476" s="4"/>
      <c r="G476" s="4"/>
      <c r="H476" s="11"/>
      <c r="I476" s="4"/>
      <c r="J476" s="4"/>
      <c r="K476" s="5"/>
      <c r="L476" s="5"/>
      <c r="M476" s="8"/>
      <c r="N476" s="8"/>
      <c r="O476" s="8">
        <f>SUMIFS(EIAwtransport!$J$2:$J$675,EIAwtransport!$E$2:$E$675,Program_data!$E476,EIAwtransport!$H$2:$H$675,Program_data!$F476,EIAwtransport!$I$2:$I$675,Program_data!O$2)</f>
        <v>0</v>
      </c>
      <c r="P476" s="5">
        <f>SUMIFS(EIAwtransport!$J$2:$J$675,EIAwtransport!$E$2:$E$675,Program_data!$E476,EIAwtransport!$H$2:$H$675,Program_data!$F476,EIAwtransport!$I$2:$I$675,Program_data!P$2)</f>
        <v>0</v>
      </c>
      <c r="Q476" s="5">
        <f>SUMIFS(EIAwtransport!$J$2:$J$675,EIAwtransport!$E$2:$E$675,Program_data!$E476,EIAwtransport!$H$2:$H$675,Program_data!$F476,EIAwtransport!$I$2:$I$675,Program_data!Q$2)</f>
        <v>0</v>
      </c>
      <c r="R476" s="8">
        <f>SUMIFS(EIAwtransport!$J$2:$J$675,EIAwtransport!$E$2:$E$675,Program_data!$E476,EIAwtransport!$I$2:$I$675,Program_data!R$2)</f>
        <v>0</v>
      </c>
      <c r="S476" s="5">
        <f>SUMIFS(EIAwtransport!$J$2:$J$675,EIAwtransport!$E$2:$E$675,Program_data!$E476,EIAwtransport!$I$2:$I$675,Program_data!S$2)</f>
        <v>0</v>
      </c>
      <c r="T476" s="5">
        <f>SUMIFS(EIAwtransport!$J$2:$J$675,EIAwtransport!$E$2:$E$675,Program_data!$E476,EIAwtransport!$I$2:$I$675,Program_data!T$2)</f>
        <v>0</v>
      </c>
      <c r="U476" s="97" t="str">
        <f t="shared" si="182"/>
        <v/>
      </c>
      <c r="V476" s="24" t="str">
        <f t="shared" si="172"/>
        <v/>
      </c>
      <c r="W476" s="24" t="str">
        <f t="shared" si="183"/>
        <v/>
      </c>
      <c r="X476" s="25" t="str">
        <f t="shared" si="184"/>
        <v/>
      </c>
      <c r="Y476" s="8" t="str">
        <f t="shared" si="185"/>
        <v/>
      </c>
      <c r="Z476" s="27" t="str">
        <f t="shared" si="186"/>
        <v/>
      </c>
      <c r="AA476" s="27"/>
      <c r="AB476" s="27"/>
      <c r="AC476" s="56" t="str">
        <f t="shared" si="189"/>
        <v/>
      </c>
      <c r="AE476" s="20">
        <f t="shared" si="190"/>
        <v>0</v>
      </c>
      <c r="AF476" s="20">
        <f t="shared" si="191"/>
        <v>0</v>
      </c>
      <c r="AG476">
        <f t="shared" si="178"/>
        <v>0</v>
      </c>
      <c r="AH476">
        <f t="shared" si="179"/>
        <v>0</v>
      </c>
      <c r="AI476">
        <f t="shared" si="180"/>
        <v>0</v>
      </c>
    </row>
    <row r="477" spans="1:35" x14ac:dyDescent="0.25">
      <c r="B477" s="4">
        <v>2025</v>
      </c>
      <c r="C477" s="4" t="s">
        <v>33</v>
      </c>
      <c r="D477" s="1" t="s">
        <v>81</v>
      </c>
      <c r="E477" s="4" t="str">
        <f>D477&amp;"-"&amp;C477</f>
        <v>FortisBC-CAN</v>
      </c>
      <c r="F477" s="4" t="s">
        <v>155</v>
      </c>
      <c r="G477" s="4"/>
      <c r="H477" s="11" t="s">
        <v>383</v>
      </c>
      <c r="I477" s="4"/>
      <c r="J477" s="4" t="s">
        <v>155</v>
      </c>
      <c r="K477" s="5"/>
      <c r="L477" s="38"/>
      <c r="M477" s="8">
        <v>1225440</v>
      </c>
      <c r="N477" s="8">
        <v>0</v>
      </c>
      <c r="O477" s="8">
        <f>SUMIFS(EIAwtransport!$J$2:$J$675,EIAwtransport!$E$2:$E$675,Program_data!$E477,EIAwtransport!$H$2:$H$675,Program_data!$F477,EIAwtransport!$I$2:$I$675,Program_data!O$2)</f>
        <v>0</v>
      </c>
      <c r="P477" s="5">
        <f>SUMIFS(EIAwtransport!$J$2:$J$675,EIAwtransport!$E$2:$E$675,Program_data!$E477,EIAwtransport!$H$2:$H$675,Program_data!$F477,EIAwtransport!$I$2:$I$675,Program_data!P$2)</f>
        <v>0</v>
      </c>
      <c r="Q477" s="5">
        <f>SUMIFS(EIAwtransport!$J$2:$J$675,EIAwtransport!$E$2:$E$675,Program_data!$E477,EIAwtransport!$H$2:$H$675,Program_data!$F477,EIAwtransport!$I$2:$I$675,Program_data!Q$2)</f>
        <v>0</v>
      </c>
      <c r="R477" s="8">
        <f>SUMIFS(EIAwtransport!$J$2:$J$675,EIAwtransport!$E$2:$E$675,Program_data!$E477,EIAwtransport!$I$2:$I$675,Program_data!R$2)</f>
        <v>1429680000</v>
      </c>
      <c r="S477" s="5">
        <f>SUMIFS(EIAwtransport!$J$2:$J$675,EIAwtransport!$E$2:$E$675,Program_data!$E477,EIAwtransport!$I$2:$I$675,Program_data!S$2)</f>
        <v>158285451.98410821</v>
      </c>
      <c r="T477" s="5">
        <f>SUMIFS(EIAwtransport!$J$2:$J$675,EIAwtransport!$E$2:$E$675,Program_data!$E477,EIAwtransport!$I$2:$I$675,Program_data!T$2)</f>
        <v>1074614</v>
      </c>
      <c r="U477" s="24">
        <f t="shared" si="182"/>
        <v>0</v>
      </c>
      <c r="V477" s="24">
        <f t="shared" si="172"/>
        <v>0</v>
      </c>
      <c r="W477" s="24">
        <f t="shared" si="183"/>
        <v>8.571428571428571E-4</v>
      </c>
      <c r="X477" s="25">
        <f t="shared" si="184"/>
        <v>7.4729365714285684E-4</v>
      </c>
      <c r="Y477" s="8" t="str">
        <f t="shared" si="185"/>
        <v/>
      </c>
      <c r="Z477" s="27">
        <f t="shared" si="186"/>
        <v>0.14564084540171718</v>
      </c>
      <c r="AA477" s="27"/>
      <c r="AB477" s="27"/>
      <c r="AC477" s="56">
        <f t="shared" si="189"/>
        <v>0</v>
      </c>
      <c r="AE477" s="20">
        <f t="shared" si="190"/>
        <v>0</v>
      </c>
      <c r="AF477" s="20">
        <f t="shared" si="191"/>
        <v>1930068000.0000002</v>
      </c>
      <c r="AG477">
        <f t="shared" si="178"/>
        <v>0</v>
      </c>
      <c r="AH477">
        <f t="shared" si="179"/>
        <v>0</v>
      </c>
      <c r="AI477">
        <f t="shared" si="180"/>
        <v>16695949475.283735</v>
      </c>
    </row>
    <row r="478" spans="1:35" x14ac:dyDescent="0.25">
      <c r="B478" s="4">
        <v>2026</v>
      </c>
      <c r="C478" s="4" t="s">
        <v>33</v>
      </c>
      <c r="D478" s="1" t="s">
        <v>81</v>
      </c>
      <c r="E478" s="4" t="str">
        <f>D478&amp;"-"&amp;C478</f>
        <v>FortisBC-CAN</v>
      </c>
      <c r="F478" s="4" t="s">
        <v>155</v>
      </c>
      <c r="G478" s="4"/>
      <c r="H478" s="11" t="s">
        <v>383</v>
      </c>
      <c r="I478" s="4"/>
      <c r="J478" s="4" t="s">
        <v>155</v>
      </c>
      <c r="K478" s="5"/>
      <c r="L478" s="38"/>
      <c r="M478" s="8">
        <v>1455580</v>
      </c>
      <c r="N478" s="8">
        <v>0</v>
      </c>
      <c r="O478" s="8">
        <f>SUMIFS(EIAwtransport!$J$2:$J$675,EIAwtransport!$E$2:$E$675,Program_data!$E478,EIAwtransport!$H$2:$H$675,Program_data!$F478,EIAwtransport!$I$2:$I$675,Program_data!O$2)</f>
        <v>0</v>
      </c>
      <c r="P478" s="5">
        <f>SUMIFS(EIAwtransport!$J$2:$J$675,EIAwtransport!$E$2:$E$675,Program_data!$E478,EIAwtransport!$H$2:$H$675,Program_data!$F478,EIAwtransport!$I$2:$I$675,Program_data!P$2)</f>
        <v>0</v>
      </c>
      <c r="Q478" s="5">
        <f>SUMIFS(EIAwtransport!$J$2:$J$675,EIAwtransport!$E$2:$E$675,Program_data!$E478,EIAwtransport!$H$2:$H$675,Program_data!$F478,EIAwtransport!$I$2:$I$675,Program_data!Q$2)</f>
        <v>0</v>
      </c>
      <c r="R478" s="8">
        <f>SUMIFS(EIAwtransport!$J$2:$J$675,EIAwtransport!$E$2:$E$675,Program_data!$E478,EIAwtransport!$I$2:$I$675,Program_data!R$2)</f>
        <v>1429680000</v>
      </c>
      <c r="S478" s="5">
        <f>SUMIFS(EIAwtransport!$J$2:$J$675,EIAwtransport!$E$2:$E$675,Program_data!$E478,EIAwtransport!$I$2:$I$675,Program_data!S$2)</f>
        <v>158285451.98410821</v>
      </c>
      <c r="T478" s="5">
        <f>SUMIFS(EIAwtransport!$J$2:$J$675,EIAwtransport!$E$2:$E$675,Program_data!$E478,EIAwtransport!$I$2:$I$675,Program_data!T$2)</f>
        <v>1074614</v>
      </c>
      <c r="U478" s="24">
        <f t="shared" si="182"/>
        <v>0</v>
      </c>
      <c r="V478" s="24">
        <f t="shared" ref="V478:V541" si="192">IFERROR(L478/10.36/S478,"")</f>
        <v>0</v>
      </c>
      <c r="W478" s="24">
        <f t="shared" si="183"/>
        <v>1.0181159420289854E-3</v>
      </c>
      <c r="X478" s="25">
        <f t="shared" si="184"/>
        <v>8.8763684999999966E-4</v>
      </c>
      <c r="Y478" s="8" t="str">
        <f t="shared" si="185"/>
        <v/>
      </c>
      <c r="Z478" s="27">
        <f t="shared" si="186"/>
        <v>0.15036881691779869</v>
      </c>
      <c r="AA478" s="27"/>
      <c r="AB478" s="27"/>
      <c r="AC478" s="56">
        <f t="shared" si="189"/>
        <v>0</v>
      </c>
      <c r="AE478" s="20">
        <f t="shared" si="190"/>
        <v>0</v>
      </c>
      <c r="AF478" s="20">
        <f t="shared" si="191"/>
        <v>1930068000.0000002</v>
      </c>
      <c r="AG478">
        <f t="shared" si="178"/>
        <v>0</v>
      </c>
      <c r="AH478">
        <f t="shared" si="179"/>
        <v>0</v>
      </c>
      <c r="AI478">
        <f t="shared" si="180"/>
        <v>16695949475.283735</v>
      </c>
    </row>
    <row r="479" spans="1:35" x14ac:dyDescent="0.25">
      <c r="B479" s="4">
        <v>2027</v>
      </c>
      <c r="C479" s="4" t="s">
        <v>33</v>
      </c>
      <c r="D479" s="1" t="s">
        <v>81</v>
      </c>
      <c r="E479" s="4" t="str">
        <f>D479&amp;"-"&amp;C479</f>
        <v>FortisBC-CAN</v>
      </c>
      <c r="F479" s="4" t="s">
        <v>155</v>
      </c>
      <c r="G479" s="4"/>
      <c r="H479" s="11" t="s">
        <v>383</v>
      </c>
      <c r="I479" s="4"/>
      <c r="J479" s="4" t="s">
        <v>155</v>
      </c>
      <c r="K479" s="5"/>
      <c r="L479" s="38"/>
      <c r="M479" s="8">
        <v>1455580</v>
      </c>
      <c r="N479" s="8">
        <v>0</v>
      </c>
      <c r="O479" s="8">
        <f>SUMIFS(EIAwtransport!$J$2:$J$675,EIAwtransport!$E$2:$E$675,Program_data!$E479,EIAwtransport!$H$2:$H$675,Program_data!$F479,EIAwtransport!$I$2:$I$675,Program_data!O$2)</f>
        <v>0</v>
      </c>
      <c r="P479" s="5">
        <f>SUMIFS(EIAwtransport!$J$2:$J$675,EIAwtransport!$E$2:$E$675,Program_data!$E479,EIAwtransport!$H$2:$H$675,Program_data!$F479,EIAwtransport!$I$2:$I$675,Program_data!P$2)</f>
        <v>0</v>
      </c>
      <c r="Q479" s="5">
        <f>SUMIFS(EIAwtransport!$J$2:$J$675,EIAwtransport!$E$2:$E$675,Program_data!$E479,EIAwtransport!$H$2:$H$675,Program_data!$F479,EIAwtransport!$I$2:$I$675,Program_data!Q$2)</f>
        <v>0</v>
      </c>
      <c r="R479" s="8">
        <f>SUMIFS(EIAwtransport!$J$2:$J$675,EIAwtransport!$E$2:$E$675,Program_data!$E479,EIAwtransport!$I$2:$I$675,Program_data!R$2)</f>
        <v>1429680000</v>
      </c>
      <c r="S479" s="5">
        <f>SUMIFS(EIAwtransport!$J$2:$J$675,EIAwtransport!$E$2:$E$675,Program_data!$E479,EIAwtransport!$I$2:$I$675,Program_data!S$2)</f>
        <v>158285451.98410821</v>
      </c>
      <c r="T479" s="5">
        <f>SUMIFS(EIAwtransport!$J$2:$J$675,EIAwtransport!$E$2:$E$675,Program_data!$E479,EIAwtransport!$I$2:$I$675,Program_data!T$2)</f>
        <v>1074614</v>
      </c>
      <c r="U479" s="24">
        <f t="shared" si="182"/>
        <v>0</v>
      </c>
      <c r="V479" s="24">
        <f t="shared" si="192"/>
        <v>0</v>
      </c>
      <c r="W479" s="24">
        <f t="shared" si="183"/>
        <v>1.0181159420289854E-3</v>
      </c>
      <c r="X479" s="25">
        <f t="shared" si="184"/>
        <v>8.8763684999999966E-4</v>
      </c>
      <c r="Y479" s="8" t="str">
        <f t="shared" si="185"/>
        <v/>
      </c>
      <c r="Z479" s="27">
        <f t="shared" si="186"/>
        <v>0.13616032192128097</v>
      </c>
      <c r="AA479" s="27"/>
      <c r="AB479" s="27"/>
      <c r="AC479" s="56">
        <f t="shared" si="189"/>
        <v>0</v>
      </c>
      <c r="AE479" s="20">
        <f t="shared" si="190"/>
        <v>0</v>
      </c>
      <c r="AF479" s="20">
        <f t="shared" si="191"/>
        <v>1930068000.0000002</v>
      </c>
      <c r="AG479">
        <f t="shared" si="178"/>
        <v>0</v>
      </c>
      <c r="AH479">
        <f t="shared" si="179"/>
        <v>0</v>
      </c>
      <c r="AI479">
        <f t="shared" si="180"/>
        <v>16695949475.283735</v>
      </c>
    </row>
    <row r="480" spans="1:35" x14ac:dyDescent="0.25">
      <c r="B480" s="4"/>
      <c r="C480" s="4"/>
      <c r="D480" s="1"/>
      <c r="E480" s="4"/>
      <c r="F480" s="4"/>
      <c r="G480" s="4"/>
      <c r="H480" s="11"/>
      <c r="I480" s="4"/>
      <c r="J480" s="4"/>
      <c r="K480" s="5"/>
      <c r="L480" s="5"/>
      <c r="M480" s="8"/>
      <c r="N480" s="8"/>
      <c r="O480" s="8">
        <f>SUMIFS(EIAwtransport!$J$2:$J$675,EIAwtransport!$E$2:$E$675,Program_data!$E480,EIAwtransport!$H$2:$H$675,Program_data!$F480,EIAwtransport!$I$2:$I$675,Program_data!O$2)</f>
        <v>0</v>
      </c>
      <c r="P480" s="5">
        <f>SUMIFS(EIAwtransport!$J$2:$J$675,EIAwtransport!$E$2:$E$675,Program_data!$E480,EIAwtransport!$H$2:$H$675,Program_data!$F480,EIAwtransport!$I$2:$I$675,Program_data!P$2)</f>
        <v>0</v>
      </c>
      <c r="Q480" s="5">
        <f>SUMIFS(EIAwtransport!$J$2:$J$675,EIAwtransport!$E$2:$E$675,Program_data!$E480,EIAwtransport!$H$2:$H$675,Program_data!$F480,EIAwtransport!$I$2:$I$675,Program_data!Q$2)</f>
        <v>0</v>
      </c>
      <c r="R480" s="8">
        <f>SUMIFS(EIAwtransport!$J$2:$J$675,EIAwtransport!$E$2:$E$675,Program_data!$E480,EIAwtransport!$I$2:$I$675,Program_data!R$2)</f>
        <v>0</v>
      </c>
      <c r="S480" s="5">
        <f>SUMIFS(EIAwtransport!$J$2:$J$675,EIAwtransport!$E$2:$E$675,Program_data!$E480,EIAwtransport!$I$2:$I$675,Program_data!S$2)</f>
        <v>0</v>
      </c>
      <c r="T480" s="5">
        <f>SUMIFS(EIAwtransport!$J$2:$J$675,EIAwtransport!$E$2:$E$675,Program_data!$E480,EIAwtransport!$I$2:$I$675,Program_data!T$2)</f>
        <v>0</v>
      </c>
      <c r="U480" s="97" t="str">
        <f t="shared" si="182"/>
        <v/>
      </c>
      <c r="V480" s="24" t="str">
        <f t="shared" si="192"/>
        <v/>
      </c>
      <c r="W480" s="24" t="str">
        <f t="shared" si="183"/>
        <v/>
      </c>
      <c r="X480" s="25" t="str">
        <f t="shared" si="184"/>
        <v/>
      </c>
      <c r="Y480" s="8" t="str">
        <f t="shared" si="185"/>
        <v/>
      </c>
      <c r="Z480" s="27" t="str">
        <f t="shared" si="186"/>
        <v/>
      </c>
      <c r="AA480" s="27"/>
      <c r="AB480" s="27"/>
      <c r="AC480" s="56" t="str">
        <f t="shared" si="189"/>
        <v/>
      </c>
      <c r="AE480" s="20">
        <f t="shared" si="190"/>
        <v>0</v>
      </c>
      <c r="AF480" s="20">
        <f t="shared" si="191"/>
        <v>0</v>
      </c>
      <c r="AG480">
        <f t="shared" si="178"/>
        <v>0</v>
      </c>
      <c r="AH480">
        <f t="shared" si="179"/>
        <v>0</v>
      </c>
      <c r="AI480">
        <f t="shared" si="180"/>
        <v>0</v>
      </c>
    </row>
    <row r="481" spans="1:35" x14ac:dyDescent="0.25">
      <c r="B481" s="4">
        <v>2025</v>
      </c>
      <c r="C481" s="4" t="s">
        <v>33</v>
      </c>
      <c r="D481" s="1" t="s">
        <v>81</v>
      </c>
      <c r="E481" s="4" t="str">
        <f t="shared" ref="E481:E491" si="193">D481&amp;"-"&amp;C481</f>
        <v>FortisBC-CAN</v>
      </c>
      <c r="F481" s="4" t="s">
        <v>155</v>
      </c>
      <c r="G481" s="4"/>
      <c r="H481" s="11" t="s">
        <v>384</v>
      </c>
      <c r="I481" s="4"/>
      <c r="J481" s="4" t="s">
        <v>155</v>
      </c>
      <c r="K481" s="5"/>
      <c r="L481" s="38"/>
      <c r="M481" s="8">
        <v>555000</v>
      </c>
      <c r="N481" s="8">
        <v>0</v>
      </c>
      <c r="O481" s="8">
        <f>SUMIFS(EIAwtransport!$J$2:$J$675,EIAwtransport!$E$2:$E$675,Program_data!$E481,EIAwtransport!$H$2:$H$675,Program_data!$F481,EIAwtransport!$I$2:$I$675,Program_data!O$2)</f>
        <v>0</v>
      </c>
      <c r="P481" s="5">
        <f>SUMIFS(EIAwtransport!$J$2:$J$675,EIAwtransport!$E$2:$E$675,Program_data!$E481,EIAwtransport!$H$2:$H$675,Program_data!$F481,EIAwtransport!$I$2:$I$675,Program_data!P$2)</f>
        <v>0</v>
      </c>
      <c r="Q481" s="5">
        <f>SUMIFS(EIAwtransport!$J$2:$J$675,EIAwtransport!$E$2:$E$675,Program_data!$E481,EIAwtransport!$H$2:$H$675,Program_data!$F481,EIAwtransport!$I$2:$I$675,Program_data!Q$2)</f>
        <v>0</v>
      </c>
      <c r="R481" s="8">
        <f>SUMIFS(EIAwtransport!$J$2:$J$675,EIAwtransport!$E$2:$E$675,Program_data!$E481,EIAwtransport!$I$2:$I$675,Program_data!R$2)</f>
        <v>1429680000</v>
      </c>
      <c r="S481" s="5">
        <f>SUMIFS(EIAwtransport!$J$2:$J$675,EIAwtransport!$E$2:$E$675,Program_data!$E481,EIAwtransport!$I$2:$I$675,Program_data!S$2)</f>
        <v>158285451.98410821</v>
      </c>
      <c r="T481" s="5">
        <f>SUMIFS(EIAwtransport!$J$2:$J$675,EIAwtransport!$E$2:$E$675,Program_data!$E481,EIAwtransport!$I$2:$I$675,Program_data!T$2)</f>
        <v>1074614</v>
      </c>
      <c r="U481" s="24">
        <f t="shared" si="182"/>
        <v>0</v>
      </c>
      <c r="V481" s="24">
        <f t="shared" si="192"/>
        <v>0</v>
      </c>
      <c r="W481" s="24">
        <f t="shared" si="183"/>
        <v>3.8819875776397513E-4</v>
      </c>
      <c r="X481" s="25">
        <f t="shared" si="184"/>
        <v>3.3844821428571416E-4</v>
      </c>
      <c r="Y481" s="8" t="str">
        <f t="shared" si="185"/>
        <v/>
      </c>
      <c r="Z481" s="27">
        <f t="shared" si="186"/>
        <v>6.5960527808748712E-2</v>
      </c>
      <c r="AA481" s="27"/>
      <c r="AB481" s="27"/>
      <c r="AC481" s="56">
        <f t="shared" si="189"/>
        <v>0</v>
      </c>
      <c r="AE481" s="20">
        <f t="shared" si="190"/>
        <v>0</v>
      </c>
      <c r="AF481" s="20">
        <f t="shared" si="191"/>
        <v>1930068000.0000002</v>
      </c>
      <c r="AG481">
        <f t="shared" si="178"/>
        <v>0</v>
      </c>
      <c r="AH481">
        <f t="shared" si="179"/>
        <v>0</v>
      </c>
      <c r="AI481">
        <f t="shared" si="180"/>
        <v>16695949475.283735</v>
      </c>
    </row>
    <row r="482" spans="1:35" x14ac:dyDescent="0.25">
      <c r="B482" s="4">
        <v>2026</v>
      </c>
      <c r="C482" s="4" t="s">
        <v>33</v>
      </c>
      <c r="D482" s="1" t="s">
        <v>81</v>
      </c>
      <c r="E482" s="4" t="str">
        <f t="shared" si="193"/>
        <v>FortisBC-CAN</v>
      </c>
      <c r="F482" s="4" t="s">
        <v>155</v>
      </c>
      <c r="G482" s="4"/>
      <c r="H482" s="11" t="s">
        <v>384</v>
      </c>
      <c r="I482" s="4"/>
      <c r="J482" s="4" t="s">
        <v>155</v>
      </c>
      <c r="K482" s="5"/>
      <c r="L482" s="38"/>
      <c r="M482" s="8">
        <v>555000</v>
      </c>
      <c r="N482" s="8">
        <v>0</v>
      </c>
      <c r="O482" s="8">
        <f>SUMIFS(EIAwtransport!$J$2:$J$675,EIAwtransport!$E$2:$E$675,Program_data!$E482,EIAwtransport!$H$2:$H$675,Program_data!$F482,EIAwtransport!$I$2:$I$675,Program_data!O$2)</f>
        <v>0</v>
      </c>
      <c r="P482" s="5">
        <f>SUMIFS(EIAwtransport!$J$2:$J$675,EIAwtransport!$E$2:$E$675,Program_data!$E482,EIAwtransport!$H$2:$H$675,Program_data!$F482,EIAwtransport!$I$2:$I$675,Program_data!P$2)</f>
        <v>0</v>
      </c>
      <c r="Q482" s="5">
        <f>SUMIFS(EIAwtransport!$J$2:$J$675,EIAwtransport!$E$2:$E$675,Program_data!$E482,EIAwtransport!$H$2:$H$675,Program_data!$F482,EIAwtransport!$I$2:$I$675,Program_data!Q$2)</f>
        <v>0</v>
      </c>
      <c r="R482" s="8">
        <f>SUMIFS(EIAwtransport!$J$2:$J$675,EIAwtransport!$E$2:$E$675,Program_data!$E482,EIAwtransport!$I$2:$I$675,Program_data!R$2)</f>
        <v>1429680000</v>
      </c>
      <c r="S482" s="5">
        <f>SUMIFS(EIAwtransport!$J$2:$J$675,EIAwtransport!$E$2:$E$675,Program_data!$E482,EIAwtransport!$I$2:$I$675,Program_data!S$2)</f>
        <v>158285451.98410821</v>
      </c>
      <c r="T482" s="5">
        <f>SUMIFS(EIAwtransport!$J$2:$J$675,EIAwtransport!$E$2:$E$675,Program_data!$E482,EIAwtransport!$I$2:$I$675,Program_data!T$2)</f>
        <v>1074614</v>
      </c>
      <c r="U482" s="24">
        <f t="shared" si="182"/>
        <v>0</v>
      </c>
      <c r="V482" s="24">
        <f t="shared" si="192"/>
        <v>0</v>
      </c>
      <c r="W482" s="24">
        <f t="shared" si="183"/>
        <v>3.8819875776397513E-4</v>
      </c>
      <c r="X482" s="25">
        <f t="shared" si="184"/>
        <v>3.3844821428571416E-4</v>
      </c>
      <c r="Y482" s="8" t="str">
        <f t="shared" si="185"/>
        <v/>
      </c>
      <c r="Z482" s="27">
        <f t="shared" si="186"/>
        <v>5.7334322668199808E-2</v>
      </c>
      <c r="AA482" s="27"/>
      <c r="AB482" s="27"/>
      <c r="AC482" s="56">
        <f t="shared" si="189"/>
        <v>0</v>
      </c>
      <c r="AE482" s="20">
        <f t="shared" si="190"/>
        <v>0</v>
      </c>
      <c r="AF482" s="20">
        <f t="shared" si="191"/>
        <v>1930068000.0000002</v>
      </c>
      <c r="AG482">
        <f t="shared" si="178"/>
        <v>0</v>
      </c>
      <c r="AH482">
        <f t="shared" si="179"/>
        <v>0</v>
      </c>
      <c r="AI482">
        <f t="shared" si="180"/>
        <v>16695949475.283735</v>
      </c>
    </row>
    <row r="483" spans="1:35" x14ac:dyDescent="0.25">
      <c r="B483" s="4">
        <v>2027</v>
      </c>
      <c r="C483" s="4" t="s">
        <v>33</v>
      </c>
      <c r="D483" s="1" t="s">
        <v>81</v>
      </c>
      <c r="E483" s="4" t="str">
        <f t="shared" si="193"/>
        <v>FortisBC-CAN</v>
      </c>
      <c r="F483" s="4" t="s">
        <v>155</v>
      </c>
      <c r="G483" s="4"/>
      <c r="H483" s="11" t="s">
        <v>384</v>
      </c>
      <c r="I483" s="4"/>
      <c r="J483" s="4" t="s">
        <v>155</v>
      </c>
      <c r="K483" s="5"/>
      <c r="L483" s="38"/>
      <c r="M483" s="8">
        <v>555000</v>
      </c>
      <c r="N483" s="8">
        <v>0</v>
      </c>
      <c r="O483" s="8">
        <f>SUMIFS(EIAwtransport!$J$2:$J$675,EIAwtransport!$E$2:$E$675,Program_data!$E483,EIAwtransport!$H$2:$H$675,Program_data!$F483,EIAwtransport!$I$2:$I$675,Program_data!O$2)</f>
        <v>0</v>
      </c>
      <c r="P483" s="5">
        <f>SUMIFS(EIAwtransport!$J$2:$J$675,EIAwtransport!$E$2:$E$675,Program_data!$E483,EIAwtransport!$H$2:$H$675,Program_data!$F483,EIAwtransport!$I$2:$I$675,Program_data!P$2)</f>
        <v>0</v>
      </c>
      <c r="Q483" s="5">
        <f>SUMIFS(EIAwtransport!$J$2:$J$675,EIAwtransport!$E$2:$E$675,Program_data!$E483,EIAwtransport!$H$2:$H$675,Program_data!$F483,EIAwtransport!$I$2:$I$675,Program_data!Q$2)</f>
        <v>0</v>
      </c>
      <c r="R483" s="8">
        <f>SUMIFS(EIAwtransport!$J$2:$J$675,EIAwtransport!$E$2:$E$675,Program_data!$E483,EIAwtransport!$I$2:$I$675,Program_data!R$2)</f>
        <v>1429680000</v>
      </c>
      <c r="S483" s="5">
        <f>SUMIFS(EIAwtransport!$J$2:$J$675,EIAwtransport!$E$2:$E$675,Program_data!$E483,EIAwtransport!$I$2:$I$675,Program_data!S$2)</f>
        <v>158285451.98410821</v>
      </c>
      <c r="T483" s="5">
        <f>SUMIFS(EIAwtransport!$J$2:$J$675,EIAwtransport!$E$2:$E$675,Program_data!$E483,EIAwtransport!$I$2:$I$675,Program_data!T$2)</f>
        <v>1074614</v>
      </c>
      <c r="U483" s="24">
        <f t="shared" si="182"/>
        <v>0</v>
      </c>
      <c r="V483" s="24">
        <f t="shared" si="192"/>
        <v>0</v>
      </c>
      <c r="W483" s="24">
        <f t="shared" si="183"/>
        <v>3.8819875776397513E-4</v>
      </c>
      <c r="X483" s="25">
        <f t="shared" si="184"/>
        <v>3.3844821428571416E-4</v>
      </c>
      <c r="Y483" s="8" t="str">
        <f t="shared" si="185"/>
        <v/>
      </c>
      <c r="Z483" s="27">
        <f t="shared" si="186"/>
        <v>5.1916747046751768E-2</v>
      </c>
      <c r="AA483" s="27"/>
      <c r="AB483" s="27"/>
      <c r="AC483" s="56">
        <f t="shared" si="189"/>
        <v>0</v>
      </c>
      <c r="AE483" s="20">
        <f t="shared" si="190"/>
        <v>0</v>
      </c>
      <c r="AF483" s="20">
        <f t="shared" si="191"/>
        <v>1930068000.0000002</v>
      </c>
      <c r="AG483">
        <f t="shared" si="178"/>
        <v>0</v>
      </c>
      <c r="AH483">
        <f t="shared" si="179"/>
        <v>0</v>
      </c>
      <c r="AI483">
        <f t="shared" si="180"/>
        <v>16695949475.283735</v>
      </c>
    </row>
    <row r="484" spans="1:35" x14ac:dyDescent="0.25">
      <c r="A484" t="s">
        <v>310</v>
      </c>
      <c r="B484" s="4">
        <v>2024</v>
      </c>
      <c r="C484" s="4" t="s">
        <v>33</v>
      </c>
      <c r="D484" s="1" t="s">
        <v>81</v>
      </c>
      <c r="E484" s="4" t="str">
        <f t="shared" si="193"/>
        <v>FortisBC-CAN</v>
      </c>
      <c r="F484" s="4" t="s">
        <v>146</v>
      </c>
      <c r="G484" s="4"/>
      <c r="H484" s="11" t="s">
        <v>385</v>
      </c>
      <c r="I484" s="4"/>
      <c r="J484" s="4" t="s">
        <v>21</v>
      </c>
      <c r="K484" s="5">
        <v>720085.08538299997</v>
      </c>
      <c r="L484" s="5">
        <f>K484/_xlfn.XLOOKUP(C484,'Utility target list'!$K$2:$K$8,'Utility target list'!$L$2:$L$8,1,0,1)</f>
        <v>800094.53931444441</v>
      </c>
      <c r="M484" s="8">
        <v>1115920</v>
      </c>
      <c r="N484" s="8">
        <v>879120</v>
      </c>
      <c r="O484" s="8">
        <f>SUMIFS(EIAwtransport!$J$2:$J$675,EIAwtransport!$E$2:$E$675,Program_data!$E484,EIAwtransport!$H$2:$H$675,Program_data!$F484,EIAwtransport!$I$2:$I$675,Program_data!O$2)</f>
        <v>555000000</v>
      </c>
      <c r="P484" s="5">
        <f>SUMIFS(EIAwtransport!$J$2:$J$675,EIAwtransport!$E$2:$E$675,Program_data!$E484,EIAwtransport!$H$2:$H$675,Program_data!$F484,EIAwtransport!$I$2:$I$675,Program_data!P$2)</f>
        <v>75825366.219932109</v>
      </c>
      <c r="Q484" s="5">
        <f>SUMIFS(EIAwtransport!$J$2:$J$675,EIAwtransport!$E$2:$E$675,Program_data!$E484,EIAwtransport!$H$2:$H$675,Program_data!$F484,EIAwtransport!$I$2:$I$675,Program_data!Q$2)</f>
        <v>98444</v>
      </c>
      <c r="R484" s="8">
        <f>SUMIFS(EIAwtransport!$J$2:$J$675,EIAwtransport!$E$2:$E$675,Program_data!$E484,EIAwtransport!$I$2:$I$675,Program_data!R$2)</f>
        <v>1429680000</v>
      </c>
      <c r="S484" s="5">
        <f>SUMIFS(EIAwtransport!$J$2:$J$675,EIAwtransport!$E$2:$E$675,Program_data!$E484,EIAwtransport!$I$2:$I$675,Program_data!S$2)</f>
        <v>158285451.98410821</v>
      </c>
      <c r="T484" s="5">
        <f>SUMIFS(EIAwtransport!$J$2:$J$675,EIAwtransport!$E$2:$E$675,Program_data!$E484,EIAwtransport!$I$2:$I$675,Program_data!T$2)</f>
        <v>1074614</v>
      </c>
      <c r="U484" s="55">
        <f t="shared" si="182"/>
        <v>4.3911984014712133E-4</v>
      </c>
      <c r="V484" s="24">
        <f t="shared" si="192"/>
        <v>4.8791093349680149E-4</v>
      </c>
      <c r="W484" s="24">
        <f t="shared" si="183"/>
        <v>7.8053830227743269E-4</v>
      </c>
      <c r="X484" s="25">
        <f t="shared" si="184"/>
        <v>6.8050654285714259E-4</v>
      </c>
      <c r="Y484" s="8">
        <f t="shared" si="185"/>
        <v>0.18874886468925914</v>
      </c>
      <c r="Z484" s="27">
        <f t="shared" si="186"/>
        <v>0.13688330581251332</v>
      </c>
      <c r="AA484" s="27"/>
      <c r="AB484" s="27"/>
      <c r="AC484" s="56">
        <f t="shared" si="189"/>
        <v>6.3096162908273749E-3</v>
      </c>
      <c r="AE484" s="20">
        <f t="shared" si="190"/>
        <v>1186812</v>
      </c>
      <c r="AF484" s="20">
        <f t="shared" si="191"/>
        <v>1930068000.0000002</v>
      </c>
      <c r="AG484">
        <f t="shared" si="178"/>
        <v>75954574.806198835</v>
      </c>
      <c r="AH484">
        <f t="shared" si="179"/>
        <v>84393972.0068876</v>
      </c>
      <c r="AI484">
        <f t="shared" si="180"/>
        <v>16695949475.283735</v>
      </c>
    </row>
    <row r="485" spans="1:35" x14ac:dyDescent="0.25">
      <c r="B485" s="4">
        <v>2025</v>
      </c>
      <c r="C485" s="4" t="s">
        <v>33</v>
      </c>
      <c r="D485" s="1" t="s">
        <v>81</v>
      </c>
      <c r="E485" s="4" t="str">
        <f t="shared" si="193"/>
        <v>FortisBC-CAN</v>
      </c>
      <c r="F485" s="4" t="s">
        <v>146</v>
      </c>
      <c r="G485" s="4"/>
      <c r="H485" s="11" t="s">
        <v>385</v>
      </c>
      <c r="I485" s="4"/>
      <c r="J485" s="4" t="s">
        <v>142</v>
      </c>
      <c r="K485" s="5">
        <v>995113.17328999995</v>
      </c>
      <c r="L485" s="5">
        <f>K485/_xlfn.XLOOKUP(C485,'Utility target list'!$K$2:$K$8,'Utility target list'!$L$2:$L$8,1,0,1)</f>
        <v>1105681.3036555555</v>
      </c>
      <c r="M485" s="8">
        <v>1433380</v>
      </c>
      <c r="N485" s="8">
        <v>1196580</v>
      </c>
      <c r="O485" s="8">
        <f>SUMIFS(EIAwtransport!$J$2:$J$675,EIAwtransport!$E$2:$E$675,Program_data!$E485,EIAwtransport!$H$2:$H$675,Program_data!$F485,EIAwtransport!$I$2:$I$675,Program_data!O$2)</f>
        <v>555000000</v>
      </c>
      <c r="P485" s="5">
        <f>SUMIFS(EIAwtransport!$J$2:$J$675,EIAwtransport!$E$2:$E$675,Program_data!$E485,EIAwtransport!$H$2:$H$675,Program_data!$F485,EIAwtransport!$I$2:$I$675,Program_data!P$2)</f>
        <v>75825366.219932109</v>
      </c>
      <c r="Q485" s="5">
        <f>SUMIFS(EIAwtransport!$J$2:$J$675,EIAwtransport!$E$2:$E$675,Program_data!$E485,EIAwtransport!$H$2:$H$675,Program_data!$F485,EIAwtransport!$I$2:$I$675,Program_data!Q$2)</f>
        <v>98444</v>
      </c>
      <c r="R485" s="8">
        <f>SUMIFS(EIAwtransport!$J$2:$J$675,EIAwtransport!$E$2:$E$675,Program_data!$E485,EIAwtransport!$I$2:$I$675,Program_data!R$2)</f>
        <v>1429680000</v>
      </c>
      <c r="S485" s="5">
        <f>SUMIFS(EIAwtransport!$J$2:$J$675,EIAwtransport!$E$2:$E$675,Program_data!$E485,EIAwtransport!$I$2:$I$675,Program_data!S$2)</f>
        <v>158285451.98410821</v>
      </c>
      <c r="T485" s="5">
        <f>SUMIFS(EIAwtransport!$J$2:$J$675,EIAwtransport!$E$2:$E$675,Program_data!$E485,EIAwtransport!$I$2:$I$675,Program_data!T$2)</f>
        <v>1074614</v>
      </c>
      <c r="U485" s="24">
        <f t="shared" si="182"/>
        <v>6.0683653425619986E-4</v>
      </c>
      <c r="V485" s="24">
        <f t="shared" si="192"/>
        <v>6.74262815840222E-4</v>
      </c>
      <c r="W485" s="24">
        <f t="shared" si="183"/>
        <v>1.0025879917184264E-3</v>
      </c>
      <c r="X485" s="25">
        <f t="shared" si="184"/>
        <v>8.7409892142857105E-4</v>
      </c>
      <c r="Y485" s="8">
        <f t="shared" si="185"/>
        <v>0.24362400168175688</v>
      </c>
      <c r="Z485" s="27">
        <f t="shared" si="186"/>
        <v>0.17035405648739502</v>
      </c>
      <c r="AA485" s="27"/>
      <c r="AB485" s="27"/>
      <c r="AC485" s="56">
        <f t="shared" si="189"/>
        <v>1.0930948698213863E-2</v>
      </c>
      <c r="AE485" s="20">
        <f t="shared" si="190"/>
        <v>1615383</v>
      </c>
      <c r="AF485" s="20">
        <f t="shared" si="191"/>
        <v>1930068000.0000002</v>
      </c>
      <c r="AG485">
        <f t="shared" si="178"/>
        <v>104964537.51862919</v>
      </c>
      <c r="AH485">
        <f t="shared" si="179"/>
        <v>116627263.90958799</v>
      </c>
      <c r="AI485">
        <f t="shared" si="180"/>
        <v>16695949475.283735</v>
      </c>
    </row>
    <row r="486" spans="1:35" x14ac:dyDescent="0.25">
      <c r="B486" s="4">
        <v>2026</v>
      </c>
      <c r="C486" s="4" t="s">
        <v>33</v>
      </c>
      <c r="D486" s="1" t="s">
        <v>81</v>
      </c>
      <c r="E486" s="4" t="str">
        <f t="shared" si="193"/>
        <v>FortisBC-CAN</v>
      </c>
      <c r="F486" s="4" t="s">
        <v>146</v>
      </c>
      <c r="G486" s="4"/>
      <c r="H486" s="11" t="s">
        <v>385</v>
      </c>
      <c r="I486" s="4"/>
      <c r="J486" s="4" t="s">
        <v>142</v>
      </c>
      <c r="K486" s="5">
        <v>1288073.9607289999</v>
      </c>
      <c r="L486" s="5">
        <f>K486/_xlfn.XLOOKUP(C486,'Utility target list'!$K$2:$K$8,'Utility target list'!$L$2:$L$8,1,0,1)</f>
        <v>1431193.2896988888</v>
      </c>
      <c r="M486" s="8">
        <v>1774520</v>
      </c>
      <c r="N486" s="8">
        <v>1537720</v>
      </c>
      <c r="O486" s="8">
        <f>SUMIFS(EIAwtransport!$J$2:$J$675,EIAwtransport!$E$2:$E$675,Program_data!$E486,EIAwtransport!$H$2:$H$675,Program_data!$F486,EIAwtransport!$I$2:$I$675,Program_data!O$2)</f>
        <v>555000000</v>
      </c>
      <c r="P486" s="5">
        <f>SUMIFS(EIAwtransport!$J$2:$J$675,EIAwtransport!$E$2:$E$675,Program_data!$E486,EIAwtransport!$H$2:$H$675,Program_data!$F486,EIAwtransport!$I$2:$I$675,Program_data!P$2)</f>
        <v>75825366.219932109</v>
      </c>
      <c r="Q486" s="5">
        <f>SUMIFS(EIAwtransport!$J$2:$J$675,EIAwtransport!$E$2:$E$675,Program_data!$E486,EIAwtransport!$H$2:$H$675,Program_data!$F486,EIAwtransport!$I$2:$I$675,Program_data!Q$2)</f>
        <v>98444</v>
      </c>
      <c r="R486" s="8">
        <f>SUMIFS(EIAwtransport!$J$2:$J$675,EIAwtransport!$E$2:$E$675,Program_data!$E486,EIAwtransport!$I$2:$I$675,Program_data!R$2)</f>
        <v>1429680000</v>
      </c>
      <c r="S486" s="5">
        <f>SUMIFS(EIAwtransport!$J$2:$J$675,EIAwtransport!$E$2:$E$675,Program_data!$E486,EIAwtransport!$I$2:$I$675,Program_data!S$2)</f>
        <v>158285451.98410821</v>
      </c>
      <c r="T486" s="5">
        <f>SUMIFS(EIAwtransport!$J$2:$J$675,EIAwtransport!$E$2:$E$675,Program_data!$E486,EIAwtransport!$I$2:$I$675,Program_data!T$2)</f>
        <v>1074614</v>
      </c>
      <c r="U486" s="24">
        <f t="shared" si="182"/>
        <v>7.8548888626424709E-4</v>
      </c>
      <c r="V486" s="24">
        <f t="shared" si="192"/>
        <v>8.7276542918249668E-4</v>
      </c>
      <c r="W486" s="24">
        <f t="shared" si="183"/>
        <v>1.2412008281573498E-3</v>
      </c>
      <c r="X486" s="25">
        <f t="shared" si="184"/>
        <v>1.0821317571428567E-3</v>
      </c>
      <c r="Y486" s="8">
        <f t="shared" si="185"/>
        <v>0.25976074152456025</v>
      </c>
      <c r="Z486" s="27">
        <f t="shared" si="186"/>
        <v>0.1833169410111242</v>
      </c>
      <c r="AA486" s="27"/>
      <c r="AB486" s="27"/>
      <c r="AC486" s="56">
        <f t="shared" si="189"/>
        <v>1.2421434700650968E-2</v>
      </c>
      <c r="AE486" s="20">
        <f t="shared" si="190"/>
        <v>2075922.0000000002</v>
      </c>
      <c r="AF486" s="20">
        <f t="shared" si="191"/>
        <v>1930068000.0000002</v>
      </c>
      <c r="AG486">
        <f t="shared" si="178"/>
        <v>135866041.3776949</v>
      </c>
      <c r="AH486">
        <f t="shared" si="179"/>
        <v>150962268.19743881</v>
      </c>
      <c r="AI486">
        <f t="shared" si="180"/>
        <v>16695949475.283735</v>
      </c>
    </row>
    <row r="487" spans="1:35" x14ac:dyDescent="0.25">
      <c r="B487" s="4">
        <v>2027</v>
      </c>
      <c r="C487" s="4" t="s">
        <v>33</v>
      </c>
      <c r="D487" s="1" t="s">
        <v>81</v>
      </c>
      <c r="E487" s="4" t="str">
        <f t="shared" si="193"/>
        <v>FortisBC-CAN</v>
      </c>
      <c r="F487" s="4" t="s">
        <v>146</v>
      </c>
      <c r="G487" s="4"/>
      <c r="H487" s="11" t="s">
        <v>385</v>
      </c>
      <c r="I487" s="4"/>
      <c r="J487" s="4" t="s">
        <v>142</v>
      </c>
      <c r="K487" s="5">
        <v>1700620.831675</v>
      </c>
      <c r="L487" s="5">
        <f>K487/_xlfn.XLOOKUP(C487,'Utility target list'!$K$2:$K$8,'Utility target list'!$L$2:$L$8,1,0,1)</f>
        <v>1889578.701861111</v>
      </c>
      <c r="M487" s="8">
        <v>2189660</v>
      </c>
      <c r="N487" s="8">
        <v>1952860</v>
      </c>
      <c r="O487" s="8">
        <f>SUMIFS(EIAwtransport!$J$2:$J$675,EIAwtransport!$E$2:$E$675,Program_data!$E487,EIAwtransport!$H$2:$H$675,Program_data!$F487,EIAwtransport!$I$2:$I$675,Program_data!O$2)</f>
        <v>555000000</v>
      </c>
      <c r="P487" s="5">
        <f>SUMIFS(EIAwtransport!$J$2:$J$675,EIAwtransport!$E$2:$E$675,Program_data!$E487,EIAwtransport!$H$2:$H$675,Program_data!$F487,EIAwtransport!$I$2:$I$675,Program_data!P$2)</f>
        <v>75825366.219932109</v>
      </c>
      <c r="Q487" s="5">
        <f>SUMIFS(EIAwtransport!$J$2:$J$675,EIAwtransport!$E$2:$E$675,Program_data!$E487,EIAwtransport!$H$2:$H$675,Program_data!$F487,EIAwtransport!$I$2:$I$675,Program_data!Q$2)</f>
        <v>98444</v>
      </c>
      <c r="R487" s="8">
        <f>SUMIFS(EIAwtransport!$J$2:$J$675,EIAwtransport!$E$2:$E$675,Program_data!$E487,EIAwtransport!$I$2:$I$675,Program_data!R$2)</f>
        <v>1429680000</v>
      </c>
      <c r="S487" s="5">
        <f>SUMIFS(EIAwtransport!$J$2:$J$675,EIAwtransport!$E$2:$E$675,Program_data!$E487,EIAwtransport!$I$2:$I$675,Program_data!S$2)</f>
        <v>158285451.98410821</v>
      </c>
      <c r="T487" s="5">
        <f>SUMIFS(EIAwtransport!$J$2:$J$675,EIAwtransport!$E$2:$E$675,Program_data!$E487,EIAwtransport!$I$2:$I$675,Program_data!T$2)</f>
        <v>1074614</v>
      </c>
      <c r="U487" s="24">
        <f t="shared" si="182"/>
        <v>1.0370668174008826E-3</v>
      </c>
      <c r="V487" s="24">
        <f t="shared" si="192"/>
        <v>1.1522964637787584E-3</v>
      </c>
      <c r="W487" s="24">
        <f t="shared" si="183"/>
        <v>1.5315734989648033E-3</v>
      </c>
      <c r="X487" s="25">
        <f t="shared" si="184"/>
        <v>1.3352910214285709E-3</v>
      </c>
      <c r="Y487" s="8">
        <f t="shared" si="185"/>
        <v>0.29226008080809129</v>
      </c>
      <c r="Z487" s="27">
        <f t="shared" si="186"/>
        <v>0.20482887268178465</v>
      </c>
      <c r="AA487" s="27"/>
      <c r="AB487" s="27"/>
      <c r="AC487" s="56">
        <f t="shared" si="189"/>
        <v>1.4784620910958307E-2</v>
      </c>
      <c r="AE487" s="20">
        <f t="shared" si="190"/>
        <v>2636361</v>
      </c>
      <c r="AF487" s="20">
        <f t="shared" si="191"/>
        <v>1930068000.0000002</v>
      </c>
      <c r="AG487">
        <f t="shared" si="178"/>
        <v>179381485.32507902</v>
      </c>
      <c r="AH487">
        <f t="shared" si="179"/>
        <v>199312761.47231001</v>
      </c>
      <c r="AI487">
        <f t="shared" si="180"/>
        <v>16695949475.283735</v>
      </c>
    </row>
    <row r="488" spans="1:35" x14ac:dyDescent="0.25">
      <c r="A488" t="s">
        <v>310</v>
      </c>
      <c r="B488" s="4">
        <v>2024</v>
      </c>
      <c r="C488" s="4" t="s">
        <v>33</v>
      </c>
      <c r="D488" s="1" t="s">
        <v>81</v>
      </c>
      <c r="E488" s="4" t="str">
        <f t="shared" si="193"/>
        <v>FortisBC-CAN</v>
      </c>
      <c r="F488" s="4" t="s">
        <v>146</v>
      </c>
      <c r="G488" s="4"/>
      <c r="H488" s="11" t="s">
        <v>386</v>
      </c>
      <c r="I488" s="4"/>
      <c r="J488" s="4" t="s">
        <v>21</v>
      </c>
      <c r="K488" s="5">
        <v>2744499.1947599999</v>
      </c>
      <c r="L488" s="5">
        <f>K488/_xlfn.XLOOKUP(C488,'Utility target list'!$K$2:$K$8,'Utility target list'!$L$2:$L$8,1,0,1)</f>
        <v>3049443.5497333333</v>
      </c>
      <c r="M488" s="8">
        <v>4001920</v>
      </c>
      <c r="N488" s="8">
        <v>3942720</v>
      </c>
      <c r="O488" s="8">
        <f>SUMIFS(EIAwtransport!$J$2:$J$675,EIAwtransport!$E$2:$E$675,Program_data!$E488,EIAwtransport!$H$2:$H$675,Program_data!$F488,EIAwtransport!$I$2:$I$675,Program_data!O$2)</f>
        <v>555000000</v>
      </c>
      <c r="P488" s="5">
        <f>SUMIFS(EIAwtransport!$J$2:$J$675,EIAwtransport!$E$2:$E$675,Program_data!$E488,EIAwtransport!$H$2:$H$675,Program_data!$F488,EIAwtransport!$I$2:$I$675,Program_data!P$2)</f>
        <v>75825366.219932109</v>
      </c>
      <c r="Q488" s="5">
        <f>SUMIFS(EIAwtransport!$J$2:$J$675,EIAwtransport!$E$2:$E$675,Program_data!$E488,EIAwtransport!$H$2:$H$675,Program_data!$F488,EIAwtransport!$I$2:$I$675,Program_data!Q$2)</f>
        <v>98444</v>
      </c>
      <c r="R488" s="8">
        <f>SUMIFS(EIAwtransport!$J$2:$J$675,EIAwtransport!$E$2:$E$675,Program_data!$E488,EIAwtransport!$I$2:$I$675,Program_data!R$2)</f>
        <v>1429680000</v>
      </c>
      <c r="S488" s="5">
        <f>SUMIFS(EIAwtransport!$J$2:$J$675,EIAwtransport!$E$2:$E$675,Program_data!$E488,EIAwtransport!$I$2:$I$675,Program_data!S$2)</f>
        <v>158285451.98410821</v>
      </c>
      <c r="T488" s="5">
        <f>SUMIFS(EIAwtransport!$J$2:$J$675,EIAwtransport!$E$2:$E$675,Program_data!$E488,EIAwtransport!$I$2:$I$675,Program_data!T$2)</f>
        <v>1074614</v>
      </c>
      <c r="U488" s="55">
        <f t="shared" si="182"/>
        <v>1.6736411740091934E-3</v>
      </c>
      <c r="V488" s="24">
        <f t="shared" si="192"/>
        <v>1.8596013044546596E-3</v>
      </c>
      <c r="W488" s="24">
        <f t="shared" si="183"/>
        <v>2.7991718426501034E-3</v>
      </c>
      <c r="X488" s="25">
        <f t="shared" si="184"/>
        <v>2.4404372571428562E-3</v>
      </c>
      <c r="Y488" s="8">
        <f t="shared" si="185"/>
        <v>0.67689248026492932</v>
      </c>
      <c r="Z488" s="27">
        <f t="shared" si="186"/>
        <v>0.49089185532763396</v>
      </c>
      <c r="AA488" s="27"/>
      <c r="AB488" s="27"/>
      <c r="AC488" s="56">
        <f t="shared" si="189"/>
        <v>2.4048181500953954E-2</v>
      </c>
      <c r="AE488" s="20">
        <f t="shared" si="190"/>
        <v>5322672</v>
      </c>
      <c r="AF488" s="20">
        <f t="shared" si="191"/>
        <v>1930068000.0000002</v>
      </c>
      <c r="AG488">
        <f t="shared" si="178"/>
        <v>289489775.06328481</v>
      </c>
      <c r="AH488">
        <f t="shared" si="179"/>
        <v>321655305.62587202</v>
      </c>
      <c r="AI488">
        <f t="shared" si="180"/>
        <v>16695949475.283735</v>
      </c>
    </row>
    <row r="489" spans="1:35" x14ac:dyDescent="0.25">
      <c r="B489" s="4">
        <v>2025</v>
      </c>
      <c r="C489" s="4" t="s">
        <v>33</v>
      </c>
      <c r="D489" s="1" t="s">
        <v>81</v>
      </c>
      <c r="E489" s="4" t="str">
        <f t="shared" si="193"/>
        <v>FortisBC-CAN</v>
      </c>
      <c r="F489" s="4" t="s">
        <v>146</v>
      </c>
      <c r="G489" s="4"/>
      <c r="H489" s="11" t="s">
        <v>386</v>
      </c>
      <c r="I489" s="4"/>
      <c r="J489" s="4" t="s">
        <v>142</v>
      </c>
      <c r="K489" s="5">
        <v>2744499.1947599999</v>
      </c>
      <c r="L489" s="5">
        <f>K489/_xlfn.XLOOKUP(C489,'Utility target list'!$K$2:$K$8,'Utility target list'!$L$2:$L$8,1,0,1)</f>
        <v>3049443.5497333333</v>
      </c>
      <c r="M489" s="8">
        <v>4001920</v>
      </c>
      <c r="N489" s="8">
        <v>3942720</v>
      </c>
      <c r="O489" s="8">
        <f>SUMIFS(EIAwtransport!$J$2:$J$675,EIAwtransport!$E$2:$E$675,Program_data!$E489,EIAwtransport!$H$2:$H$675,Program_data!$F489,EIAwtransport!$I$2:$I$675,Program_data!O$2)</f>
        <v>555000000</v>
      </c>
      <c r="P489" s="5">
        <f>SUMIFS(EIAwtransport!$J$2:$J$675,EIAwtransport!$E$2:$E$675,Program_data!$E489,EIAwtransport!$H$2:$H$675,Program_data!$F489,EIAwtransport!$I$2:$I$675,Program_data!P$2)</f>
        <v>75825366.219932109</v>
      </c>
      <c r="Q489" s="5">
        <f>SUMIFS(EIAwtransport!$J$2:$J$675,EIAwtransport!$E$2:$E$675,Program_data!$E489,EIAwtransport!$H$2:$H$675,Program_data!$F489,EIAwtransport!$I$2:$I$675,Program_data!Q$2)</f>
        <v>98444</v>
      </c>
      <c r="R489" s="8">
        <f>SUMIFS(EIAwtransport!$J$2:$J$675,EIAwtransport!$E$2:$E$675,Program_data!$E489,EIAwtransport!$I$2:$I$675,Program_data!R$2)</f>
        <v>1429680000</v>
      </c>
      <c r="S489" s="5">
        <f>SUMIFS(EIAwtransport!$J$2:$J$675,EIAwtransport!$E$2:$E$675,Program_data!$E489,EIAwtransport!$I$2:$I$675,Program_data!S$2)</f>
        <v>158285451.98410821</v>
      </c>
      <c r="T489" s="5">
        <f>SUMIFS(EIAwtransport!$J$2:$J$675,EIAwtransport!$E$2:$E$675,Program_data!$E489,EIAwtransport!$I$2:$I$675,Program_data!T$2)</f>
        <v>1074614</v>
      </c>
      <c r="U489" s="24">
        <f t="shared" si="182"/>
        <v>1.6736411740091934E-3</v>
      </c>
      <c r="V489" s="24">
        <f t="shared" si="192"/>
        <v>1.8596013044546596E-3</v>
      </c>
      <c r="W489" s="24">
        <f t="shared" si="183"/>
        <v>2.7991718426501034E-3</v>
      </c>
      <c r="X489" s="25">
        <f t="shared" si="184"/>
        <v>2.4404372571428562E-3</v>
      </c>
      <c r="Y489" s="8">
        <f t="shared" si="185"/>
        <v>0.68018513221215338</v>
      </c>
      <c r="Z489" s="27">
        <f t="shared" si="186"/>
        <v>0.47561937918628405</v>
      </c>
      <c r="AA489" s="27"/>
      <c r="AB489" s="27"/>
      <c r="AC489" s="56">
        <f t="shared" si="189"/>
        <v>3.0147304553336567E-2</v>
      </c>
      <c r="AE489" s="20">
        <f t="shared" si="190"/>
        <v>5322672</v>
      </c>
      <c r="AF489" s="20">
        <f t="shared" si="191"/>
        <v>1930068000.0000002</v>
      </c>
      <c r="AG489">
        <f t="shared" si="178"/>
        <v>289489775.06328481</v>
      </c>
      <c r="AH489">
        <f t="shared" si="179"/>
        <v>321655305.62587202</v>
      </c>
      <c r="AI489">
        <f t="shared" si="180"/>
        <v>16695949475.283735</v>
      </c>
    </row>
    <row r="490" spans="1:35" x14ac:dyDescent="0.25">
      <c r="B490" s="4">
        <v>2026</v>
      </c>
      <c r="C490" s="4" t="s">
        <v>33</v>
      </c>
      <c r="D490" s="1" t="s">
        <v>81</v>
      </c>
      <c r="E490" s="4" t="str">
        <f t="shared" si="193"/>
        <v>FortisBC-CAN</v>
      </c>
      <c r="F490" s="4" t="s">
        <v>146</v>
      </c>
      <c r="G490" s="4"/>
      <c r="H490" s="11" t="s">
        <v>386</v>
      </c>
      <c r="I490" s="4"/>
      <c r="J490" s="4" t="s">
        <v>142</v>
      </c>
      <c r="K490" s="5">
        <v>3199451.40276</v>
      </c>
      <c r="L490" s="5">
        <f>K490/_xlfn.XLOOKUP(C490,'Utility target list'!$K$2:$K$8,'Utility target list'!$L$2:$L$8,1,0,1)</f>
        <v>3554946.0030666664</v>
      </c>
      <c r="M490" s="8">
        <v>4303100</v>
      </c>
      <c r="N490" s="8">
        <v>4243900</v>
      </c>
      <c r="O490" s="8">
        <f>SUMIFS(EIAwtransport!$J$2:$J$675,EIAwtransport!$E$2:$E$675,Program_data!$E490,EIAwtransport!$H$2:$H$675,Program_data!$F490,EIAwtransport!$I$2:$I$675,Program_data!O$2)</f>
        <v>555000000</v>
      </c>
      <c r="P490" s="5">
        <f>SUMIFS(EIAwtransport!$J$2:$J$675,EIAwtransport!$E$2:$E$675,Program_data!$E490,EIAwtransport!$H$2:$H$675,Program_data!$F490,EIAwtransport!$I$2:$I$675,Program_data!P$2)</f>
        <v>75825366.219932109</v>
      </c>
      <c r="Q490" s="5">
        <f>SUMIFS(EIAwtransport!$J$2:$J$675,EIAwtransport!$E$2:$E$675,Program_data!$E490,EIAwtransport!$H$2:$H$675,Program_data!$F490,EIAwtransport!$I$2:$I$675,Program_data!Q$2)</f>
        <v>98444</v>
      </c>
      <c r="R490" s="8">
        <f>SUMIFS(EIAwtransport!$J$2:$J$675,EIAwtransport!$E$2:$E$675,Program_data!$E490,EIAwtransport!$I$2:$I$675,Program_data!R$2)</f>
        <v>1429680000</v>
      </c>
      <c r="S490" s="5">
        <f>SUMIFS(EIAwtransport!$J$2:$J$675,EIAwtransport!$E$2:$E$675,Program_data!$E490,EIAwtransport!$I$2:$I$675,Program_data!S$2)</f>
        <v>158285451.98410821</v>
      </c>
      <c r="T490" s="5">
        <f>SUMIFS(EIAwtransport!$J$2:$J$675,EIAwtransport!$E$2:$E$675,Program_data!$E490,EIAwtransport!$I$2:$I$675,Program_data!T$2)</f>
        <v>1074614</v>
      </c>
      <c r="U490" s="24">
        <f t="shared" si="182"/>
        <v>1.9510785837081896E-3</v>
      </c>
      <c r="V490" s="24">
        <f t="shared" si="192"/>
        <v>2.1678650930090993E-3</v>
      </c>
      <c r="W490" s="24">
        <f t="shared" si="183"/>
        <v>3.0098343685300206E-3</v>
      </c>
      <c r="X490" s="25">
        <f t="shared" si="184"/>
        <v>2.6241018214285703E-3</v>
      </c>
      <c r="Y490" s="8">
        <f t="shared" si="185"/>
        <v>0.62990354961022421</v>
      </c>
      <c r="Z490" s="27">
        <f t="shared" si="186"/>
        <v>0.4445321150874425</v>
      </c>
      <c r="AA490" s="27"/>
      <c r="AB490" s="27"/>
      <c r="AC490" s="56">
        <f t="shared" si="189"/>
        <v>3.0853644968334874E-2</v>
      </c>
      <c r="AE490" s="20">
        <f t="shared" si="190"/>
        <v>5729265</v>
      </c>
      <c r="AF490" s="20">
        <f t="shared" si="191"/>
        <v>1930068000.0000002</v>
      </c>
      <c r="AG490">
        <f t="shared" si="178"/>
        <v>337478133.96312481</v>
      </c>
      <c r="AH490">
        <f t="shared" si="179"/>
        <v>374975704.40347201</v>
      </c>
      <c r="AI490">
        <f t="shared" si="180"/>
        <v>16695949475.283735</v>
      </c>
    </row>
    <row r="491" spans="1:35" x14ac:dyDescent="0.25">
      <c r="B491" s="4">
        <v>2027</v>
      </c>
      <c r="C491" s="4" t="s">
        <v>33</v>
      </c>
      <c r="D491" s="1" t="s">
        <v>81</v>
      </c>
      <c r="E491" s="4" t="str">
        <f t="shared" si="193"/>
        <v>FortisBC-CAN</v>
      </c>
      <c r="F491" s="4" t="s">
        <v>146</v>
      </c>
      <c r="G491" s="4"/>
      <c r="H491" s="11" t="s">
        <v>386</v>
      </c>
      <c r="I491" s="4"/>
      <c r="J491" s="4" t="s">
        <v>142</v>
      </c>
      <c r="K491" s="5">
        <v>3199451.40276</v>
      </c>
      <c r="L491" s="5">
        <f>K491/_xlfn.XLOOKUP(C491,'Utility target list'!$K$2:$K$8,'Utility target list'!$L$2:$L$8,1,0,1)</f>
        <v>3554946.0030666664</v>
      </c>
      <c r="M491" s="8">
        <v>4340100</v>
      </c>
      <c r="N491" s="8">
        <v>4280900</v>
      </c>
      <c r="O491" s="8">
        <f>SUMIFS(EIAwtransport!$J$2:$J$675,EIAwtransport!$E$2:$E$675,Program_data!$E491,EIAwtransport!$H$2:$H$675,Program_data!$F491,EIAwtransport!$I$2:$I$675,Program_data!O$2)</f>
        <v>555000000</v>
      </c>
      <c r="P491" s="5">
        <f>SUMIFS(EIAwtransport!$J$2:$J$675,EIAwtransport!$E$2:$E$675,Program_data!$E491,EIAwtransport!$H$2:$H$675,Program_data!$F491,EIAwtransport!$I$2:$I$675,Program_data!P$2)</f>
        <v>75825366.219932109</v>
      </c>
      <c r="Q491" s="5">
        <f>SUMIFS(EIAwtransport!$J$2:$J$675,EIAwtransport!$E$2:$E$675,Program_data!$E491,EIAwtransport!$H$2:$H$675,Program_data!$F491,EIAwtransport!$I$2:$I$675,Program_data!Q$2)</f>
        <v>98444</v>
      </c>
      <c r="R491" s="8">
        <f>SUMIFS(EIAwtransport!$J$2:$J$675,EIAwtransport!$E$2:$E$675,Program_data!$E491,EIAwtransport!$I$2:$I$675,Program_data!R$2)</f>
        <v>1429680000</v>
      </c>
      <c r="S491" s="5">
        <f>SUMIFS(EIAwtransport!$J$2:$J$675,EIAwtransport!$E$2:$E$675,Program_data!$E491,EIAwtransport!$I$2:$I$675,Program_data!S$2)</f>
        <v>158285451.98410821</v>
      </c>
      <c r="T491" s="5">
        <f>SUMIFS(EIAwtransport!$J$2:$J$675,EIAwtransport!$E$2:$E$675,Program_data!$E491,EIAwtransport!$I$2:$I$675,Program_data!T$2)</f>
        <v>1074614</v>
      </c>
      <c r="U491" s="24">
        <f t="shared" si="182"/>
        <v>1.9510785837081896E-3</v>
      </c>
      <c r="V491" s="24">
        <f t="shared" si="192"/>
        <v>2.1678650930090993E-3</v>
      </c>
      <c r="W491" s="24">
        <f t="shared" si="183"/>
        <v>3.0357142857142857E-3</v>
      </c>
      <c r="X491" s="25">
        <f t="shared" si="184"/>
        <v>2.6466650357142847E-3</v>
      </c>
      <c r="Y491" s="8">
        <f t="shared" si="185"/>
        <v>0.57928535787071822</v>
      </c>
      <c r="Z491" s="27">
        <f t="shared" si="186"/>
        <v>0.40598896190559886</v>
      </c>
      <c r="AA491" s="27"/>
      <c r="AB491" s="27"/>
      <c r="AC491" s="56">
        <f t="shared" si="189"/>
        <v>2.7814945713825198E-2</v>
      </c>
      <c r="AE491" s="20">
        <f t="shared" si="190"/>
        <v>5779215</v>
      </c>
      <c r="AF491" s="20">
        <f t="shared" si="191"/>
        <v>1930068000.0000002</v>
      </c>
      <c r="AG491">
        <f t="shared" si="178"/>
        <v>337478133.96312481</v>
      </c>
      <c r="AH491">
        <f t="shared" si="179"/>
        <v>374975704.40347201</v>
      </c>
      <c r="AI491">
        <f t="shared" si="180"/>
        <v>16695949475.283735</v>
      </c>
    </row>
    <row r="492" spans="1:35" x14ac:dyDescent="0.25">
      <c r="B492" s="4"/>
      <c r="C492" s="4"/>
      <c r="D492" s="1"/>
      <c r="E492" s="4"/>
      <c r="F492" s="4"/>
      <c r="G492" s="4"/>
      <c r="H492" s="11"/>
      <c r="I492" s="4"/>
      <c r="J492" s="4"/>
      <c r="K492" s="5"/>
      <c r="L492" s="5"/>
      <c r="M492" s="8"/>
      <c r="N492" s="8"/>
      <c r="O492" s="8">
        <f>SUMIFS(EIAwtransport!$J$2:$J$675,EIAwtransport!$E$2:$E$675,Program_data!$E492,EIAwtransport!$H$2:$H$675,Program_data!$F492,EIAwtransport!$I$2:$I$675,Program_data!O$2)</f>
        <v>0</v>
      </c>
      <c r="P492" s="5">
        <f>SUMIFS(EIAwtransport!$J$2:$J$675,EIAwtransport!$E$2:$E$675,Program_data!$E492,EIAwtransport!$H$2:$H$675,Program_data!$F492,EIAwtransport!$I$2:$I$675,Program_data!P$2)</f>
        <v>0</v>
      </c>
      <c r="Q492" s="5">
        <f>SUMIFS(EIAwtransport!$J$2:$J$675,EIAwtransport!$E$2:$E$675,Program_data!$E492,EIAwtransport!$H$2:$H$675,Program_data!$F492,EIAwtransport!$I$2:$I$675,Program_data!Q$2)</f>
        <v>0</v>
      </c>
      <c r="R492" s="8">
        <f>SUMIFS(EIAwtransport!$J$2:$J$675,EIAwtransport!$E$2:$E$675,Program_data!$E492,EIAwtransport!$I$2:$I$675,Program_data!R$2)</f>
        <v>0</v>
      </c>
      <c r="S492" s="5">
        <f>SUMIFS(EIAwtransport!$J$2:$J$675,EIAwtransport!$E$2:$E$675,Program_data!$E492,EIAwtransport!$I$2:$I$675,Program_data!S$2)</f>
        <v>0</v>
      </c>
      <c r="T492" s="5">
        <f>SUMIFS(EIAwtransport!$J$2:$J$675,EIAwtransport!$E$2:$E$675,Program_data!$E492,EIAwtransport!$I$2:$I$675,Program_data!T$2)</f>
        <v>0</v>
      </c>
      <c r="U492" s="97" t="str">
        <f t="shared" si="182"/>
        <v/>
      </c>
      <c r="V492" s="24" t="str">
        <f t="shared" si="192"/>
        <v/>
      </c>
      <c r="W492" s="24" t="str">
        <f t="shared" si="183"/>
        <v/>
      </c>
      <c r="X492" s="25" t="str">
        <f t="shared" si="184"/>
        <v/>
      </c>
      <c r="Y492" s="8" t="str">
        <f t="shared" si="185"/>
        <v/>
      </c>
      <c r="Z492" s="27" t="str">
        <f t="shared" si="186"/>
        <v/>
      </c>
      <c r="AA492" s="27"/>
      <c r="AB492" s="27"/>
      <c r="AC492" s="56" t="str">
        <f t="shared" si="189"/>
        <v/>
      </c>
      <c r="AE492" s="20">
        <f t="shared" si="190"/>
        <v>0</v>
      </c>
      <c r="AF492" s="20">
        <f t="shared" si="191"/>
        <v>0</v>
      </c>
      <c r="AG492">
        <f t="shared" si="178"/>
        <v>0</v>
      </c>
      <c r="AH492">
        <f t="shared" si="179"/>
        <v>0</v>
      </c>
      <c r="AI492">
        <f t="shared" si="180"/>
        <v>0</v>
      </c>
    </row>
    <row r="493" spans="1:35" x14ac:dyDescent="0.25">
      <c r="B493" s="4">
        <v>2025</v>
      </c>
      <c r="C493" s="4" t="s">
        <v>33</v>
      </c>
      <c r="D493" s="1" t="s">
        <v>81</v>
      </c>
      <c r="E493" s="4" t="str">
        <f>D493&amp;"-"&amp;C493</f>
        <v>FortisBC-CAN</v>
      </c>
      <c r="F493" s="4" t="s">
        <v>155</v>
      </c>
      <c r="G493" s="4"/>
      <c r="H493" s="11" t="s">
        <v>387</v>
      </c>
      <c r="I493" s="4"/>
      <c r="J493" s="4" t="s">
        <v>155</v>
      </c>
      <c r="K493" s="5">
        <v>0</v>
      </c>
      <c r="L493" s="38"/>
      <c r="M493" s="8">
        <v>347800</v>
      </c>
      <c r="N493" s="8">
        <v>0</v>
      </c>
      <c r="O493" s="8">
        <f>SUMIFS(EIAwtransport!$J$2:$J$675,EIAwtransport!$E$2:$E$675,Program_data!$E493,EIAwtransport!$H$2:$H$675,Program_data!$F493,EIAwtransport!$I$2:$I$675,Program_data!O$2)</f>
        <v>0</v>
      </c>
      <c r="P493" s="5">
        <f>SUMIFS(EIAwtransport!$J$2:$J$675,EIAwtransport!$E$2:$E$675,Program_data!$E493,EIAwtransport!$H$2:$H$675,Program_data!$F493,EIAwtransport!$I$2:$I$675,Program_data!P$2)</f>
        <v>0</v>
      </c>
      <c r="Q493" s="5">
        <f>SUMIFS(EIAwtransport!$J$2:$J$675,EIAwtransport!$E$2:$E$675,Program_data!$E493,EIAwtransport!$H$2:$H$675,Program_data!$F493,EIAwtransport!$I$2:$I$675,Program_data!Q$2)</f>
        <v>0</v>
      </c>
      <c r="R493" s="8">
        <f>SUMIFS(EIAwtransport!$J$2:$J$675,EIAwtransport!$E$2:$E$675,Program_data!$E493,EIAwtransport!$I$2:$I$675,Program_data!R$2)</f>
        <v>1429680000</v>
      </c>
      <c r="S493" s="5">
        <f>SUMIFS(EIAwtransport!$J$2:$J$675,EIAwtransport!$E$2:$E$675,Program_data!$E493,EIAwtransport!$I$2:$I$675,Program_data!S$2)</f>
        <v>158285451.98410821</v>
      </c>
      <c r="T493" s="5">
        <f>SUMIFS(EIAwtransport!$J$2:$J$675,EIAwtransport!$E$2:$E$675,Program_data!$E493,EIAwtransport!$I$2:$I$675,Program_data!T$2)</f>
        <v>1074614</v>
      </c>
      <c r="U493" s="24">
        <f t="shared" si="182"/>
        <v>0</v>
      </c>
      <c r="V493" s="24">
        <f t="shared" si="192"/>
        <v>0</v>
      </c>
      <c r="W493" s="24">
        <f t="shared" si="183"/>
        <v>2.432712215320911E-4</v>
      </c>
      <c r="X493" s="25">
        <f t="shared" si="184"/>
        <v>2.1209421428571419E-4</v>
      </c>
      <c r="Y493" s="8" t="str">
        <f t="shared" si="185"/>
        <v/>
      </c>
      <c r="Z493" s="27">
        <f t="shared" si="186"/>
        <v>4.1335264093482531E-2</v>
      </c>
      <c r="AA493" s="27"/>
      <c r="AB493" s="27"/>
      <c r="AC493" s="56">
        <f t="shared" si="189"/>
        <v>0</v>
      </c>
      <c r="AE493" s="20">
        <f t="shared" si="190"/>
        <v>0</v>
      </c>
      <c r="AF493" s="20">
        <f t="shared" si="191"/>
        <v>1930068000.0000002</v>
      </c>
      <c r="AG493">
        <f t="shared" si="178"/>
        <v>0</v>
      </c>
      <c r="AH493">
        <f t="shared" si="179"/>
        <v>0</v>
      </c>
      <c r="AI493">
        <f t="shared" si="180"/>
        <v>16695949475.283735</v>
      </c>
    </row>
    <row r="494" spans="1:35" x14ac:dyDescent="0.25">
      <c r="B494" s="4">
        <v>2026</v>
      </c>
      <c r="C494" s="4" t="s">
        <v>33</v>
      </c>
      <c r="D494" s="1" t="s">
        <v>81</v>
      </c>
      <c r="E494" s="4" t="str">
        <f>D494&amp;"-"&amp;C494</f>
        <v>FortisBC-CAN</v>
      </c>
      <c r="F494" s="4" t="s">
        <v>155</v>
      </c>
      <c r="G494" s="4"/>
      <c r="H494" s="11" t="s">
        <v>387</v>
      </c>
      <c r="I494" s="4"/>
      <c r="J494" s="4" t="s">
        <v>155</v>
      </c>
      <c r="K494" s="5">
        <v>0</v>
      </c>
      <c r="L494" s="38"/>
      <c r="M494" s="8">
        <v>347800</v>
      </c>
      <c r="N494" s="8">
        <v>0</v>
      </c>
      <c r="O494" s="8">
        <f>SUMIFS(EIAwtransport!$J$2:$J$675,EIAwtransport!$E$2:$E$675,Program_data!$E494,EIAwtransport!$H$2:$H$675,Program_data!$F494,EIAwtransport!$I$2:$I$675,Program_data!O$2)</f>
        <v>0</v>
      </c>
      <c r="P494" s="5">
        <f>SUMIFS(EIAwtransport!$J$2:$J$675,EIAwtransport!$E$2:$E$675,Program_data!$E494,EIAwtransport!$H$2:$H$675,Program_data!$F494,EIAwtransport!$I$2:$I$675,Program_data!P$2)</f>
        <v>0</v>
      </c>
      <c r="Q494" s="5">
        <f>SUMIFS(EIAwtransport!$J$2:$J$675,EIAwtransport!$E$2:$E$675,Program_data!$E494,EIAwtransport!$H$2:$H$675,Program_data!$F494,EIAwtransport!$I$2:$I$675,Program_data!Q$2)</f>
        <v>0</v>
      </c>
      <c r="R494" s="8">
        <f>SUMIFS(EIAwtransport!$J$2:$J$675,EIAwtransport!$E$2:$E$675,Program_data!$E494,EIAwtransport!$I$2:$I$675,Program_data!R$2)</f>
        <v>1429680000</v>
      </c>
      <c r="S494" s="5">
        <f>SUMIFS(EIAwtransport!$J$2:$J$675,EIAwtransport!$E$2:$E$675,Program_data!$E494,EIAwtransport!$I$2:$I$675,Program_data!S$2)</f>
        <v>158285451.98410821</v>
      </c>
      <c r="T494" s="5">
        <f>SUMIFS(EIAwtransport!$J$2:$J$675,EIAwtransport!$E$2:$E$675,Program_data!$E494,EIAwtransport!$I$2:$I$675,Program_data!T$2)</f>
        <v>1074614</v>
      </c>
      <c r="U494" s="24">
        <f t="shared" si="182"/>
        <v>0</v>
      </c>
      <c r="V494" s="24">
        <f t="shared" si="192"/>
        <v>0</v>
      </c>
      <c r="W494" s="24">
        <f t="shared" si="183"/>
        <v>2.432712215320911E-4</v>
      </c>
      <c r="X494" s="25">
        <f t="shared" si="184"/>
        <v>2.1209421428571419E-4</v>
      </c>
      <c r="Y494" s="8" t="str">
        <f t="shared" si="185"/>
        <v/>
      </c>
      <c r="Z494" s="27">
        <f t="shared" si="186"/>
        <v>3.5929508872071879E-2</v>
      </c>
      <c r="AA494" s="27"/>
      <c r="AB494" s="27"/>
      <c r="AC494" s="56">
        <f t="shared" si="189"/>
        <v>0</v>
      </c>
      <c r="AE494" s="20">
        <f t="shared" si="190"/>
        <v>0</v>
      </c>
      <c r="AF494" s="20">
        <f t="shared" si="191"/>
        <v>1930068000.0000002</v>
      </c>
      <c r="AG494">
        <f t="shared" si="178"/>
        <v>0</v>
      </c>
      <c r="AH494">
        <f t="shared" si="179"/>
        <v>0</v>
      </c>
      <c r="AI494">
        <f t="shared" si="180"/>
        <v>16695949475.283735</v>
      </c>
    </row>
    <row r="495" spans="1:35" x14ac:dyDescent="0.25">
      <c r="B495" s="4">
        <v>2027</v>
      </c>
      <c r="C495" s="4" t="s">
        <v>33</v>
      </c>
      <c r="D495" s="1" t="s">
        <v>81</v>
      </c>
      <c r="E495" s="4" t="str">
        <f>D495&amp;"-"&amp;C495</f>
        <v>FortisBC-CAN</v>
      </c>
      <c r="F495" s="4" t="s">
        <v>155</v>
      </c>
      <c r="G495" s="4"/>
      <c r="H495" s="11" t="s">
        <v>387</v>
      </c>
      <c r="I495" s="4"/>
      <c r="J495" s="4" t="s">
        <v>155</v>
      </c>
      <c r="K495" s="5">
        <v>0</v>
      </c>
      <c r="L495" s="38"/>
      <c r="M495" s="8">
        <v>347800</v>
      </c>
      <c r="N495" s="8">
        <v>0</v>
      </c>
      <c r="O495" s="8">
        <f>SUMIFS(EIAwtransport!$J$2:$J$675,EIAwtransport!$E$2:$E$675,Program_data!$E495,EIAwtransport!$H$2:$H$675,Program_data!$F495,EIAwtransport!$I$2:$I$675,Program_data!O$2)</f>
        <v>0</v>
      </c>
      <c r="P495" s="5">
        <f>SUMIFS(EIAwtransport!$J$2:$J$675,EIAwtransport!$E$2:$E$675,Program_data!$E495,EIAwtransport!$H$2:$H$675,Program_data!$F495,EIAwtransport!$I$2:$I$675,Program_data!P$2)</f>
        <v>0</v>
      </c>
      <c r="Q495" s="5">
        <f>SUMIFS(EIAwtransport!$J$2:$J$675,EIAwtransport!$E$2:$E$675,Program_data!$E495,EIAwtransport!$H$2:$H$675,Program_data!$F495,EIAwtransport!$I$2:$I$675,Program_data!Q$2)</f>
        <v>0</v>
      </c>
      <c r="R495" s="8">
        <f>SUMIFS(EIAwtransport!$J$2:$J$675,EIAwtransport!$E$2:$E$675,Program_data!$E495,EIAwtransport!$I$2:$I$675,Program_data!R$2)</f>
        <v>1429680000</v>
      </c>
      <c r="S495" s="5">
        <f>SUMIFS(EIAwtransport!$J$2:$J$675,EIAwtransport!$E$2:$E$675,Program_data!$E495,EIAwtransport!$I$2:$I$675,Program_data!S$2)</f>
        <v>158285451.98410821</v>
      </c>
      <c r="T495" s="5">
        <f>SUMIFS(EIAwtransport!$J$2:$J$675,EIAwtransport!$E$2:$E$675,Program_data!$E495,EIAwtransport!$I$2:$I$675,Program_data!T$2)</f>
        <v>1074614</v>
      </c>
      <c r="U495" s="24">
        <f t="shared" si="182"/>
        <v>0</v>
      </c>
      <c r="V495" s="24">
        <f t="shared" si="192"/>
        <v>0</v>
      </c>
      <c r="W495" s="24">
        <f t="shared" si="183"/>
        <v>2.432712215320911E-4</v>
      </c>
      <c r="X495" s="25">
        <f t="shared" si="184"/>
        <v>2.1209421428571419E-4</v>
      </c>
      <c r="Y495" s="8" t="str">
        <f t="shared" si="185"/>
        <v/>
      </c>
      <c r="Z495" s="27">
        <f t="shared" si="186"/>
        <v>3.2534494815964439E-2</v>
      </c>
      <c r="AA495" s="27"/>
      <c r="AB495" s="27"/>
      <c r="AC495" s="56">
        <f t="shared" si="189"/>
        <v>0</v>
      </c>
      <c r="AE495" s="20">
        <f t="shared" si="190"/>
        <v>0</v>
      </c>
      <c r="AF495" s="20">
        <f t="shared" si="191"/>
        <v>1930068000.0000002</v>
      </c>
      <c r="AG495">
        <f t="shared" si="178"/>
        <v>0</v>
      </c>
      <c r="AH495">
        <f t="shared" si="179"/>
        <v>0</v>
      </c>
      <c r="AI495">
        <f t="shared" si="180"/>
        <v>16695949475.283735</v>
      </c>
    </row>
    <row r="496" spans="1:35" x14ac:dyDescent="0.25">
      <c r="B496" s="4"/>
      <c r="C496" s="4"/>
      <c r="D496" s="1"/>
      <c r="E496" s="4"/>
      <c r="F496" s="4"/>
      <c r="G496" s="4"/>
      <c r="H496" s="11"/>
      <c r="I496" s="4"/>
      <c r="J496" s="4"/>
      <c r="K496" s="5"/>
      <c r="L496" s="5"/>
      <c r="M496" s="8"/>
      <c r="N496" s="8"/>
      <c r="O496" s="8">
        <f>SUMIFS(EIAwtransport!$J$2:$J$675,EIAwtransport!$E$2:$E$675,Program_data!$E496,EIAwtransport!$H$2:$H$675,Program_data!$F496,EIAwtransport!$I$2:$I$675,Program_data!O$2)</f>
        <v>0</v>
      </c>
      <c r="P496" s="5">
        <f>SUMIFS(EIAwtransport!$J$2:$J$675,EIAwtransport!$E$2:$E$675,Program_data!$E496,EIAwtransport!$H$2:$H$675,Program_data!$F496,EIAwtransport!$I$2:$I$675,Program_data!P$2)</f>
        <v>0</v>
      </c>
      <c r="Q496" s="5">
        <f>SUMIFS(EIAwtransport!$J$2:$J$675,EIAwtransport!$E$2:$E$675,Program_data!$E496,EIAwtransport!$H$2:$H$675,Program_data!$F496,EIAwtransport!$I$2:$I$675,Program_data!Q$2)</f>
        <v>0</v>
      </c>
      <c r="R496" s="8">
        <f>SUMIFS(EIAwtransport!$J$2:$J$675,EIAwtransport!$E$2:$E$675,Program_data!$E496,EIAwtransport!$I$2:$I$675,Program_data!R$2)</f>
        <v>0</v>
      </c>
      <c r="S496" s="5">
        <f>SUMIFS(EIAwtransport!$J$2:$J$675,EIAwtransport!$E$2:$E$675,Program_data!$E496,EIAwtransport!$I$2:$I$675,Program_data!S$2)</f>
        <v>0</v>
      </c>
      <c r="T496" s="5">
        <f>SUMIFS(EIAwtransport!$J$2:$J$675,EIAwtransport!$E$2:$E$675,Program_data!$E496,EIAwtransport!$I$2:$I$675,Program_data!T$2)</f>
        <v>0</v>
      </c>
      <c r="U496" s="97" t="str">
        <f t="shared" si="182"/>
        <v/>
      </c>
      <c r="V496" s="24" t="str">
        <f t="shared" si="192"/>
        <v/>
      </c>
      <c r="W496" s="24" t="str">
        <f t="shared" si="183"/>
        <v/>
      </c>
      <c r="X496" s="25" t="str">
        <f t="shared" si="184"/>
        <v/>
      </c>
      <c r="Y496" s="8" t="str">
        <f t="shared" si="185"/>
        <v/>
      </c>
      <c r="Z496" s="27" t="str">
        <f t="shared" si="186"/>
        <v/>
      </c>
      <c r="AA496" s="27"/>
      <c r="AB496" s="27"/>
      <c r="AC496" s="56" t="str">
        <f t="shared" si="189"/>
        <v/>
      </c>
      <c r="AE496" s="20">
        <f t="shared" si="190"/>
        <v>0</v>
      </c>
      <c r="AF496" s="20">
        <f t="shared" si="191"/>
        <v>0</v>
      </c>
      <c r="AG496">
        <f t="shared" si="178"/>
        <v>0</v>
      </c>
      <c r="AH496">
        <f t="shared" si="179"/>
        <v>0</v>
      </c>
      <c r="AI496">
        <f t="shared" si="180"/>
        <v>0</v>
      </c>
    </row>
    <row r="497" spans="1:35" x14ac:dyDescent="0.25">
      <c r="B497" s="4">
        <v>2025</v>
      </c>
      <c r="C497" s="4" t="s">
        <v>33</v>
      </c>
      <c r="D497" s="1" t="s">
        <v>81</v>
      </c>
      <c r="E497" s="4" t="str">
        <f t="shared" ref="E497:E511" si="194">D497&amp;"-"&amp;C497</f>
        <v>FortisBC-CAN</v>
      </c>
      <c r="F497" s="4" t="s">
        <v>155</v>
      </c>
      <c r="G497" s="4"/>
      <c r="H497" s="11" t="s">
        <v>388</v>
      </c>
      <c r="I497" s="4"/>
      <c r="J497" s="4" t="s">
        <v>155</v>
      </c>
      <c r="K497" s="5">
        <v>0</v>
      </c>
      <c r="L497" s="38"/>
      <c r="M497" s="8">
        <v>148000</v>
      </c>
      <c r="N497" s="8">
        <v>0</v>
      </c>
      <c r="O497" s="8">
        <f>SUMIFS(EIAwtransport!$J$2:$J$675,EIAwtransport!$E$2:$E$675,Program_data!$E497,EIAwtransport!$H$2:$H$675,Program_data!$F497,EIAwtransport!$I$2:$I$675,Program_data!O$2)</f>
        <v>0</v>
      </c>
      <c r="P497" s="5">
        <f>SUMIFS(EIAwtransport!$J$2:$J$675,EIAwtransport!$E$2:$E$675,Program_data!$E497,EIAwtransport!$H$2:$H$675,Program_data!$F497,EIAwtransport!$I$2:$I$675,Program_data!P$2)</f>
        <v>0</v>
      </c>
      <c r="Q497" s="5">
        <f>SUMIFS(EIAwtransport!$J$2:$J$675,EIAwtransport!$E$2:$E$675,Program_data!$E497,EIAwtransport!$H$2:$H$675,Program_data!$F497,EIAwtransport!$I$2:$I$675,Program_data!Q$2)</f>
        <v>0</v>
      </c>
      <c r="R497" s="8">
        <f>SUMIFS(EIAwtransport!$J$2:$J$675,EIAwtransport!$E$2:$E$675,Program_data!$E497,EIAwtransport!$I$2:$I$675,Program_data!R$2)</f>
        <v>1429680000</v>
      </c>
      <c r="S497" s="5">
        <f>SUMIFS(EIAwtransport!$J$2:$J$675,EIAwtransport!$E$2:$E$675,Program_data!$E497,EIAwtransport!$I$2:$I$675,Program_data!S$2)</f>
        <v>158285451.98410821</v>
      </c>
      <c r="T497" s="5">
        <f>SUMIFS(EIAwtransport!$J$2:$J$675,EIAwtransport!$E$2:$E$675,Program_data!$E497,EIAwtransport!$I$2:$I$675,Program_data!T$2)</f>
        <v>1074614</v>
      </c>
      <c r="U497" s="24">
        <f t="shared" si="182"/>
        <v>0</v>
      </c>
      <c r="V497" s="24">
        <f t="shared" si="192"/>
        <v>0</v>
      </c>
      <c r="W497" s="24">
        <f t="shared" si="183"/>
        <v>1.0351966873706004E-4</v>
      </c>
      <c r="X497" s="25">
        <f t="shared" si="184"/>
        <v>9.0252857142857114E-5</v>
      </c>
      <c r="Y497" s="8" t="str">
        <f t="shared" si="185"/>
        <v/>
      </c>
      <c r="Z497" s="27">
        <f t="shared" si="186"/>
        <v>1.7589474082332992E-2</v>
      </c>
      <c r="AA497" s="27"/>
      <c r="AB497" s="27"/>
      <c r="AC497" s="56">
        <f t="shared" si="189"/>
        <v>0</v>
      </c>
      <c r="AE497" s="20">
        <f t="shared" si="190"/>
        <v>0</v>
      </c>
      <c r="AF497" s="20">
        <f t="shared" si="191"/>
        <v>1930068000.0000002</v>
      </c>
      <c r="AG497">
        <f t="shared" si="178"/>
        <v>0</v>
      </c>
      <c r="AH497">
        <f t="shared" si="179"/>
        <v>0</v>
      </c>
      <c r="AI497">
        <f t="shared" si="180"/>
        <v>16695949475.283735</v>
      </c>
    </row>
    <row r="498" spans="1:35" x14ac:dyDescent="0.25">
      <c r="B498" s="4">
        <v>2026</v>
      </c>
      <c r="C498" s="4" t="s">
        <v>33</v>
      </c>
      <c r="D498" s="1" t="s">
        <v>81</v>
      </c>
      <c r="E498" s="4" t="str">
        <f t="shared" si="194"/>
        <v>FortisBC-CAN</v>
      </c>
      <c r="F498" s="4" t="s">
        <v>155</v>
      </c>
      <c r="G498" s="4"/>
      <c r="H498" s="11" t="s">
        <v>388</v>
      </c>
      <c r="I498" s="4"/>
      <c r="J498" s="4" t="s">
        <v>155</v>
      </c>
      <c r="K498" s="5">
        <v>0</v>
      </c>
      <c r="L498" s="38"/>
      <c r="M498" s="8">
        <v>148000</v>
      </c>
      <c r="N498" s="8">
        <v>0</v>
      </c>
      <c r="O498" s="8">
        <f>SUMIFS(EIAwtransport!$J$2:$J$675,EIAwtransport!$E$2:$E$675,Program_data!$E498,EIAwtransport!$H$2:$H$675,Program_data!$F498,EIAwtransport!$I$2:$I$675,Program_data!O$2)</f>
        <v>0</v>
      </c>
      <c r="P498" s="5">
        <f>SUMIFS(EIAwtransport!$J$2:$J$675,EIAwtransport!$E$2:$E$675,Program_data!$E498,EIAwtransport!$H$2:$H$675,Program_data!$F498,EIAwtransport!$I$2:$I$675,Program_data!P$2)</f>
        <v>0</v>
      </c>
      <c r="Q498" s="5">
        <f>SUMIFS(EIAwtransport!$J$2:$J$675,EIAwtransport!$E$2:$E$675,Program_data!$E498,EIAwtransport!$H$2:$H$675,Program_data!$F498,EIAwtransport!$I$2:$I$675,Program_data!Q$2)</f>
        <v>0</v>
      </c>
      <c r="R498" s="8">
        <f>SUMIFS(EIAwtransport!$J$2:$J$675,EIAwtransport!$E$2:$E$675,Program_data!$E498,EIAwtransport!$I$2:$I$675,Program_data!R$2)</f>
        <v>1429680000</v>
      </c>
      <c r="S498" s="5">
        <f>SUMIFS(EIAwtransport!$J$2:$J$675,EIAwtransport!$E$2:$E$675,Program_data!$E498,EIAwtransport!$I$2:$I$675,Program_data!S$2)</f>
        <v>158285451.98410821</v>
      </c>
      <c r="T498" s="5">
        <f>SUMIFS(EIAwtransport!$J$2:$J$675,EIAwtransport!$E$2:$E$675,Program_data!$E498,EIAwtransport!$I$2:$I$675,Program_data!T$2)</f>
        <v>1074614</v>
      </c>
      <c r="U498" s="24">
        <f t="shared" si="182"/>
        <v>0</v>
      </c>
      <c r="V498" s="24">
        <f t="shared" si="192"/>
        <v>0</v>
      </c>
      <c r="W498" s="24">
        <f t="shared" si="183"/>
        <v>1.0351966873706004E-4</v>
      </c>
      <c r="X498" s="25">
        <f t="shared" si="184"/>
        <v>9.0252857142857114E-5</v>
      </c>
      <c r="Y498" s="8" t="str">
        <f t="shared" si="185"/>
        <v/>
      </c>
      <c r="Z498" s="27">
        <f t="shared" si="186"/>
        <v>1.5289152711519949E-2</v>
      </c>
      <c r="AA498" s="27"/>
      <c r="AB498" s="27"/>
      <c r="AC498" s="56">
        <f t="shared" si="189"/>
        <v>0</v>
      </c>
      <c r="AE498" s="20">
        <f t="shared" si="190"/>
        <v>0</v>
      </c>
      <c r="AF498" s="20">
        <f t="shared" si="191"/>
        <v>1930068000.0000002</v>
      </c>
      <c r="AG498">
        <f t="shared" si="178"/>
        <v>0</v>
      </c>
      <c r="AH498">
        <f t="shared" si="179"/>
        <v>0</v>
      </c>
      <c r="AI498">
        <f t="shared" si="180"/>
        <v>16695949475.283735</v>
      </c>
    </row>
    <row r="499" spans="1:35" x14ac:dyDescent="0.25">
      <c r="B499" s="4">
        <v>2027</v>
      </c>
      <c r="C499" s="4" t="s">
        <v>33</v>
      </c>
      <c r="D499" s="1" t="s">
        <v>81</v>
      </c>
      <c r="E499" s="4" t="str">
        <f t="shared" si="194"/>
        <v>FortisBC-CAN</v>
      </c>
      <c r="F499" s="4" t="s">
        <v>155</v>
      </c>
      <c r="G499" s="4"/>
      <c r="H499" s="11" t="s">
        <v>388</v>
      </c>
      <c r="I499" s="4"/>
      <c r="J499" s="4" t="s">
        <v>155</v>
      </c>
      <c r="K499" s="5">
        <v>0</v>
      </c>
      <c r="L499" s="38"/>
      <c r="M499" s="8">
        <v>148000</v>
      </c>
      <c r="N499" s="8">
        <v>0</v>
      </c>
      <c r="O499" s="8">
        <f>SUMIFS(EIAwtransport!$J$2:$J$675,EIAwtransport!$E$2:$E$675,Program_data!$E499,EIAwtransport!$H$2:$H$675,Program_data!$F499,EIAwtransport!$I$2:$I$675,Program_data!O$2)</f>
        <v>0</v>
      </c>
      <c r="P499" s="5">
        <f>SUMIFS(EIAwtransport!$J$2:$J$675,EIAwtransport!$E$2:$E$675,Program_data!$E499,EIAwtransport!$H$2:$H$675,Program_data!$F499,EIAwtransport!$I$2:$I$675,Program_data!P$2)</f>
        <v>0</v>
      </c>
      <c r="Q499" s="5">
        <f>SUMIFS(EIAwtransport!$J$2:$J$675,EIAwtransport!$E$2:$E$675,Program_data!$E499,EIAwtransport!$H$2:$H$675,Program_data!$F499,EIAwtransport!$I$2:$I$675,Program_data!Q$2)</f>
        <v>0</v>
      </c>
      <c r="R499" s="8">
        <f>SUMIFS(EIAwtransport!$J$2:$J$675,EIAwtransport!$E$2:$E$675,Program_data!$E499,EIAwtransport!$I$2:$I$675,Program_data!R$2)</f>
        <v>1429680000</v>
      </c>
      <c r="S499" s="5">
        <f>SUMIFS(EIAwtransport!$J$2:$J$675,EIAwtransport!$E$2:$E$675,Program_data!$E499,EIAwtransport!$I$2:$I$675,Program_data!S$2)</f>
        <v>158285451.98410821</v>
      </c>
      <c r="T499" s="5">
        <f>SUMIFS(EIAwtransport!$J$2:$J$675,EIAwtransport!$E$2:$E$675,Program_data!$E499,EIAwtransport!$I$2:$I$675,Program_data!T$2)</f>
        <v>1074614</v>
      </c>
      <c r="U499" s="24">
        <f t="shared" si="182"/>
        <v>0</v>
      </c>
      <c r="V499" s="24">
        <f t="shared" si="192"/>
        <v>0</v>
      </c>
      <c r="W499" s="24">
        <f t="shared" si="183"/>
        <v>1.0351966873706004E-4</v>
      </c>
      <c r="X499" s="25">
        <f t="shared" si="184"/>
        <v>9.0252857142857114E-5</v>
      </c>
      <c r="Y499" s="8" t="str">
        <f t="shared" si="185"/>
        <v/>
      </c>
      <c r="Z499" s="27">
        <f t="shared" si="186"/>
        <v>1.3844465879133804E-2</v>
      </c>
      <c r="AA499" s="27"/>
      <c r="AB499" s="27"/>
      <c r="AC499" s="56">
        <f t="shared" si="189"/>
        <v>0</v>
      </c>
      <c r="AE499" s="20">
        <f t="shared" si="190"/>
        <v>0</v>
      </c>
      <c r="AF499" s="20">
        <f t="shared" si="191"/>
        <v>1930068000.0000002</v>
      </c>
      <c r="AG499">
        <f t="shared" si="178"/>
        <v>0</v>
      </c>
      <c r="AH499">
        <f t="shared" si="179"/>
        <v>0</v>
      </c>
      <c r="AI499">
        <f t="shared" si="180"/>
        <v>16695949475.283735</v>
      </c>
    </row>
    <row r="500" spans="1:35" x14ac:dyDescent="0.25">
      <c r="A500" t="s">
        <v>310</v>
      </c>
      <c r="B500" s="4">
        <v>2024</v>
      </c>
      <c r="C500" s="4" t="s">
        <v>33</v>
      </c>
      <c r="D500" s="1" t="s">
        <v>81</v>
      </c>
      <c r="E500" s="4" t="str">
        <f t="shared" si="194"/>
        <v>FortisBC-CAN</v>
      </c>
      <c r="F500" s="4" t="s">
        <v>143</v>
      </c>
      <c r="G500" s="4">
        <v>1</v>
      </c>
      <c r="H500" s="11" t="s">
        <v>389</v>
      </c>
      <c r="I500" s="4"/>
      <c r="J500" s="4" t="s">
        <v>42</v>
      </c>
      <c r="K500" s="5">
        <v>257047.99752</v>
      </c>
      <c r="L500" s="5">
        <f>K500/_xlfn.XLOOKUP(C500,'Utility target list'!$K$2:$K$8,'Utility target list'!$L$2:$L$8,1,0,1)</f>
        <v>285608.88613333332</v>
      </c>
      <c r="M500" s="8">
        <v>483220</v>
      </c>
      <c r="N500" s="8">
        <v>383320</v>
      </c>
      <c r="O500" s="8">
        <f>SUMIFS(EIAwtransport!$J$2:$J$675,EIAwtransport!$E$2:$E$675,Program_data!$E500,EIAwtransport!$H$2:$H$675,Program_data!$F500,EIAwtransport!$I$2:$I$675,Program_data!O$2)</f>
        <v>0</v>
      </c>
      <c r="P500" s="5">
        <f>SUMIFS(EIAwtransport!$J$2:$J$675,EIAwtransport!$E$2:$E$675,Program_data!$E500,EIAwtransport!$H$2:$H$675,Program_data!$F500,EIAwtransport!$I$2:$I$675,Program_data!P$2)</f>
        <v>0</v>
      </c>
      <c r="Q500" s="5">
        <f>SUMIFS(EIAwtransport!$J$2:$J$675,EIAwtransport!$E$2:$E$675,Program_data!$E500,EIAwtransport!$H$2:$H$675,Program_data!$F500,EIAwtransport!$I$2:$I$675,Program_data!Q$2)</f>
        <v>0</v>
      </c>
      <c r="R500" s="8">
        <f>SUMIFS(EIAwtransport!$J$2:$J$675,EIAwtransport!$E$2:$E$675,Program_data!$E500,EIAwtransport!$I$2:$I$675,Program_data!R$2)</f>
        <v>1429680000</v>
      </c>
      <c r="S500" s="5">
        <f>SUMIFS(EIAwtransport!$J$2:$J$675,EIAwtransport!$E$2:$E$675,Program_data!$E500,EIAwtransport!$I$2:$I$675,Program_data!S$2)</f>
        <v>158285451.98410821</v>
      </c>
      <c r="T500" s="5">
        <f>SUMIFS(EIAwtransport!$J$2:$J$675,EIAwtransport!$E$2:$E$675,Program_data!$E500,EIAwtransport!$I$2:$I$675,Program_data!T$2)</f>
        <v>1074614</v>
      </c>
      <c r="U500" s="55">
        <f t="shared" si="182"/>
        <v>1.5675213647993276E-4</v>
      </c>
      <c r="V500" s="24">
        <f t="shared" si="192"/>
        <v>1.7416904053325861E-4</v>
      </c>
      <c r="W500" s="24">
        <f t="shared" si="183"/>
        <v>3.3799171842650101E-4</v>
      </c>
      <c r="X500" s="25">
        <f t="shared" si="184"/>
        <v>2.9467557857142844E-4</v>
      </c>
      <c r="Y500" s="8">
        <f t="shared" si="185"/>
        <v>0.79377762984377487</v>
      </c>
      <c r="Z500" s="27">
        <f t="shared" si="186"/>
        <v>5.9273739188044558E-2</v>
      </c>
      <c r="AA500" s="27"/>
      <c r="AB500" s="27"/>
      <c r="AC500" s="56">
        <f t="shared" si="189"/>
        <v>2.2523369329530019E-3</v>
      </c>
      <c r="AE500" s="20">
        <f t="shared" si="190"/>
        <v>517482.00000000006</v>
      </c>
      <c r="AF500" s="20">
        <f t="shared" si="191"/>
        <v>1930068000.0000002</v>
      </c>
      <c r="AG500">
        <f t="shared" si="178"/>
        <v>27113422.7784096</v>
      </c>
      <c r="AH500">
        <f t="shared" si="179"/>
        <v>30126025.309344001</v>
      </c>
      <c r="AI500">
        <f t="shared" si="180"/>
        <v>16695949475.283735</v>
      </c>
    </row>
    <row r="501" spans="1:35" x14ac:dyDescent="0.25">
      <c r="B501" s="4">
        <v>2025</v>
      </c>
      <c r="C501" s="4" t="s">
        <v>33</v>
      </c>
      <c r="D501" s="1" t="s">
        <v>81</v>
      </c>
      <c r="E501" s="4" t="str">
        <f t="shared" si="194"/>
        <v>FortisBC-CAN</v>
      </c>
      <c r="F501" s="4" t="s">
        <v>143</v>
      </c>
      <c r="G501" s="4">
        <v>1</v>
      </c>
      <c r="H501" s="11" t="s">
        <v>389</v>
      </c>
      <c r="I501" s="4"/>
      <c r="J501" s="4" t="s">
        <v>108</v>
      </c>
      <c r="K501" s="5">
        <v>263189.85232800001</v>
      </c>
      <c r="L501" s="5">
        <f>K501/_xlfn.XLOOKUP(C501,'Utility target list'!$K$2:$K$8,'Utility target list'!$L$2:$L$8,1,0,1)</f>
        <v>292433.16925333336</v>
      </c>
      <c r="M501" s="8">
        <v>552040</v>
      </c>
      <c r="N501" s="8">
        <v>447700</v>
      </c>
      <c r="O501" s="8">
        <f>SUMIFS(EIAwtransport!$J$2:$J$675,EIAwtransport!$E$2:$E$675,Program_data!$E501,EIAwtransport!$H$2:$H$675,Program_data!$F501,EIAwtransport!$I$2:$I$675,Program_data!O$2)</f>
        <v>0</v>
      </c>
      <c r="P501" s="5">
        <f>SUMIFS(EIAwtransport!$J$2:$J$675,EIAwtransport!$E$2:$E$675,Program_data!$E501,EIAwtransport!$H$2:$H$675,Program_data!$F501,EIAwtransport!$I$2:$I$675,Program_data!P$2)</f>
        <v>0</v>
      </c>
      <c r="Q501" s="5">
        <f>SUMIFS(EIAwtransport!$J$2:$J$675,EIAwtransport!$E$2:$E$675,Program_data!$E501,EIAwtransport!$H$2:$H$675,Program_data!$F501,EIAwtransport!$I$2:$I$675,Program_data!Q$2)</f>
        <v>0</v>
      </c>
      <c r="R501" s="8">
        <f>SUMIFS(EIAwtransport!$J$2:$J$675,EIAwtransport!$E$2:$E$675,Program_data!$E501,EIAwtransport!$I$2:$I$675,Program_data!R$2)</f>
        <v>1429680000</v>
      </c>
      <c r="S501" s="5">
        <f>SUMIFS(EIAwtransport!$J$2:$J$675,EIAwtransport!$E$2:$E$675,Program_data!$E501,EIAwtransport!$I$2:$I$675,Program_data!S$2)</f>
        <v>158285451.98410821</v>
      </c>
      <c r="T501" s="5">
        <f>SUMIFS(EIAwtransport!$J$2:$J$675,EIAwtransport!$E$2:$E$675,Program_data!$E501,EIAwtransport!$I$2:$I$675,Program_data!T$2)</f>
        <v>1074614</v>
      </c>
      <c r="U501" s="24">
        <f t="shared" si="182"/>
        <v>1.6049754151086922E-4</v>
      </c>
      <c r="V501" s="24">
        <f t="shared" si="192"/>
        <v>1.7833060167874357E-4</v>
      </c>
      <c r="W501" s="24">
        <f t="shared" si="183"/>
        <v>3.8612836438923397E-4</v>
      </c>
      <c r="X501" s="25">
        <f t="shared" si="184"/>
        <v>3.3664315714285702E-4</v>
      </c>
      <c r="Y501" s="8">
        <f t="shared" si="185"/>
        <v>0.73512608434142279</v>
      </c>
      <c r="Z501" s="27">
        <f t="shared" si="186"/>
        <v>6.5608738327102054E-2</v>
      </c>
      <c r="AA501" s="27"/>
      <c r="AB501" s="27"/>
      <c r="AC501" s="56">
        <f t="shared" si="189"/>
        <v>2.8910427988570585E-3</v>
      </c>
      <c r="AE501" s="20">
        <f t="shared" si="190"/>
        <v>604395</v>
      </c>
      <c r="AF501" s="20">
        <f t="shared" si="191"/>
        <v>1930068000.0000002</v>
      </c>
      <c r="AG501">
        <f t="shared" si="178"/>
        <v>27761265.623557441</v>
      </c>
      <c r="AH501">
        <f t="shared" si="179"/>
        <v>30845850.692841604</v>
      </c>
      <c r="AI501">
        <f t="shared" si="180"/>
        <v>16695949475.283735</v>
      </c>
    </row>
    <row r="502" spans="1:35" x14ac:dyDescent="0.25">
      <c r="B502" s="4">
        <v>2026</v>
      </c>
      <c r="C502" s="4" t="s">
        <v>33</v>
      </c>
      <c r="D502" s="1" t="s">
        <v>81</v>
      </c>
      <c r="E502" s="4" t="str">
        <f t="shared" si="194"/>
        <v>FortisBC-CAN</v>
      </c>
      <c r="F502" s="4" t="s">
        <v>143</v>
      </c>
      <c r="G502" s="4">
        <v>1</v>
      </c>
      <c r="H502" s="11" t="s">
        <v>389</v>
      </c>
      <c r="I502" s="4"/>
      <c r="J502" s="4" t="s">
        <v>108</v>
      </c>
      <c r="K502" s="5">
        <v>269331.70713599998</v>
      </c>
      <c r="L502" s="5">
        <f>K502/_xlfn.XLOOKUP(C502,'Utility target list'!$K$2:$K$8,'Utility target list'!$L$2:$L$8,1,0,1)</f>
        <v>299257.45237333333</v>
      </c>
      <c r="M502" s="8">
        <v>674880</v>
      </c>
      <c r="N502" s="8">
        <v>566100</v>
      </c>
      <c r="O502" s="8">
        <f>SUMIFS(EIAwtransport!$J$2:$J$675,EIAwtransport!$E$2:$E$675,Program_data!$E502,EIAwtransport!$H$2:$H$675,Program_data!$F502,EIAwtransport!$I$2:$I$675,Program_data!O$2)</f>
        <v>0</v>
      </c>
      <c r="P502" s="5">
        <f>SUMIFS(EIAwtransport!$J$2:$J$675,EIAwtransport!$E$2:$E$675,Program_data!$E502,EIAwtransport!$H$2:$H$675,Program_data!$F502,EIAwtransport!$I$2:$I$675,Program_data!P$2)</f>
        <v>0</v>
      </c>
      <c r="Q502" s="5">
        <f>SUMIFS(EIAwtransport!$J$2:$J$675,EIAwtransport!$E$2:$E$675,Program_data!$E502,EIAwtransport!$H$2:$H$675,Program_data!$F502,EIAwtransport!$I$2:$I$675,Program_data!Q$2)</f>
        <v>0</v>
      </c>
      <c r="R502" s="8">
        <f>SUMIFS(EIAwtransport!$J$2:$J$675,EIAwtransport!$E$2:$E$675,Program_data!$E502,EIAwtransport!$I$2:$I$675,Program_data!R$2)</f>
        <v>1429680000</v>
      </c>
      <c r="S502" s="5">
        <f>SUMIFS(EIAwtransport!$J$2:$J$675,EIAwtransport!$E$2:$E$675,Program_data!$E502,EIAwtransport!$I$2:$I$675,Program_data!S$2)</f>
        <v>158285451.98410821</v>
      </c>
      <c r="T502" s="5">
        <f>SUMIFS(EIAwtransport!$J$2:$J$675,EIAwtransport!$E$2:$E$675,Program_data!$E502,EIAwtransport!$I$2:$I$675,Program_data!T$2)</f>
        <v>1074614</v>
      </c>
      <c r="U502" s="24">
        <f t="shared" si="182"/>
        <v>1.6424294654180565E-4</v>
      </c>
      <c r="V502" s="24">
        <f t="shared" si="192"/>
        <v>1.8249216282422849E-4</v>
      </c>
      <c r="W502" s="24">
        <f t="shared" si="183"/>
        <v>4.7204968944099376E-4</v>
      </c>
      <c r="X502" s="25">
        <f t="shared" si="184"/>
        <v>4.1155302857142837E-4</v>
      </c>
      <c r="Y502" s="8">
        <f t="shared" si="185"/>
        <v>0.77394388004078074</v>
      </c>
      <c r="Z502" s="27">
        <f t="shared" si="186"/>
        <v>6.9718536364530972E-2</v>
      </c>
      <c r="AA502" s="27"/>
      <c r="AB502" s="27"/>
      <c r="AC502" s="56">
        <f t="shared" si="189"/>
        <v>2.5972780407044786E-3</v>
      </c>
      <c r="AE502" s="20">
        <f t="shared" si="190"/>
        <v>764235</v>
      </c>
      <c r="AF502" s="20">
        <f t="shared" si="191"/>
        <v>1930068000.0000002</v>
      </c>
      <c r="AG502">
        <f t="shared" si="178"/>
        <v>28409108.468705278</v>
      </c>
      <c r="AH502">
        <f t="shared" si="179"/>
        <v>31565676.0763392</v>
      </c>
      <c r="AI502">
        <f t="shared" si="180"/>
        <v>16695949475.283735</v>
      </c>
    </row>
    <row r="503" spans="1:35" x14ac:dyDescent="0.25">
      <c r="B503" s="4">
        <v>2027</v>
      </c>
      <c r="C503" s="4" t="s">
        <v>33</v>
      </c>
      <c r="D503" s="1" t="s">
        <v>81</v>
      </c>
      <c r="E503" s="4" t="str">
        <f t="shared" si="194"/>
        <v>FortisBC-CAN</v>
      </c>
      <c r="F503" s="4" t="s">
        <v>143</v>
      </c>
      <c r="G503" s="4">
        <v>1</v>
      </c>
      <c r="H503" s="11" t="s">
        <v>389</v>
      </c>
      <c r="I503" s="4"/>
      <c r="J503" s="4" t="s">
        <v>108</v>
      </c>
      <c r="K503" s="5">
        <v>275473.56194400002</v>
      </c>
      <c r="L503" s="5">
        <f>K503/_xlfn.XLOOKUP(C503,'Utility target list'!$K$2:$K$8,'Utility target list'!$L$2:$L$8,1,0,1)</f>
        <v>306081.73549333337</v>
      </c>
      <c r="M503" s="8">
        <v>697820</v>
      </c>
      <c r="N503" s="8">
        <v>584600</v>
      </c>
      <c r="O503" s="8">
        <f>SUMIFS(EIAwtransport!$J$2:$J$675,EIAwtransport!$E$2:$E$675,Program_data!$E503,EIAwtransport!$H$2:$H$675,Program_data!$F503,EIAwtransport!$I$2:$I$675,Program_data!O$2)</f>
        <v>0</v>
      </c>
      <c r="P503" s="5">
        <f>SUMIFS(EIAwtransport!$J$2:$J$675,EIAwtransport!$E$2:$E$675,Program_data!$E503,EIAwtransport!$H$2:$H$675,Program_data!$F503,EIAwtransport!$I$2:$I$675,Program_data!P$2)</f>
        <v>0</v>
      </c>
      <c r="Q503" s="5">
        <f>SUMIFS(EIAwtransport!$J$2:$J$675,EIAwtransport!$E$2:$E$675,Program_data!$E503,EIAwtransport!$H$2:$H$675,Program_data!$F503,EIAwtransport!$I$2:$I$675,Program_data!Q$2)</f>
        <v>0</v>
      </c>
      <c r="R503" s="8">
        <f>SUMIFS(EIAwtransport!$J$2:$J$675,EIAwtransport!$E$2:$E$675,Program_data!$E503,EIAwtransport!$I$2:$I$675,Program_data!R$2)</f>
        <v>1429680000</v>
      </c>
      <c r="S503" s="5">
        <f>SUMIFS(EIAwtransport!$J$2:$J$675,EIAwtransport!$E$2:$E$675,Program_data!$E503,EIAwtransport!$I$2:$I$675,Program_data!S$2)</f>
        <v>158285451.98410821</v>
      </c>
      <c r="T503" s="5">
        <f>SUMIFS(EIAwtransport!$J$2:$J$675,EIAwtransport!$E$2:$E$675,Program_data!$E503,EIAwtransport!$I$2:$I$675,Program_data!T$2)</f>
        <v>1074614</v>
      </c>
      <c r="U503" s="24">
        <f t="shared" si="182"/>
        <v>1.679883515727421E-4</v>
      </c>
      <c r="V503" s="24">
        <f t="shared" si="192"/>
        <v>1.8665372396971345E-4</v>
      </c>
      <c r="W503" s="24">
        <f t="shared" si="183"/>
        <v>4.880952380952381E-4</v>
      </c>
      <c r="X503" s="25">
        <f t="shared" si="184"/>
        <v>4.2554222142857128E-4</v>
      </c>
      <c r="Y503" s="8">
        <f t="shared" si="185"/>
        <v>0.70242438114577466</v>
      </c>
      <c r="Z503" s="27">
        <f t="shared" si="186"/>
        <v>6.5276656620115892E-2</v>
      </c>
      <c r="AA503" s="27"/>
      <c r="AB503" s="27"/>
      <c r="AC503" s="56">
        <f t="shared" si="189"/>
        <v>2.3948737475607764E-3</v>
      </c>
      <c r="AE503" s="20">
        <f t="shared" si="190"/>
        <v>789210</v>
      </c>
      <c r="AF503" s="20">
        <f t="shared" si="191"/>
        <v>1930068000.0000002</v>
      </c>
      <c r="AG503">
        <f t="shared" si="178"/>
        <v>29056951.313853122</v>
      </c>
      <c r="AH503">
        <f t="shared" si="179"/>
        <v>32285501.459836803</v>
      </c>
      <c r="AI503">
        <f t="shared" si="180"/>
        <v>16695949475.283735</v>
      </c>
    </row>
    <row r="504" spans="1:35" x14ac:dyDescent="0.25">
      <c r="A504" t="s">
        <v>310</v>
      </c>
      <c r="B504" s="4">
        <v>2024</v>
      </c>
      <c r="C504" s="4" t="s">
        <v>33</v>
      </c>
      <c r="D504" s="1" t="s">
        <v>81</v>
      </c>
      <c r="E504" s="4" t="str">
        <f t="shared" si="194"/>
        <v>FortisBC-CAN</v>
      </c>
      <c r="F504" s="4" t="s">
        <v>143</v>
      </c>
      <c r="G504" s="4">
        <v>1</v>
      </c>
      <c r="H504" s="11" t="s">
        <v>390</v>
      </c>
      <c r="I504" s="4"/>
      <c r="J504" s="4" t="s">
        <v>42</v>
      </c>
      <c r="K504" s="5">
        <v>139660.84968499999</v>
      </c>
      <c r="L504" s="5">
        <f>K504/_xlfn.XLOOKUP(C504,'Utility target list'!$K$2:$K$8,'Utility target list'!$L$2:$L$8,1,0,1)</f>
        <v>155178.7218722222</v>
      </c>
      <c r="M504" s="8">
        <v>3700000</v>
      </c>
      <c r="N504" s="8">
        <v>3108000</v>
      </c>
      <c r="O504" s="8">
        <f>SUMIFS(EIAwtransport!$J$2:$J$675,EIAwtransport!$E$2:$E$675,Program_data!$E504,EIAwtransport!$H$2:$H$675,Program_data!$F504,EIAwtransport!$I$2:$I$675,Program_data!O$2)</f>
        <v>0</v>
      </c>
      <c r="P504" s="5">
        <f>SUMIFS(EIAwtransport!$J$2:$J$675,EIAwtransport!$E$2:$E$675,Program_data!$E504,EIAwtransport!$H$2:$H$675,Program_data!$F504,EIAwtransport!$I$2:$I$675,Program_data!P$2)</f>
        <v>0</v>
      </c>
      <c r="Q504" s="5">
        <f>SUMIFS(EIAwtransport!$J$2:$J$675,EIAwtransport!$E$2:$E$675,Program_data!$E504,EIAwtransport!$H$2:$H$675,Program_data!$F504,EIAwtransport!$I$2:$I$675,Program_data!Q$2)</f>
        <v>0</v>
      </c>
      <c r="R504" s="8">
        <f>SUMIFS(EIAwtransport!$J$2:$J$675,EIAwtransport!$E$2:$E$675,Program_data!$E504,EIAwtransport!$I$2:$I$675,Program_data!R$2)</f>
        <v>1429680000</v>
      </c>
      <c r="S504" s="5">
        <f>SUMIFS(EIAwtransport!$J$2:$J$675,EIAwtransport!$E$2:$E$675,Program_data!$E504,EIAwtransport!$I$2:$I$675,Program_data!S$2)</f>
        <v>158285451.98410821</v>
      </c>
      <c r="T504" s="5">
        <f>SUMIFS(EIAwtransport!$J$2:$J$675,EIAwtransport!$E$2:$E$675,Program_data!$E504,EIAwtransport!$I$2:$I$675,Program_data!T$2)</f>
        <v>1074614</v>
      </c>
      <c r="U504" s="55">
        <f t="shared" si="182"/>
        <v>8.516750483155638E-5</v>
      </c>
      <c r="V504" s="24">
        <f t="shared" si="192"/>
        <v>9.4630560923951527E-5</v>
      </c>
      <c r="W504" s="24">
        <f t="shared" si="183"/>
        <v>2.587991718426501E-3</v>
      </c>
      <c r="X504" s="25">
        <f t="shared" si="184"/>
        <v>2.2563214285714274E-3</v>
      </c>
      <c r="Y504" s="8">
        <f t="shared" si="185"/>
        <v>6.0779297844086901</v>
      </c>
      <c r="Z504" s="27">
        <f t="shared" si="186"/>
        <v>0.45385711476297519</v>
      </c>
      <c r="AA504" s="27"/>
      <c r="AB504" s="27"/>
      <c r="AC504" s="56">
        <f t="shared" si="189"/>
        <v>1.2237531234167581E-3</v>
      </c>
      <c r="AE504" s="20">
        <f t="shared" si="190"/>
        <v>4195800</v>
      </c>
      <c r="AF504" s="20">
        <f t="shared" si="191"/>
        <v>1930068000.0000002</v>
      </c>
      <c r="AG504">
        <f t="shared" ref="AG504:AG569" si="195">K504*105.48</f>
        <v>14731426.424773799</v>
      </c>
      <c r="AH504">
        <f t="shared" ref="AH504:AH569" si="196">L504*105.48</f>
        <v>16368251.583081998</v>
      </c>
      <c r="AI504">
        <f t="shared" ref="AI504:AI569" si="197">S504*105.48</f>
        <v>16695949475.283735</v>
      </c>
    </row>
    <row r="505" spans="1:35" x14ac:dyDescent="0.25">
      <c r="B505" s="4">
        <v>2025</v>
      </c>
      <c r="C505" s="4" t="s">
        <v>33</v>
      </c>
      <c r="D505" s="1" t="s">
        <v>81</v>
      </c>
      <c r="E505" s="4" t="str">
        <f t="shared" si="194"/>
        <v>FortisBC-CAN</v>
      </c>
      <c r="F505" s="4" t="s">
        <v>143</v>
      </c>
      <c r="G505" s="4">
        <v>1</v>
      </c>
      <c r="H505" s="11" t="s">
        <v>390</v>
      </c>
      <c r="I505" s="4"/>
      <c r="J505" s="4" t="s">
        <v>108</v>
      </c>
      <c r="K505" s="5">
        <v>147641.469667</v>
      </c>
      <c r="L505" s="5">
        <f>K505/_xlfn.XLOOKUP(C505,'Utility target list'!$K$2:$K$8,'Utility target list'!$L$2:$L$8,1,0,1)</f>
        <v>164046.07740777778</v>
      </c>
      <c r="M505" s="8">
        <v>3907200</v>
      </c>
      <c r="N505" s="8">
        <v>3285600</v>
      </c>
      <c r="O505" s="8">
        <f>SUMIFS(EIAwtransport!$J$2:$J$675,EIAwtransport!$E$2:$E$675,Program_data!$E505,EIAwtransport!$H$2:$H$675,Program_data!$F505,EIAwtransport!$I$2:$I$675,Program_data!O$2)</f>
        <v>0</v>
      </c>
      <c r="P505" s="5">
        <f>SUMIFS(EIAwtransport!$J$2:$J$675,EIAwtransport!$E$2:$E$675,Program_data!$E505,EIAwtransport!$H$2:$H$675,Program_data!$F505,EIAwtransport!$I$2:$I$675,Program_data!P$2)</f>
        <v>0</v>
      </c>
      <c r="Q505" s="5">
        <f>SUMIFS(EIAwtransport!$J$2:$J$675,EIAwtransport!$E$2:$E$675,Program_data!$E505,EIAwtransport!$H$2:$H$675,Program_data!$F505,EIAwtransport!$I$2:$I$675,Program_data!Q$2)</f>
        <v>0</v>
      </c>
      <c r="R505" s="8">
        <f>SUMIFS(EIAwtransport!$J$2:$J$675,EIAwtransport!$E$2:$E$675,Program_data!$E505,EIAwtransport!$I$2:$I$675,Program_data!R$2)</f>
        <v>1429680000</v>
      </c>
      <c r="S505" s="5">
        <f>SUMIFS(EIAwtransport!$J$2:$J$675,EIAwtransport!$E$2:$E$675,Program_data!$E505,EIAwtransport!$I$2:$I$675,Program_data!S$2)</f>
        <v>158285451.98410821</v>
      </c>
      <c r="T505" s="5">
        <f>SUMIFS(EIAwtransport!$J$2:$J$675,EIAwtransport!$E$2:$E$675,Program_data!$E505,EIAwtransport!$I$2:$I$675,Program_data!T$2)</f>
        <v>1074614</v>
      </c>
      <c r="U505" s="24">
        <f t="shared" si="182"/>
        <v>9.0034219393359612E-5</v>
      </c>
      <c r="V505" s="24">
        <f t="shared" si="192"/>
        <v>1.0003802154817734E-4</v>
      </c>
      <c r="W505" s="24">
        <f t="shared" si="183"/>
        <v>2.732919254658385E-3</v>
      </c>
      <c r="X505" s="25">
        <f t="shared" si="184"/>
        <v>2.3826754285714278E-3</v>
      </c>
      <c r="Y505" s="8">
        <f t="shared" si="185"/>
        <v>5.2030371653119465</v>
      </c>
      <c r="Z505" s="27">
        <f t="shared" si="186"/>
        <v>0.46436211577359099</v>
      </c>
      <c r="AA505" s="27"/>
      <c r="AB505" s="27"/>
      <c r="AC505" s="56">
        <f t="shared" si="189"/>
        <v>1.6217867213265773E-3</v>
      </c>
      <c r="AE505" s="20">
        <f t="shared" si="190"/>
        <v>4435560</v>
      </c>
      <c r="AF505" s="20">
        <f t="shared" si="191"/>
        <v>1930068000.0000002</v>
      </c>
      <c r="AG505">
        <f t="shared" si="195"/>
        <v>15573222.22047516</v>
      </c>
      <c r="AH505">
        <f t="shared" si="196"/>
        <v>17303580.2449724</v>
      </c>
      <c r="AI505">
        <f t="shared" si="197"/>
        <v>16695949475.283735</v>
      </c>
    </row>
    <row r="506" spans="1:35" x14ac:dyDescent="0.25">
      <c r="B506" s="4">
        <v>2026</v>
      </c>
      <c r="C506" s="4" t="s">
        <v>33</v>
      </c>
      <c r="D506" s="1" t="s">
        <v>81</v>
      </c>
      <c r="E506" s="4" t="str">
        <f t="shared" si="194"/>
        <v>FortisBC-CAN</v>
      </c>
      <c r="F506" s="4" t="s">
        <v>143</v>
      </c>
      <c r="G506" s="4">
        <v>1</v>
      </c>
      <c r="H506" s="11" t="s">
        <v>390</v>
      </c>
      <c r="I506" s="4"/>
      <c r="J506" s="4" t="s">
        <v>108</v>
      </c>
      <c r="K506" s="5">
        <v>175573.639604</v>
      </c>
      <c r="L506" s="5">
        <f>K506/_xlfn.XLOOKUP(C506,'Utility target list'!$K$2:$K$8,'Utility target list'!$L$2:$L$8,1,0,1)</f>
        <v>195081.82178222222</v>
      </c>
      <c r="M506" s="8">
        <v>4558400</v>
      </c>
      <c r="N506" s="8">
        <v>3907200</v>
      </c>
      <c r="O506" s="8">
        <f>SUMIFS(EIAwtransport!$J$2:$J$675,EIAwtransport!$E$2:$E$675,Program_data!$E506,EIAwtransport!$H$2:$H$675,Program_data!$F506,EIAwtransport!$I$2:$I$675,Program_data!O$2)</f>
        <v>0</v>
      </c>
      <c r="P506" s="5">
        <f>SUMIFS(EIAwtransport!$J$2:$J$675,EIAwtransport!$E$2:$E$675,Program_data!$E506,EIAwtransport!$H$2:$H$675,Program_data!$F506,EIAwtransport!$I$2:$I$675,Program_data!P$2)</f>
        <v>0</v>
      </c>
      <c r="Q506" s="5">
        <f>SUMIFS(EIAwtransport!$J$2:$J$675,EIAwtransport!$E$2:$E$675,Program_data!$E506,EIAwtransport!$H$2:$H$675,Program_data!$F506,EIAwtransport!$I$2:$I$675,Program_data!Q$2)</f>
        <v>0</v>
      </c>
      <c r="R506" s="8">
        <f>SUMIFS(EIAwtransport!$J$2:$J$675,EIAwtransport!$E$2:$E$675,Program_data!$E506,EIAwtransport!$I$2:$I$675,Program_data!R$2)</f>
        <v>1429680000</v>
      </c>
      <c r="S506" s="5">
        <f>SUMIFS(EIAwtransport!$J$2:$J$675,EIAwtransport!$E$2:$E$675,Program_data!$E506,EIAwtransport!$I$2:$I$675,Program_data!S$2)</f>
        <v>158285451.98410821</v>
      </c>
      <c r="T506" s="5">
        <f>SUMIFS(EIAwtransport!$J$2:$J$675,EIAwtransport!$E$2:$E$675,Program_data!$E506,EIAwtransport!$I$2:$I$675,Program_data!T$2)</f>
        <v>1074614</v>
      </c>
      <c r="U506" s="24">
        <f t="shared" si="182"/>
        <v>1.0706772035967088E-4</v>
      </c>
      <c r="V506" s="24">
        <f t="shared" si="192"/>
        <v>1.1896413373296765E-4</v>
      </c>
      <c r="W506" s="24">
        <f t="shared" si="183"/>
        <v>3.1884057971014491E-3</v>
      </c>
      <c r="X506" s="25">
        <f t="shared" si="184"/>
        <v>2.7797879999999987E-3</v>
      </c>
      <c r="Y506" s="8">
        <f t="shared" si="185"/>
        <v>5.227515680977203</v>
      </c>
      <c r="Z506" s="27">
        <f t="shared" si="186"/>
        <v>0.47090590351481443</v>
      </c>
      <c r="AA506" s="27"/>
      <c r="AB506" s="27"/>
      <c r="AC506" s="56">
        <f t="shared" si="189"/>
        <v>1.6931298714108166E-3</v>
      </c>
      <c r="AE506" s="20">
        <f t="shared" si="190"/>
        <v>5274720</v>
      </c>
      <c r="AF506" s="20">
        <f t="shared" si="191"/>
        <v>1930068000.0000002</v>
      </c>
      <c r="AG506">
        <f t="shared" si="195"/>
        <v>18519507.50542992</v>
      </c>
      <c r="AH506">
        <f t="shared" si="196"/>
        <v>20577230.561588801</v>
      </c>
      <c r="AI506">
        <f t="shared" si="197"/>
        <v>16695949475.283735</v>
      </c>
    </row>
    <row r="507" spans="1:35" x14ac:dyDescent="0.25">
      <c r="B507" s="4">
        <v>2027</v>
      </c>
      <c r="C507" s="4" t="s">
        <v>33</v>
      </c>
      <c r="D507" s="1" t="s">
        <v>81</v>
      </c>
      <c r="E507" s="4" t="str">
        <f t="shared" si="194"/>
        <v>FortisBC-CAN</v>
      </c>
      <c r="F507" s="4" t="s">
        <v>143</v>
      </c>
      <c r="G507" s="4">
        <v>1</v>
      </c>
      <c r="H507" s="11" t="s">
        <v>390</v>
      </c>
      <c r="I507" s="4"/>
      <c r="J507" s="4" t="s">
        <v>108</v>
      </c>
      <c r="K507" s="5">
        <v>215476.73951399999</v>
      </c>
      <c r="L507" s="5">
        <f>K507/_xlfn.XLOOKUP(C507,'Utility target list'!$K$2:$K$8,'Utility target list'!$L$2:$L$8,1,0,1)</f>
        <v>239418.59945999997</v>
      </c>
      <c r="M507" s="8">
        <v>5476000</v>
      </c>
      <c r="N507" s="8">
        <v>4795200</v>
      </c>
      <c r="O507" s="8">
        <f>SUMIFS(EIAwtransport!$J$2:$J$675,EIAwtransport!$E$2:$E$675,Program_data!$E507,EIAwtransport!$H$2:$H$675,Program_data!$F507,EIAwtransport!$I$2:$I$675,Program_data!O$2)</f>
        <v>0</v>
      </c>
      <c r="P507" s="5">
        <f>SUMIFS(EIAwtransport!$J$2:$J$675,EIAwtransport!$E$2:$E$675,Program_data!$E507,EIAwtransport!$H$2:$H$675,Program_data!$F507,EIAwtransport!$I$2:$I$675,Program_data!P$2)</f>
        <v>0</v>
      </c>
      <c r="Q507" s="5">
        <f>SUMIFS(EIAwtransport!$J$2:$J$675,EIAwtransport!$E$2:$E$675,Program_data!$E507,EIAwtransport!$H$2:$H$675,Program_data!$F507,EIAwtransport!$I$2:$I$675,Program_data!Q$2)</f>
        <v>0</v>
      </c>
      <c r="R507" s="8">
        <f>SUMIFS(EIAwtransport!$J$2:$J$675,EIAwtransport!$E$2:$E$675,Program_data!$E507,EIAwtransport!$I$2:$I$675,Program_data!R$2)</f>
        <v>1429680000</v>
      </c>
      <c r="S507" s="5">
        <f>SUMIFS(EIAwtransport!$J$2:$J$675,EIAwtransport!$E$2:$E$675,Program_data!$E507,EIAwtransport!$I$2:$I$675,Program_data!S$2)</f>
        <v>158285451.98410821</v>
      </c>
      <c r="T507" s="5">
        <f>SUMIFS(EIAwtransport!$J$2:$J$675,EIAwtransport!$E$2:$E$675,Program_data!$E507,EIAwtransport!$I$2:$I$675,Program_data!T$2)</f>
        <v>1074614</v>
      </c>
      <c r="U507" s="24">
        <f t="shared" si="182"/>
        <v>1.3140129316868698E-4</v>
      </c>
      <c r="V507" s="24">
        <f t="shared" si="192"/>
        <v>1.4600143685409664E-4</v>
      </c>
      <c r="W507" s="24">
        <f t="shared" si="183"/>
        <v>3.8302277432712213E-3</v>
      </c>
      <c r="X507" s="25">
        <f t="shared" si="184"/>
        <v>3.3393557142857126E-3</v>
      </c>
      <c r="Y507" s="8">
        <f t="shared" si="185"/>
        <v>5.5121319411227274</v>
      </c>
      <c r="Z507" s="27">
        <f t="shared" si="186"/>
        <v>0.51224523752795081</v>
      </c>
      <c r="AA507" s="27"/>
      <c r="AB507" s="27"/>
      <c r="AC507" s="56">
        <f t="shared" si="189"/>
        <v>1.8732817154227456E-3</v>
      </c>
      <c r="AE507" s="20">
        <f t="shared" si="190"/>
        <v>6473520</v>
      </c>
      <c r="AF507" s="20">
        <f t="shared" si="191"/>
        <v>1930068000.0000002</v>
      </c>
      <c r="AG507">
        <f t="shared" si="195"/>
        <v>22728486.48393672</v>
      </c>
      <c r="AH507">
        <f t="shared" si="196"/>
        <v>25253873.871040799</v>
      </c>
      <c r="AI507">
        <f t="shared" si="197"/>
        <v>16695949475.283735</v>
      </c>
    </row>
    <row r="508" spans="1:35" x14ac:dyDescent="0.25">
      <c r="A508" t="s">
        <v>310</v>
      </c>
      <c r="B508" s="4">
        <v>2024</v>
      </c>
      <c r="C508" s="4" t="s">
        <v>33</v>
      </c>
      <c r="D508" s="1" t="s">
        <v>81</v>
      </c>
      <c r="E508" s="4" t="str">
        <f t="shared" si="194"/>
        <v>FortisBC-CAN</v>
      </c>
      <c r="F508" s="4" t="s">
        <v>143</v>
      </c>
      <c r="G508" s="4">
        <v>1</v>
      </c>
      <c r="H508" s="11" t="s">
        <v>391</v>
      </c>
      <c r="I508" s="4"/>
      <c r="J508" s="4" t="s">
        <v>21</v>
      </c>
      <c r="K508" s="5">
        <v>83682.771758999996</v>
      </c>
      <c r="L508" s="5">
        <f>K508/_xlfn.XLOOKUP(C508,'Utility target list'!$K$2:$K$8,'Utility target list'!$L$2:$L$8,1,0,1)</f>
        <v>92980.857509999987</v>
      </c>
      <c r="M508" s="8">
        <v>1275020</v>
      </c>
      <c r="N508" s="8">
        <v>1188440</v>
      </c>
      <c r="O508" s="8">
        <f>SUMIFS(EIAwtransport!$J$2:$J$675,EIAwtransport!$E$2:$E$675,Program_data!$E508,EIAwtransport!$H$2:$H$675,Program_data!$F508,EIAwtransport!$I$2:$I$675,Program_data!O$2)</f>
        <v>0</v>
      </c>
      <c r="P508" s="5">
        <f>SUMIFS(EIAwtransport!$J$2:$J$675,EIAwtransport!$E$2:$E$675,Program_data!$E508,EIAwtransport!$H$2:$H$675,Program_data!$F508,EIAwtransport!$I$2:$I$675,Program_data!P$2)</f>
        <v>0</v>
      </c>
      <c r="Q508" s="5">
        <f>SUMIFS(EIAwtransport!$J$2:$J$675,EIAwtransport!$E$2:$E$675,Program_data!$E508,EIAwtransport!$H$2:$H$675,Program_data!$F508,EIAwtransport!$I$2:$I$675,Program_data!Q$2)</f>
        <v>0</v>
      </c>
      <c r="R508" s="8">
        <f>SUMIFS(EIAwtransport!$J$2:$J$675,EIAwtransport!$E$2:$E$675,Program_data!$E508,EIAwtransport!$I$2:$I$675,Program_data!R$2)</f>
        <v>1429680000</v>
      </c>
      <c r="S508" s="5">
        <f>SUMIFS(EIAwtransport!$J$2:$J$675,EIAwtransport!$E$2:$E$675,Program_data!$E508,EIAwtransport!$I$2:$I$675,Program_data!S$2)</f>
        <v>158285451.98410821</v>
      </c>
      <c r="T508" s="5">
        <f>SUMIFS(EIAwtransport!$J$2:$J$675,EIAwtransport!$E$2:$E$675,Program_data!$E508,EIAwtransport!$I$2:$I$675,Program_data!T$2)</f>
        <v>1074614</v>
      </c>
      <c r="U508" s="55">
        <f t="shared" si="182"/>
        <v>5.1031143546509084E-5</v>
      </c>
      <c r="V508" s="24">
        <f t="shared" si="192"/>
        <v>5.6701270607232306E-5</v>
      </c>
      <c r="W508" s="24">
        <f t="shared" si="183"/>
        <v>8.918219461697723E-4</v>
      </c>
      <c r="X508" s="25">
        <f t="shared" si="184"/>
        <v>7.7752836428571399E-4</v>
      </c>
      <c r="Y508" s="8">
        <f t="shared" si="185"/>
        <v>2.0944546037072347</v>
      </c>
      <c r="Z508" s="27">
        <f t="shared" si="186"/>
        <v>0.15639916174732124</v>
      </c>
      <c r="AA508" s="27"/>
      <c r="AB508" s="27"/>
      <c r="AC508" s="56">
        <f t="shared" si="189"/>
        <v>7.3325526478768628E-4</v>
      </c>
      <c r="AE508" s="20">
        <f t="shared" si="190"/>
        <v>1604394</v>
      </c>
      <c r="AF508" s="20">
        <f t="shared" si="191"/>
        <v>1930068000.0000002</v>
      </c>
      <c r="AG508">
        <f t="shared" si="195"/>
        <v>8826858.765139319</v>
      </c>
      <c r="AH508">
        <f t="shared" si="196"/>
        <v>9807620.8501547985</v>
      </c>
      <c r="AI508">
        <f t="shared" si="197"/>
        <v>16695949475.283735</v>
      </c>
    </row>
    <row r="509" spans="1:35" x14ac:dyDescent="0.25">
      <c r="B509" s="4">
        <v>2025</v>
      </c>
      <c r="C509" s="4" t="s">
        <v>33</v>
      </c>
      <c r="D509" s="1" t="s">
        <v>81</v>
      </c>
      <c r="E509" s="4" t="str">
        <f t="shared" si="194"/>
        <v>FortisBC-CAN</v>
      </c>
      <c r="F509" s="4" t="s">
        <v>143</v>
      </c>
      <c r="G509" s="4">
        <v>1</v>
      </c>
      <c r="H509" s="11" t="s">
        <v>391</v>
      </c>
      <c r="I509" s="4"/>
      <c r="J509" s="4" t="s">
        <v>108</v>
      </c>
      <c r="K509" s="5">
        <v>129348.59963699999</v>
      </c>
      <c r="L509" s="5">
        <f>K509/_xlfn.XLOOKUP(C509,'Utility target list'!$K$2:$K$8,'Utility target list'!$L$2:$L$8,1,0,1)</f>
        <v>143720.66626333332</v>
      </c>
      <c r="M509" s="8">
        <v>1904760</v>
      </c>
      <c r="N509" s="8">
        <v>1832240</v>
      </c>
      <c r="O509" s="8">
        <f>SUMIFS(EIAwtransport!$J$2:$J$675,EIAwtransport!$E$2:$E$675,Program_data!$E509,EIAwtransport!$H$2:$H$675,Program_data!$F509,EIAwtransport!$I$2:$I$675,Program_data!O$2)</f>
        <v>0</v>
      </c>
      <c r="P509" s="5">
        <f>SUMIFS(EIAwtransport!$J$2:$J$675,EIAwtransport!$E$2:$E$675,Program_data!$E509,EIAwtransport!$H$2:$H$675,Program_data!$F509,EIAwtransport!$I$2:$I$675,Program_data!P$2)</f>
        <v>0</v>
      </c>
      <c r="Q509" s="5">
        <f>SUMIFS(EIAwtransport!$J$2:$J$675,EIAwtransport!$E$2:$E$675,Program_data!$E509,EIAwtransport!$H$2:$H$675,Program_data!$F509,EIAwtransport!$I$2:$I$675,Program_data!Q$2)</f>
        <v>0</v>
      </c>
      <c r="R509" s="8">
        <f>SUMIFS(EIAwtransport!$J$2:$J$675,EIAwtransport!$E$2:$E$675,Program_data!$E509,EIAwtransport!$I$2:$I$675,Program_data!R$2)</f>
        <v>1429680000</v>
      </c>
      <c r="S509" s="5">
        <f>SUMIFS(EIAwtransport!$J$2:$J$675,EIAwtransport!$E$2:$E$675,Program_data!$E509,EIAwtransport!$I$2:$I$675,Program_data!S$2)</f>
        <v>158285451.98410821</v>
      </c>
      <c r="T509" s="5">
        <f>SUMIFS(EIAwtransport!$J$2:$J$675,EIAwtransport!$E$2:$E$675,Program_data!$E509,EIAwtransport!$I$2:$I$675,Program_data!T$2)</f>
        <v>1074614</v>
      </c>
      <c r="U509" s="24">
        <f t="shared" si="182"/>
        <v>7.8878923545045804E-5</v>
      </c>
      <c r="V509" s="24">
        <f t="shared" si="192"/>
        <v>8.7643248383384228E-5</v>
      </c>
      <c r="W509" s="24">
        <f t="shared" si="183"/>
        <v>1.3322981366459628E-3</v>
      </c>
      <c r="X509" s="25">
        <f t="shared" si="184"/>
        <v>1.161554271428571E-3</v>
      </c>
      <c r="Y509" s="8">
        <f t="shared" si="185"/>
        <v>2.5364806180895738</v>
      </c>
      <c r="Z509" s="27">
        <f t="shared" si="186"/>
        <v>0.22637653143962561</v>
      </c>
      <c r="AA509" s="27"/>
      <c r="AB509" s="27"/>
      <c r="AC509" s="56">
        <f t="shared" si="189"/>
        <v>1.4208463366465814E-3</v>
      </c>
      <c r="AE509" s="20">
        <f t="shared" si="190"/>
        <v>2473524</v>
      </c>
      <c r="AF509" s="20">
        <f t="shared" si="191"/>
        <v>1930068000.0000002</v>
      </c>
      <c r="AG509">
        <f t="shared" si="195"/>
        <v>13643690.28971076</v>
      </c>
      <c r="AH509">
        <f t="shared" si="196"/>
        <v>15159655.877456399</v>
      </c>
      <c r="AI509">
        <f t="shared" si="197"/>
        <v>16695949475.283735</v>
      </c>
    </row>
    <row r="510" spans="1:35" x14ac:dyDescent="0.25">
      <c r="B510" s="4">
        <v>2026</v>
      </c>
      <c r="C510" s="4" t="s">
        <v>33</v>
      </c>
      <c r="D510" s="1" t="s">
        <v>81</v>
      </c>
      <c r="E510" s="4" t="str">
        <f t="shared" si="194"/>
        <v>FortisBC-CAN</v>
      </c>
      <c r="F510" s="4" t="s">
        <v>143</v>
      </c>
      <c r="G510" s="4">
        <v>1</v>
      </c>
      <c r="H510" s="11" t="s">
        <v>391</v>
      </c>
      <c r="I510" s="4"/>
      <c r="J510" s="4" t="s">
        <v>108</v>
      </c>
      <c r="K510" s="5">
        <v>167185.458269</v>
      </c>
      <c r="L510" s="5">
        <f>K510/_xlfn.XLOOKUP(C510,'Utility target list'!$K$2:$K$8,'Utility target list'!$L$2:$L$8,1,0,1)</f>
        <v>185761.62029888888</v>
      </c>
      <c r="M510" s="8">
        <v>2553000</v>
      </c>
      <c r="N510" s="8">
        <v>2491580</v>
      </c>
      <c r="O510" s="8">
        <f>SUMIFS(EIAwtransport!$J$2:$J$675,EIAwtransport!$E$2:$E$675,Program_data!$E510,EIAwtransport!$H$2:$H$675,Program_data!$F510,EIAwtransport!$I$2:$I$675,Program_data!O$2)</f>
        <v>0</v>
      </c>
      <c r="P510" s="5">
        <f>SUMIFS(EIAwtransport!$J$2:$J$675,EIAwtransport!$E$2:$E$675,Program_data!$E510,EIAwtransport!$H$2:$H$675,Program_data!$F510,EIAwtransport!$I$2:$I$675,Program_data!P$2)</f>
        <v>0</v>
      </c>
      <c r="Q510" s="5">
        <f>SUMIFS(EIAwtransport!$J$2:$J$675,EIAwtransport!$E$2:$E$675,Program_data!$E510,EIAwtransport!$H$2:$H$675,Program_data!$F510,EIAwtransport!$I$2:$I$675,Program_data!Q$2)</f>
        <v>0</v>
      </c>
      <c r="R510" s="8">
        <f>SUMIFS(EIAwtransport!$J$2:$J$675,EIAwtransport!$E$2:$E$675,Program_data!$E510,EIAwtransport!$I$2:$I$675,Program_data!R$2)</f>
        <v>1429680000</v>
      </c>
      <c r="S510" s="5">
        <f>SUMIFS(EIAwtransport!$J$2:$J$675,EIAwtransport!$E$2:$E$675,Program_data!$E510,EIAwtransport!$I$2:$I$675,Program_data!S$2)</f>
        <v>158285451.98410821</v>
      </c>
      <c r="T510" s="5">
        <f>SUMIFS(EIAwtransport!$J$2:$J$675,EIAwtransport!$E$2:$E$675,Program_data!$E510,EIAwtransport!$I$2:$I$675,Program_data!T$2)</f>
        <v>1074614</v>
      </c>
      <c r="U510" s="24">
        <f t="shared" ref="U510:U575" si="198">IFERROR(K510/10.36/S510,"")</f>
        <v>1.0195246811834564E-4</v>
      </c>
      <c r="V510" s="24">
        <f t="shared" si="192"/>
        <v>1.1328052013149517E-4</v>
      </c>
      <c r="W510" s="24">
        <f t="shared" ref="W510:W575" si="199">IFERROR(M510/R510,"")</f>
        <v>1.7857142857142857E-3</v>
      </c>
      <c r="X510" s="25">
        <f t="shared" ref="X510:X575" si="200">IFERROR(M510/S510/10.36,"")</f>
        <v>1.5568617857142852E-3</v>
      </c>
      <c r="Y510" s="8">
        <f t="shared" si="185"/>
        <v>2.9277482304174272</v>
      </c>
      <c r="Z510" s="27">
        <f t="shared" si="186"/>
        <v>0.26373788427371914</v>
      </c>
      <c r="AA510" s="27"/>
      <c r="AB510" s="27"/>
      <c r="AC510" s="56">
        <f t="shared" si="189"/>
        <v>1.6122391385130312E-3</v>
      </c>
      <c r="AE510" s="20">
        <f t="shared" si="190"/>
        <v>3363633</v>
      </c>
      <c r="AF510" s="20">
        <f t="shared" si="191"/>
        <v>1930068000.0000002</v>
      </c>
      <c r="AG510">
        <f t="shared" si="195"/>
        <v>17634722.138214119</v>
      </c>
      <c r="AH510">
        <f t="shared" si="196"/>
        <v>19594135.7091268</v>
      </c>
      <c r="AI510">
        <f t="shared" si="197"/>
        <v>16695949475.283735</v>
      </c>
    </row>
    <row r="511" spans="1:35" x14ac:dyDescent="0.25">
      <c r="B511" s="4">
        <v>2027</v>
      </c>
      <c r="C511" s="4" t="s">
        <v>33</v>
      </c>
      <c r="D511" s="1" t="s">
        <v>81</v>
      </c>
      <c r="E511" s="4" t="str">
        <f t="shared" si="194"/>
        <v>FortisBC-CAN</v>
      </c>
      <c r="F511" s="4" t="s">
        <v>143</v>
      </c>
      <c r="G511" s="4">
        <v>1</v>
      </c>
      <c r="H511" s="11" t="s">
        <v>391</v>
      </c>
      <c r="I511" s="4"/>
      <c r="J511" s="4" t="s">
        <v>108</v>
      </c>
      <c r="K511" s="5">
        <v>225485.68808999998</v>
      </c>
      <c r="L511" s="5">
        <f>K511/_xlfn.XLOOKUP(C511,'Utility target list'!$K$2:$K$8,'Utility target list'!$L$2:$L$8,1,0,1)</f>
        <v>250539.6534333333</v>
      </c>
      <c r="M511" s="8">
        <v>3648200</v>
      </c>
      <c r="N511" s="8">
        <v>3586780</v>
      </c>
      <c r="O511" s="8">
        <f>SUMIFS(EIAwtransport!$J$2:$J$675,EIAwtransport!$E$2:$E$675,Program_data!$E511,EIAwtransport!$H$2:$H$675,Program_data!$F511,EIAwtransport!$I$2:$I$675,Program_data!O$2)</f>
        <v>0</v>
      </c>
      <c r="P511" s="5">
        <f>SUMIFS(EIAwtransport!$J$2:$J$675,EIAwtransport!$E$2:$E$675,Program_data!$E511,EIAwtransport!$H$2:$H$675,Program_data!$F511,EIAwtransport!$I$2:$I$675,Program_data!P$2)</f>
        <v>0</v>
      </c>
      <c r="Q511" s="5">
        <f>SUMIFS(EIAwtransport!$J$2:$J$675,EIAwtransport!$E$2:$E$675,Program_data!$E511,EIAwtransport!$H$2:$H$675,Program_data!$F511,EIAwtransport!$I$2:$I$675,Program_data!Q$2)</f>
        <v>0</v>
      </c>
      <c r="R511" s="8">
        <f>SUMIFS(EIAwtransport!$J$2:$J$675,EIAwtransport!$E$2:$E$675,Program_data!$E511,EIAwtransport!$I$2:$I$675,Program_data!R$2)</f>
        <v>1429680000</v>
      </c>
      <c r="S511" s="5">
        <f>SUMIFS(EIAwtransport!$J$2:$J$675,EIAwtransport!$E$2:$E$675,Program_data!$E511,EIAwtransport!$I$2:$I$675,Program_data!S$2)</f>
        <v>158285451.98410821</v>
      </c>
      <c r="T511" s="5">
        <f>SUMIFS(EIAwtransport!$J$2:$J$675,EIAwtransport!$E$2:$E$675,Program_data!$E511,EIAwtransport!$I$2:$I$675,Program_data!T$2)</f>
        <v>1074614</v>
      </c>
      <c r="U511" s="24">
        <f t="shared" si="198"/>
        <v>1.3750491618206488E-4</v>
      </c>
      <c r="V511" s="24">
        <f t="shared" si="192"/>
        <v>1.5278324020229431E-4</v>
      </c>
      <c r="W511" s="24">
        <f t="shared" si="199"/>
        <v>2.5517598343685302E-3</v>
      </c>
      <c r="X511" s="25">
        <f t="shared" si="200"/>
        <v>2.2247329285714277E-3</v>
      </c>
      <c r="Y511" s="8">
        <f t="shared" si="185"/>
        <v>3.6722716850993304</v>
      </c>
      <c r="Z511" s="27">
        <f t="shared" si="186"/>
        <v>0.34126608392064828</v>
      </c>
      <c r="AA511" s="27"/>
      <c r="AB511" s="27"/>
      <c r="AC511" s="56">
        <f t="shared" si="189"/>
        <v>1.9602961207841611E-3</v>
      </c>
      <c r="AE511" s="20">
        <f t="shared" si="190"/>
        <v>4842153</v>
      </c>
      <c r="AF511" s="20">
        <f t="shared" si="191"/>
        <v>1930068000.0000002</v>
      </c>
      <c r="AG511">
        <f t="shared" si="195"/>
        <v>23784230.379733197</v>
      </c>
      <c r="AH511">
        <f t="shared" si="196"/>
        <v>26426922.644147996</v>
      </c>
      <c r="AI511">
        <f t="shared" si="197"/>
        <v>16695949475.283735</v>
      </c>
    </row>
    <row r="512" spans="1:35" x14ac:dyDescent="0.25">
      <c r="B512" s="4"/>
      <c r="C512" s="4"/>
      <c r="D512" s="1"/>
      <c r="E512" s="4"/>
      <c r="F512" s="4"/>
      <c r="G512" s="4"/>
      <c r="H512" s="11"/>
      <c r="I512" s="4"/>
      <c r="J512" s="4"/>
      <c r="K512" s="5"/>
      <c r="L512" s="5"/>
      <c r="M512" s="8"/>
      <c r="N512" s="8"/>
      <c r="O512" s="8">
        <f>SUMIFS(EIAwtransport!$J$2:$J$675,EIAwtransport!$E$2:$E$675,Program_data!$E512,EIAwtransport!$H$2:$H$675,Program_data!$F512,EIAwtransport!$I$2:$I$675,Program_data!O$2)</f>
        <v>0</v>
      </c>
      <c r="P512" s="5">
        <f>SUMIFS(EIAwtransport!$J$2:$J$675,EIAwtransport!$E$2:$E$675,Program_data!$E512,EIAwtransport!$H$2:$H$675,Program_data!$F512,EIAwtransport!$I$2:$I$675,Program_data!P$2)</f>
        <v>0</v>
      </c>
      <c r="Q512" s="5">
        <f>SUMIFS(EIAwtransport!$J$2:$J$675,EIAwtransport!$E$2:$E$675,Program_data!$E512,EIAwtransport!$H$2:$H$675,Program_data!$F512,EIAwtransport!$I$2:$I$675,Program_data!Q$2)</f>
        <v>0</v>
      </c>
      <c r="R512" s="8">
        <f>SUMIFS(EIAwtransport!$J$2:$J$675,EIAwtransport!$E$2:$E$675,Program_data!$E512,EIAwtransport!$I$2:$I$675,Program_data!R$2)</f>
        <v>0</v>
      </c>
      <c r="S512" s="5">
        <f>SUMIFS(EIAwtransport!$J$2:$J$675,EIAwtransport!$E$2:$E$675,Program_data!$E512,EIAwtransport!$I$2:$I$675,Program_data!S$2)</f>
        <v>0</v>
      </c>
      <c r="T512" s="5">
        <f>SUMIFS(EIAwtransport!$J$2:$J$675,EIAwtransport!$E$2:$E$675,Program_data!$E512,EIAwtransport!$I$2:$I$675,Program_data!T$2)</f>
        <v>0</v>
      </c>
      <c r="U512" s="97" t="str">
        <f t="shared" si="198"/>
        <v/>
      </c>
      <c r="V512" s="24" t="str">
        <f t="shared" si="192"/>
        <v/>
      </c>
      <c r="W512" s="24" t="str">
        <f t="shared" si="199"/>
        <v/>
      </c>
      <c r="X512" s="25" t="str">
        <f t="shared" si="200"/>
        <v/>
      </c>
      <c r="Y512" s="8" t="str">
        <f t="shared" si="185"/>
        <v/>
      </c>
      <c r="Z512" s="27" t="str">
        <f t="shared" si="186"/>
        <v/>
      </c>
      <c r="AA512" s="27"/>
      <c r="AB512" s="27"/>
      <c r="AC512" s="56" t="str">
        <f t="shared" si="189"/>
        <v/>
      </c>
      <c r="AE512" s="20">
        <f t="shared" si="190"/>
        <v>0</v>
      </c>
      <c r="AF512" s="20">
        <f t="shared" si="191"/>
        <v>0</v>
      </c>
      <c r="AG512">
        <f t="shared" si="195"/>
        <v>0</v>
      </c>
      <c r="AH512">
        <f t="shared" si="196"/>
        <v>0</v>
      </c>
      <c r="AI512">
        <f t="shared" si="197"/>
        <v>0</v>
      </c>
    </row>
    <row r="513" spans="1:35" x14ac:dyDescent="0.25">
      <c r="B513" s="4">
        <v>2025</v>
      </c>
      <c r="C513" s="4" t="s">
        <v>33</v>
      </c>
      <c r="D513" s="1" t="s">
        <v>81</v>
      </c>
      <c r="E513" s="4" t="str">
        <f>D513&amp;"-"&amp;C513</f>
        <v>FortisBC-CAN</v>
      </c>
      <c r="F513" s="4" t="s">
        <v>143</v>
      </c>
      <c r="G513" s="4">
        <v>1</v>
      </c>
      <c r="H513" s="11" t="s">
        <v>392</v>
      </c>
      <c r="I513" s="4"/>
      <c r="J513" s="4" t="s">
        <v>155</v>
      </c>
      <c r="K513" s="5">
        <v>0</v>
      </c>
      <c r="L513" s="38"/>
      <c r="M513" s="8">
        <v>129500</v>
      </c>
      <c r="N513" s="8">
        <v>0</v>
      </c>
      <c r="O513" s="8">
        <f>SUMIFS(EIAwtransport!$J$2:$J$675,EIAwtransport!$E$2:$E$675,Program_data!$E513,EIAwtransport!$H$2:$H$675,Program_data!$F513,EIAwtransport!$I$2:$I$675,Program_data!O$2)</f>
        <v>0</v>
      </c>
      <c r="P513" s="5">
        <f>SUMIFS(EIAwtransport!$J$2:$J$675,EIAwtransport!$E$2:$E$675,Program_data!$E513,EIAwtransport!$H$2:$H$675,Program_data!$F513,EIAwtransport!$I$2:$I$675,Program_data!P$2)</f>
        <v>0</v>
      </c>
      <c r="Q513" s="5">
        <f>SUMIFS(EIAwtransport!$J$2:$J$675,EIAwtransport!$E$2:$E$675,Program_data!$E513,EIAwtransport!$H$2:$H$675,Program_data!$F513,EIAwtransport!$I$2:$I$675,Program_data!Q$2)</f>
        <v>0</v>
      </c>
      <c r="R513" s="8">
        <f>SUMIFS(EIAwtransport!$J$2:$J$675,EIAwtransport!$E$2:$E$675,Program_data!$E513,EIAwtransport!$I$2:$I$675,Program_data!R$2)</f>
        <v>1429680000</v>
      </c>
      <c r="S513" s="5">
        <f>SUMIFS(EIAwtransport!$J$2:$J$675,EIAwtransport!$E$2:$E$675,Program_data!$E513,EIAwtransport!$I$2:$I$675,Program_data!S$2)</f>
        <v>158285451.98410821</v>
      </c>
      <c r="T513" s="5">
        <f>SUMIFS(EIAwtransport!$J$2:$J$675,EIAwtransport!$E$2:$E$675,Program_data!$E513,EIAwtransport!$I$2:$I$675,Program_data!T$2)</f>
        <v>1074614</v>
      </c>
      <c r="U513" s="24">
        <f t="shared" si="198"/>
        <v>0</v>
      </c>
      <c r="V513" s="24">
        <f t="shared" si="192"/>
        <v>0</v>
      </c>
      <c r="W513" s="24">
        <f t="shared" si="199"/>
        <v>9.0579710144927537E-5</v>
      </c>
      <c r="X513" s="25">
        <f t="shared" si="200"/>
        <v>7.8971249999999963E-5</v>
      </c>
      <c r="Y513" s="8">
        <f t="shared" si="185"/>
        <v>0.17244914847151338</v>
      </c>
      <c r="Z513" s="27">
        <f t="shared" si="186"/>
        <v>1.5390789822041367E-2</v>
      </c>
      <c r="AA513" s="27"/>
      <c r="AB513" s="27"/>
      <c r="AC513" s="56">
        <f t="shared" si="189"/>
        <v>0</v>
      </c>
      <c r="AE513" s="20">
        <f t="shared" si="190"/>
        <v>0</v>
      </c>
      <c r="AF513" s="20">
        <f t="shared" si="191"/>
        <v>1930068000.0000002</v>
      </c>
      <c r="AG513">
        <f t="shared" si="195"/>
        <v>0</v>
      </c>
      <c r="AH513">
        <f t="shared" si="196"/>
        <v>0</v>
      </c>
      <c r="AI513">
        <f t="shared" si="197"/>
        <v>16695949475.283735</v>
      </c>
    </row>
    <row r="514" spans="1:35" x14ac:dyDescent="0.25">
      <c r="B514" s="4">
        <v>2026</v>
      </c>
      <c r="C514" s="4" t="s">
        <v>33</v>
      </c>
      <c r="D514" s="1" t="s">
        <v>81</v>
      </c>
      <c r="E514" s="4" t="str">
        <f>D514&amp;"-"&amp;C514</f>
        <v>FortisBC-CAN</v>
      </c>
      <c r="F514" s="4" t="s">
        <v>143</v>
      </c>
      <c r="G514" s="4">
        <v>1</v>
      </c>
      <c r="H514" s="11" t="s">
        <v>392</v>
      </c>
      <c r="I514" s="4"/>
      <c r="J514" s="4" t="s">
        <v>155</v>
      </c>
      <c r="K514" s="5">
        <v>0</v>
      </c>
      <c r="L514" s="38"/>
      <c r="M514" s="8">
        <v>144300</v>
      </c>
      <c r="N514" s="8">
        <v>0</v>
      </c>
      <c r="O514" s="8">
        <f>SUMIFS(EIAwtransport!$J$2:$J$675,EIAwtransport!$E$2:$E$675,Program_data!$E514,EIAwtransport!$H$2:$H$675,Program_data!$F514,EIAwtransport!$I$2:$I$675,Program_data!O$2)</f>
        <v>0</v>
      </c>
      <c r="P514" s="5">
        <f>SUMIFS(EIAwtransport!$J$2:$J$675,EIAwtransport!$E$2:$E$675,Program_data!$E514,EIAwtransport!$H$2:$H$675,Program_data!$F514,EIAwtransport!$I$2:$I$675,Program_data!P$2)</f>
        <v>0</v>
      </c>
      <c r="Q514" s="5">
        <f>SUMIFS(EIAwtransport!$J$2:$J$675,EIAwtransport!$E$2:$E$675,Program_data!$E514,EIAwtransport!$H$2:$H$675,Program_data!$F514,EIAwtransport!$I$2:$I$675,Program_data!Q$2)</f>
        <v>0</v>
      </c>
      <c r="R514" s="8">
        <f>SUMIFS(EIAwtransport!$J$2:$J$675,EIAwtransport!$E$2:$E$675,Program_data!$E514,EIAwtransport!$I$2:$I$675,Program_data!R$2)</f>
        <v>1429680000</v>
      </c>
      <c r="S514" s="5">
        <f>SUMIFS(EIAwtransport!$J$2:$J$675,EIAwtransport!$E$2:$E$675,Program_data!$E514,EIAwtransport!$I$2:$I$675,Program_data!S$2)</f>
        <v>158285451.98410821</v>
      </c>
      <c r="T514" s="5">
        <f>SUMIFS(EIAwtransport!$J$2:$J$675,EIAwtransport!$E$2:$E$675,Program_data!$E514,EIAwtransport!$I$2:$I$675,Program_data!T$2)</f>
        <v>1074614</v>
      </c>
      <c r="U514" s="24">
        <f t="shared" si="198"/>
        <v>0</v>
      </c>
      <c r="V514" s="24">
        <f t="shared" si="192"/>
        <v>0</v>
      </c>
      <c r="W514" s="24">
        <f t="shared" si="199"/>
        <v>1.0093167701863354E-4</v>
      </c>
      <c r="X514" s="25">
        <f t="shared" si="200"/>
        <v>8.7996535714285679E-5</v>
      </c>
      <c r="Y514" s="8">
        <f t="shared" si="185"/>
        <v>0.16548142171924587</v>
      </c>
      <c r="Z514" s="27">
        <f t="shared" si="186"/>
        <v>1.490692389373195E-2</v>
      </c>
      <c r="AA514" s="27"/>
      <c r="AB514" s="27"/>
      <c r="AC514" s="56">
        <f t="shared" si="189"/>
        <v>0</v>
      </c>
      <c r="AE514" s="20">
        <f t="shared" si="190"/>
        <v>0</v>
      </c>
      <c r="AF514" s="20">
        <f t="shared" si="191"/>
        <v>1930068000.0000002</v>
      </c>
      <c r="AG514">
        <f t="shared" si="195"/>
        <v>0</v>
      </c>
      <c r="AH514">
        <f t="shared" si="196"/>
        <v>0</v>
      </c>
      <c r="AI514">
        <f t="shared" si="197"/>
        <v>16695949475.283735</v>
      </c>
    </row>
    <row r="515" spans="1:35" x14ac:dyDescent="0.25">
      <c r="B515" s="4">
        <v>2027</v>
      </c>
      <c r="C515" s="4" t="s">
        <v>33</v>
      </c>
      <c r="D515" s="1" t="s">
        <v>81</v>
      </c>
      <c r="E515" s="4" t="str">
        <f>D515&amp;"-"&amp;C515</f>
        <v>FortisBC-CAN</v>
      </c>
      <c r="F515" s="4" t="s">
        <v>143</v>
      </c>
      <c r="G515" s="4">
        <v>1</v>
      </c>
      <c r="H515" s="11" t="s">
        <v>392</v>
      </c>
      <c r="I515" s="4"/>
      <c r="J515" s="4" t="s">
        <v>155</v>
      </c>
      <c r="K515" s="5">
        <v>0</v>
      </c>
      <c r="L515" s="38"/>
      <c r="M515" s="8">
        <v>159100</v>
      </c>
      <c r="N515" s="8">
        <v>0</v>
      </c>
      <c r="O515" s="8">
        <f>SUMIFS(EIAwtransport!$J$2:$J$675,EIAwtransport!$E$2:$E$675,Program_data!$E515,EIAwtransport!$H$2:$H$675,Program_data!$F515,EIAwtransport!$I$2:$I$675,Program_data!O$2)</f>
        <v>0</v>
      </c>
      <c r="P515" s="5">
        <f>SUMIFS(EIAwtransport!$J$2:$J$675,EIAwtransport!$E$2:$E$675,Program_data!$E515,EIAwtransport!$H$2:$H$675,Program_data!$F515,EIAwtransport!$I$2:$I$675,Program_data!P$2)</f>
        <v>0</v>
      </c>
      <c r="Q515" s="5">
        <f>SUMIFS(EIAwtransport!$J$2:$J$675,EIAwtransport!$E$2:$E$675,Program_data!$E515,EIAwtransport!$H$2:$H$675,Program_data!$F515,EIAwtransport!$I$2:$I$675,Program_data!Q$2)</f>
        <v>0</v>
      </c>
      <c r="R515" s="8">
        <f>SUMIFS(EIAwtransport!$J$2:$J$675,EIAwtransport!$E$2:$E$675,Program_data!$E515,EIAwtransport!$I$2:$I$675,Program_data!R$2)</f>
        <v>1429680000</v>
      </c>
      <c r="S515" s="5">
        <f>SUMIFS(EIAwtransport!$J$2:$J$675,EIAwtransport!$E$2:$E$675,Program_data!$E515,EIAwtransport!$I$2:$I$675,Program_data!S$2)</f>
        <v>158285451.98410821</v>
      </c>
      <c r="T515" s="5">
        <f>SUMIFS(EIAwtransport!$J$2:$J$675,EIAwtransport!$E$2:$E$675,Program_data!$E515,EIAwtransport!$I$2:$I$675,Program_data!T$2)</f>
        <v>1074614</v>
      </c>
      <c r="U515" s="24">
        <f t="shared" si="198"/>
        <v>0</v>
      </c>
      <c r="V515" s="24">
        <f t="shared" si="192"/>
        <v>0</v>
      </c>
      <c r="W515" s="24">
        <f t="shared" si="199"/>
        <v>1.1128364389233955E-4</v>
      </c>
      <c r="X515" s="25">
        <f t="shared" si="200"/>
        <v>9.7021821428571408E-5</v>
      </c>
      <c r="Y515" s="8">
        <f t="shared" si="185"/>
        <v>0.16014977937045763</v>
      </c>
      <c r="Z515" s="27">
        <f t="shared" si="186"/>
        <v>1.4882800820068841E-2</v>
      </c>
      <c r="AA515" s="27"/>
      <c r="AB515" s="27"/>
      <c r="AC515" s="56">
        <f t="shared" si="189"/>
        <v>0</v>
      </c>
      <c r="AE515" s="20">
        <f t="shared" si="190"/>
        <v>0</v>
      </c>
      <c r="AF515" s="20">
        <f t="shared" si="191"/>
        <v>1930068000.0000002</v>
      </c>
      <c r="AG515">
        <f t="shared" si="195"/>
        <v>0</v>
      </c>
      <c r="AH515">
        <f t="shared" si="196"/>
        <v>0</v>
      </c>
      <c r="AI515">
        <f t="shared" si="197"/>
        <v>16695949475.283735</v>
      </c>
    </row>
    <row r="516" spans="1:35" x14ac:dyDescent="0.25">
      <c r="B516" s="4"/>
      <c r="C516" s="4"/>
      <c r="D516" s="1"/>
      <c r="E516" s="4"/>
      <c r="F516" s="4"/>
      <c r="G516" s="4"/>
      <c r="H516" s="11"/>
      <c r="I516" s="4"/>
      <c r="J516" s="4"/>
      <c r="K516" s="5"/>
      <c r="L516" s="5"/>
      <c r="M516" s="8"/>
      <c r="N516" s="8"/>
      <c r="O516" s="8">
        <f>SUMIFS(EIAwtransport!$J$2:$J$675,EIAwtransport!$E$2:$E$675,Program_data!$E516,EIAwtransport!$H$2:$H$675,Program_data!$F516,EIAwtransport!$I$2:$I$675,Program_data!O$2)</f>
        <v>0</v>
      </c>
      <c r="P516" s="5">
        <f>SUMIFS(EIAwtransport!$J$2:$J$675,EIAwtransport!$E$2:$E$675,Program_data!$E516,EIAwtransport!$H$2:$H$675,Program_data!$F516,EIAwtransport!$I$2:$I$675,Program_data!P$2)</f>
        <v>0</v>
      </c>
      <c r="Q516" s="5">
        <f>SUMIFS(EIAwtransport!$J$2:$J$675,EIAwtransport!$E$2:$E$675,Program_data!$E516,EIAwtransport!$H$2:$H$675,Program_data!$F516,EIAwtransport!$I$2:$I$675,Program_data!Q$2)</f>
        <v>0</v>
      </c>
      <c r="R516" s="8">
        <f>SUMIFS(EIAwtransport!$J$2:$J$675,EIAwtransport!$E$2:$E$675,Program_data!$E516,EIAwtransport!$I$2:$I$675,Program_data!R$2)</f>
        <v>0</v>
      </c>
      <c r="S516" s="5">
        <f>SUMIFS(EIAwtransport!$J$2:$J$675,EIAwtransport!$E$2:$E$675,Program_data!$E516,EIAwtransport!$I$2:$I$675,Program_data!S$2)</f>
        <v>0</v>
      </c>
      <c r="T516" s="5">
        <f>SUMIFS(EIAwtransport!$J$2:$J$675,EIAwtransport!$E$2:$E$675,Program_data!$E516,EIAwtransport!$I$2:$I$675,Program_data!T$2)</f>
        <v>0</v>
      </c>
      <c r="U516" s="97" t="str">
        <f t="shared" si="198"/>
        <v/>
      </c>
      <c r="V516" s="24" t="str">
        <f t="shared" si="192"/>
        <v/>
      </c>
      <c r="W516" s="24" t="str">
        <f t="shared" si="199"/>
        <v/>
      </c>
      <c r="X516" s="25" t="str">
        <f t="shared" si="200"/>
        <v/>
      </c>
      <c r="Y516" s="8" t="str">
        <f t="shared" ref="Y516:Y579" si="201">IFERROR(M516/SUMIFS($K$3:$K$1492,$E$3:$E$1492,E516,$B$3:$B$1492,B516,$F$3:$F$1492,F516,$A$3:$A$1492,""),"")</f>
        <v/>
      </c>
      <c r="Z516" s="27" t="str">
        <f t="shared" ref="Z516:Z579" si="202">IFERROR(M516/SUMIFS($K$3:$K$1492,$E$3:$E$1492,E516,$B$3:$B$1492,B516,$A$3:$A$1492,""),"")</f>
        <v/>
      </c>
      <c r="AA516" s="27"/>
      <c r="AB516" s="27"/>
      <c r="AC516" s="56" t="str">
        <f t="shared" si="189"/>
        <v/>
      </c>
      <c r="AE516" s="20">
        <f t="shared" si="190"/>
        <v>0</v>
      </c>
      <c r="AF516" s="20">
        <f t="shared" si="191"/>
        <v>0</v>
      </c>
      <c r="AG516">
        <f t="shared" si="195"/>
        <v>0</v>
      </c>
      <c r="AH516">
        <f t="shared" si="196"/>
        <v>0</v>
      </c>
      <c r="AI516">
        <f t="shared" si="197"/>
        <v>0</v>
      </c>
    </row>
    <row r="517" spans="1:35" x14ac:dyDescent="0.25">
      <c r="B517" s="4">
        <v>2025</v>
      </c>
      <c r="C517" s="4" t="s">
        <v>33</v>
      </c>
      <c r="D517" s="1" t="s">
        <v>81</v>
      </c>
      <c r="E517" s="4" t="str">
        <f>D517&amp;"-"&amp;C517</f>
        <v>FortisBC-CAN</v>
      </c>
      <c r="F517" s="4" t="s">
        <v>143</v>
      </c>
      <c r="G517" s="4">
        <v>1</v>
      </c>
      <c r="H517" s="11" t="s">
        <v>393</v>
      </c>
      <c r="I517" s="4"/>
      <c r="J517" s="4" t="s">
        <v>155</v>
      </c>
      <c r="K517" s="5">
        <v>0</v>
      </c>
      <c r="L517" s="38"/>
      <c r="M517" s="8">
        <v>606800</v>
      </c>
      <c r="N517" s="8">
        <v>0</v>
      </c>
      <c r="O517" s="8">
        <f>SUMIFS(EIAwtransport!$J$2:$J$675,EIAwtransport!$E$2:$E$675,Program_data!$E517,EIAwtransport!$H$2:$H$675,Program_data!$F517,EIAwtransport!$I$2:$I$675,Program_data!O$2)</f>
        <v>0</v>
      </c>
      <c r="P517" s="5">
        <f>SUMIFS(EIAwtransport!$J$2:$J$675,EIAwtransport!$E$2:$E$675,Program_data!$E517,EIAwtransport!$H$2:$H$675,Program_data!$F517,EIAwtransport!$I$2:$I$675,Program_data!P$2)</f>
        <v>0</v>
      </c>
      <c r="Q517" s="5">
        <f>SUMIFS(EIAwtransport!$J$2:$J$675,EIAwtransport!$E$2:$E$675,Program_data!$E517,EIAwtransport!$H$2:$H$675,Program_data!$F517,EIAwtransport!$I$2:$I$675,Program_data!Q$2)</f>
        <v>0</v>
      </c>
      <c r="R517" s="8">
        <f>SUMIFS(EIAwtransport!$J$2:$J$675,EIAwtransport!$E$2:$E$675,Program_data!$E517,EIAwtransport!$I$2:$I$675,Program_data!R$2)</f>
        <v>1429680000</v>
      </c>
      <c r="S517" s="5">
        <f>SUMIFS(EIAwtransport!$J$2:$J$675,EIAwtransport!$E$2:$E$675,Program_data!$E517,EIAwtransport!$I$2:$I$675,Program_data!S$2)</f>
        <v>158285451.98410821</v>
      </c>
      <c r="T517" s="5">
        <f>SUMIFS(EIAwtransport!$J$2:$J$675,EIAwtransport!$E$2:$E$675,Program_data!$E517,EIAwtransport!$I$2:$I$675,Program_data!T$2)</f>
        <v>1074614</v>
      </c>
      <c r="U517" s="24">
        <f t="shared" si="198"/>
        <v>0</v>
      </c>
      <c r="V517" s="24">
        <f t="shared" si="192"/>
        <v>0</v>
      </c>
      <c r="W517" s="24">
        <f t="shared" si="199"/>
        <v>4.2443064182194618E-4</v>
      </c>
      <c r="X517" s="25">
        <f t="shared" si="200"/>
        <v>3.7003671428571415E-4</v>
      </c>
      <c r="Y517" s="8">
        <f t="shared" si="201"/>
        <v>0.80804743855223415</v>
      </c>
      <c r="Z517" s="27">
        <f t="shared" si="202"/>
        <v>7.2116843737565259E-2</v>
      </c>
      <c r="AA517" s="27"/>
      <c r="AB517" s="27"/>
      <c r="AC517" s="56">
        <f t="shared" si="189"/>
        <v>0</v>
      </c>
      <c r="AE517" s="20">
        <f t="shared" si="190"/>
        <v>0</v>
      </c>
      <c r="AF517" s="20">
        <f t="shared" si="191"/>
        <v>1930068000.0000002</v>
      </c>
      <c r="AG517">
        <f t="shared" si="195"/>
        <v>0</v>
      </c>
      <c r="AH517">
        <f t="shared" si="196"/>
        <v>0</v>
      </c>
      <c r="AI517">
        <f t="shared" si="197"/>
        <v>16695949475.283735</v>
      </c>
    </row>
    <row r="518" spans="1:35" x14ac:dyDescent="0.25">
      <c r="B518" s="4">
        <v>2026</v>
      </c>
      <c r="C518" s="4" t="s">
        <v>33</v>
      </c>
      <c r="D518" s="1" t="s">
        <v>81</v>
      </c>
      <c r="E518" s="4" t="str">
        <f>D518&amp;"-"&amp;C518</f>
        <v>FortisBC-CAN</v>
      </c>
      <c r="F518" s="4" t="s">
        <v>143</v>
      </c>
      <c r="G518" s="4">
        <v>1</v>
      </c>
      <c r="H518" s="11" t="s">
        <v>393</v>
      </c>
      <c r="I518" s="4"/>
      <c r="J518" s="4" t="s">
        <v>155</v>
      </c>
      <c r="K518" s="5">
        <v>0</v>
      </c>
      <c r="L518" s="38"/>
      <c r="M518" s="8">
        <v>660820</v>
      </c>
      <c r="N518" s="8">
        <v>0</v>
      </c>
      <c r="O518" s="8">
        <f>SUMIFS(EIAwtransport!$J$2:$J$675,EIAwtransport!$E$2:$E$675,Program_data!$E518,EIAwtransport!$H$2:$H$675,Program_data!$F518,EIAwtransport!$I$2:$I$675,Program_data!O$2)</f>
        <v>0</v>
      </c>
      <c r="P518" s="5">
        <f>SUMIFS(EIAwtransport!$J$2:$J$675,EIAwtransport!$E$2:$E$675,Program_data!$E518,EIAwtransport!$H$2:$H$675,Program_data!$F518,EIAwtransport!$I$2:$I$675,Program_data!P$2)</f>
        <v>0</v>
      </c>
      <c r="Q518" s="5">
        <f>SUMIFS(EIAwtransport!$J$2:$J$675,EIAwtransport!$E$2:$E$675,Program_data!$E518,EIAwtransport!$H$2:$H$675,Program_data!$F518,EIAwtransport!$I$2:$I$675,Program_data!Q$2)</f>
        <v>0</v>
      </c>
      <c r="R518" s="8">
        <f>SUMIFS(EIAwtransport!$J$2:$J$675,EIAwtransport!$E$2:$E$675,Program_data!$E518,EIAwtransport!$I$2:$I$675,Program_data!R$2)</f>
        <v>1429680000</v>
      </c>
      <c r="S518" s="5">
        <f>SUMIFS(EIAwtransport!$J$2:$J$675,EIAwtransport!$E$2:$E$675,Program_data!$E518,EIAwtransport!$I$2:$I$675,Program_data!S$2)</f>
        <v>158285451.98410821</v>
      </c>
      <c r="T518" s="5">
        <f>SUMIFS(EIAwtransport!$J$2:$J$675,EIAwtransport!$E$2:$E$675,Program_data!$E518,EIAwtransport!$I$2:$I$675,Program_data!T$2)</f>
        <v>1074614</v>
      </c>
      <c r="U518" s="24">
        <f t="shared" si="198"/>
        <v>0</v>
      </c>
      <c r="V518" s="24">
        <f t="shared" si="192"/>
        <v>0</v>
      </c>
      <c r="W518" s="24">
        <f t="shared" si="199"/>
        <v>4.6221532091097307E-4</v>
      </c>
      <c r="X518" s="25">
        <f t="shared" si="200"/>
        <v>4.0297900714285703E-4</v>
      </c>
      <c r="Y518" s="8">
        <f t="shared" si="201"/>
        <v>0.75782004920659773</v>
      </c>
      <c r="Z518" s="27">
        <f t="shared" si="202"/>
        <v>6.8266066856936578E-2</v>
      </c>
      <c r="AA518" s="27"/>
      <c r="AB518" s="27"/>
      <c r="AC518" s="56">
        <f t="shared" si="189"/>
        <v>0</v>
      </c>
      <c r="AE518" s="20">
        <f t="shared" si="190"/>
        <v>0</v>
      </c>
      <c r="AF518" s="20">
        <f t="shared" si="191"/>
        <v>1930068000.0000002</v>
      </c>
      <c r="AG518">
        <f t="shared" si="195"/>
        <v>0</v>
      </c>
      <c r="AH518">
        <f t="shared" si="196"/>
        <v>0</v>
      </c>
      <c r="AI518">
        <f t="shared" si="197"/>
        <v>16695949475.283735</v>
      </c>
    </row>
    <row r="519" spans="1:35" x14ac:dyDescent="0.25">
      <c r="B519" s="4">
        <v>2027</v>
      </c>
      <c r="C519" s="4" t="s">
        <v>33</v>
      </c>
      <c r="D519" s="1" t="s">
        <v>81</v>
      </c>
      <c r="E519" s="4" t="str">
        <f>D519&amp;"-"&amp;C519</f>
        <v>FortisBC-CAN</v>
      </c>
      <c r="F519" s="4" t="s">
        <v>143</v>
      </c>
      <c r="G519" s="4">
        <v>1</v>
      </c>
      <c r="H519" s="11" t="s">
        <v>393</v>
      </c>
      <c r="I519" s="4"/>
      <c r="J519" s="4" t="s">
        <v>155</v>
      </c>
      <c r="K519" s="5">
        <v>0</v>
      </c>
      <c r="L519" s="38"/>
      <c r="M519" s="8">
        <v>674880</v>
      </c>
      <c r="N519" s="8">
        <v>0</v>
      </c>
      <c r="O519" s="8">
        <f>SUMIFS(EIAwtransport!$J$2:$J$675,EIAwtransport!$E$2:$E$675,Program_data!$E519,EIAwtransport!$H$2:$H$675,Program_data!$F519,EIAwtransport!$I$2:$I$675,Program_data!O$2)</f>
        <v>0</v>
      </c>
      <c r="P519" s="5">
        <f>SUMIFS(EIAwtransport!$J$2:$J$675,EIAwtransport!$E$2:$E$675,Program_data!$E519,EIAwtransport!$H$2:$H$675,Program_data!$F519,EIAwtransport!$I$2:$I$675,Program_data!P$2)</f>
        <v>0</v>
      </c>
      <c r="Q519" s="5">
        <f>SUMIFS(EIAwtransport!$J$2:$J$675,EIAwtransport!$E$2:$E$675,Program_data!$E519,EIAwtransport!$H$2:$H$675,Program_data!$F519,EIAwtransport!$I$2:$I$675,Program_data!Q$2)</f>
        <v>0</v>
      </c>
      <c r="R519" s="8">
        <f>SUMIFS(EIAwtransport!$J$2:$J$675,EIAwtransport!$E$2:$E$675,Program_data!$E519,EIAwtransport!$I$2:$I$675,Program_data!R$2)</f>
        <v>1429680000</v>
      </c>
      <c r="S519" s="5">
        <f>SUMIFS(EIAwtransport!$J$2:$J$675,EIAwtransport!$E$2:$E$675,Program_data!$E519,EIAwtransport!$I$2:$I$675,Program_data!S$2)</f>
        <v>158285451.98410821</v>
      </c>
      <c r="T519" s="5">
        <f>SUMIFS(EIAwtransport!$J$2:$J$675,EIAwtransport!$E$2:$E$675,Program_data!$E519,EIAwtransport!$I$2:$I$675,Program_data!T$2)</f>
        <v>1074614</v>
      </c>
      <c r="U519" s="24">
        <f t="shared" si="198"/>
        <v>0</v>
      </c>
      <c r="V519" s="24">
        <f t="shared" si="192"/>
        <v>0</v>
      </c>
      <c r="W519" s="24">
        <f t="shared" si="199"/>
        <v>4.7204968944099376E-4</v>
      </c>
      <c r="X519" s="25">
        <f t="shared" si="200"/>
        <v>4.1155302857142837E-4</v>
      </c>
      <c r="Y519" s="8">
        <f t="shared" si="201"/>
        <v>0.67933301760863884</v>
      </c>
      <c r="Z519" s="27">
        <f t="shared" si="202"/>
        <v>6.3130764408850154E-2</v>
      </c>
      <c r="AA519" s="27"/>
      <c r="AB519" s="27"/>
      <c r="AC519" s="56">
        <f t="shared" si="189"/>
        <v>0</v>
      </c>
      <c r="AE519" s="20">
        <f t="shared" si="190"/>
        <v>0</v>
      </c>
      <c r="AF519" s="20">
        <f t="shared" si="191"/>
        <v>1930068000.0000002</v>
      </c>
      <c r="AG519">
        <f t="shared" si="195"/>
        <v>0</v>
      </c>
      <c r="AH519">
        <f t="shared" si="196"/>
        <v>0</v>
      </c>
      <c r="AI519">
        <f t="shared" si="197"/>
        <v>16695949475.283735</v>
      </c>
    </row>
    <row r="520" spans="1:35" x14ac:dyDescent="0.25">
      <c r="B520" s="4"/>
      <c r="C520" s="4"/>
      <c r="D520" s="1"/>
      <c r="E520" s="4"/>
      <c r="F520" s="4"/>
      <c r="G520" s="4"/>
      <c r="H520" s="11"/>
      <c r="I520" s="4"/>
      <c r="J520" s="4"/>
      <c r="K520" s="5"/>
      <c r="L520" s="5"/>
      <c r="M520" s="8"/>
      <c r="N520" s="8"/>
      <c r="O520" s="8">
        <f>SUMIFS(EIAwtransport!$J$2:$J$675,EIAwtransport!$E$2:$E$675,Program_data!$E520,EIAwtransport!$H$2:$H$675,Program_data!$F520,EIAwtransport!$I$2:$I$675,Program_data!O$2)</f>
        <v>0</v>
      </c>
      <c r="P520" s="5">
        <f>SUMIFS(EIAwtransport!$J$2:$J$675,EIAwtransport!$E$2:$E$675,Program_data!$E520,EIAwtransport!$H$2:$H$675,Program_data!$F520,EIAwtransport!$I$2:$I$675,Program_data!P$2)</f>
        <v>0</v>
      </c>
      <c r="Q520" s="5">
        <f>SUMIFS(EIAwtransport!$J$2:$J$675,EIAwtransport!$E$2:$E$675,Program_data!$E520,EIAwtransport!$H$2:$H$675,Program_data!$F520,EIAwtransport!$I$2:$I$675,Program_data!Q$2)</f>
        <v>0</v>
      </c>
      <c r="R520" s="8">
        <f>SUMIFS(EIAwtransport!$J$2:$J$675,EIAwtransport!$E$2:$E$675,Program_data!$E520,EIAwtransport!$I$2:$I$675,Program_data!R$2)</f>
        <v>0</v>
      </c>
      <c r="S520" s="5">
        <f>SUMIFS(EIAwtransport!$J$2:$J$675,EIAwtransport!$E$2:$E$675,Program_data!$E520,EIAwtransport!$I$2:$I$675,Program_data!S$2)</f>
        <v>0</v>
      </c>
      <c r="T520" s="5">
        <f>SUMIFS(EIAwtransport!$J$2:$J$675,EIAwtransport!$E$2:$E$675,Program_data!$E520,EIAwtransport!$I$2:$I$675,Program_data!T$2)</f>
        <v>0</v>
      </c>
      <c r="U520" s="97" t="str">
        <f t="shared" si="198"/>
        <v/>
      </c>
      <c r="V520" s="24" t="str">
        <f t="shared" si="192"/>
        <v/>
      </c>
      <c r="W520" s="24" t="str">
        <f t="shared" si="199"/>
        <v/>
      </c>
      <c r="X520" s="25" t="str">
        <f t="shared" si="200"/>
        <v/>
      </c>
      <c r="Y520" s="8" t="str">
        <f t="shared" si="201"/>
        <v/>
      </c>
      <c r="Z520" s="27" t="str">
        <f t="shared" si="202"/>
        <v/>
      </c>
      <c r="AA520" s="27"/>
      <c r="AB520" s="27"/>
      <c r="AC520" s="56" t="str">
        <f t="shared" si="189"/>
        <v/>
      </c>
      <c r="AE520" s="20">
        <f t="shared" si="190"/>
        <v>0</v>
      </c>
      <c r="AF520" s="20">
        <f t="shared" si="191"/>
        <v>0</v>
      </c>
      <c r="AG520">
        <f t="shared" si="195"/>
        <v>0</v>
      </c>
      <c r="AH520">
        <f t="shared" si="196"/>
        <v>0</v>
      </c>
      <c r="AI520">
        <f t="shared" si="197"/>
        <v>0</v>
      </c>
    </row>
    <row r="521" spans="1:35" x14ac:dyDescent="0.25">
      <c r="B521" s="4">
        <v>2025</v>
      </c>
      <c r="C521" s="4" t="s">
        <v>33</v>
      </c>
      <c r="D521" s="1" t="s">
        <v>81</v>
      </c>
      <c r="E521" s="4" t="str">
        <f t="shared" ref="E521:E535" si="203">D521&amp;"-"&amp;C521</f>
        <v>FortisBC-CAN</v>
      </c>
      <c r="F521" s="4" t="s">
        <v>143</v>
      </c>
      <c r="G521" s="4">
        <v>1</v>
      </c>
      <c r="H521" s="11" t="s">
        <v>394</v>
      </c>
      <c r="I521" s="4"/>
      <c r="J521" s="4" t="s">
        <v>155</v>
      </c>
      <c r="K521" s="5">
        <v>0</v>
      </c>
      <c r="L521" s="38"/>
      <c r="M521" s="8">
        <v>37000</v>
      </c>
      <c r="N521" s="8">
        <v>0</v>
      </c>
      <c r="O521" s="8">
        <f>SUMIFS(EIAwtransport!$J$2:$J$675,EIAwtransport!$E$2:$E$675,Program_data!$E521,EIAwtransport!$H$2:$H$675,Program_data!$F521,EIAwtransport!$I$2:$I$675,Program_data!O$2)</f>
        <v>0</v>
      </c>
      <c r="P521" s="5">
        <f>SUMIFS(EIAwtransport!$J$2:$J$675,EIAwtransport!$E$2:$E$675,Program_data!$E521,EIAwtransport!$H$2:$H$675,Program_data!$F521,EIAwtransport!$I$2:$I$675,Program_data!P$2)</f>
        <v>0</v>
      </c>
      <c r="Q521" s="5">
        <f>SUMIFS(EIAwtransport!$J$2:$J$675,EIAwtransport!$E$2:$E$675,Program_data!$E521,EIAwtransport!$H$2:$H$675,Program_data!$F521,EIAwtransport!$I$2:$I$675,Program_data!Q$2)</f>
        <v>0</v>
      </c>
      <c r="R521" s="8">
        <f>SUMIFS(EIAwtransport!$J$2:$J$675,EIAwtransport!$E$2:$E$675,Program_data!$E521,EIAwtransport!$I$2:$I$675,Program_data!R$2)</f>
        <v>1429680000</v>
      </c>
      <c r="S521" s="5">
        <f>SUMIFS(EIAwtransport!$J$2:$J$675,EIAwtransport!$E$2:$E$675,Program_data!$E521,EIAwtransport!$I$2:$I$675,Program_data!S$2)</f>
        <v>158285451.98410821</v>
      </c>
      <c r="T521" s="5">
        <f>SUMIFS(EIAwtransport!$J$2:$J$675,EIAwtransport!$E$2:$E$675,Program_data!$E521,EIAwtransport!$I$2:$I$675,Program_data!T$2)</f>
        <v>1074614</v>
      </c>
      <c r="U521" s="24">
        <f t="shared" si="198"/>
        <v>0</v>
      </c>
      <c r="V521" s="24">
        <f t="shared" si="192"/>
        <v>0</v>
      </c>
      <c r="W521" s="24">
        <f t="shared" si="199"/>
        <v>2.587991718426501E-5</v>
      </c>
      <c r="X521" s="25">
        <f t="shared" si="200"/>
        <v>2.2563214285714279E-5</v>
      </c>
      <c r="Y521" s="8">
        <f t="shared" si="201"/>
        <v>4.9271185277575257E-2</v>
      </c>
      <c r="Z521" s="27">
        <f t="shared" si="202"/>
        <v>4.397368520583248E-3</v>
      </c>
      <c r="AA521" s="27"/>
      <c r="AB521" s="27"/>
      <c r="AC521" s="56">
        <f t="shared" si="189"/>
        <v>0</v>
      </c>
      <c r="AE521" s="20">
        <f t="shared" si="190"/>
        <v>0</v>
      </c>
      <c r="AF521" s="20">
        <f t="shared" si="191"/>
        <v>1930068000.0000002</v>
      </c>
      <c r="AG521">
        <f t="shared" si="195"/>
        <v>0</v>
      </c>
      <c r="AH521">
        <f t="shared" si="196"/>
        <v>0</v>
      </c>
      <c r="AI521">
        <f t="shared" si="197"/>
        <v>16695949475.283735</v>
      </c>
    </row>
    <row r="522" spans="1:35" x14ac:dyDescent="0.25">
      <c r="B522" s="4">
        <v>2026</v>
      </c>
      <c r="C522" s="4" t="s">
        <v>33</v>
      </c>
      <c r="D522" s="1" t="s">
        <v>81</v>
      </c>
      <c r="E522" s="4" t="str">
        <f t="shared" si="203"/>
        <v>FortisBC-CAN</v>
      </c>
      <c r="F522" s="4" t="s">
        <v>143</v>
      </c>
      <c r="G522" s="4">
        <v>1</v>
      </c>
      <c r="H522" s="11" t="s">
        <v>394</v>
      </c>
      <c r="I522" s="4"/>
      <c r="J522" s="4" t="s">
        <v>155</v>
      </c>
      <c r="K522" s="5">
        <v>0</v>
      </c>
      <c r="L522" s="38"/>
      <c r="M522" s="8">
        <v>37000</v>
      </c>
      <c r="N522" s="8">
        <v>0</v>
      </c>
      <c r="O522" s="8">
        <f>SUMIFS(EIAwtransport!$J$2:$J$675,EIAwtransport!$E$2:$E$675,Program_data!$E522,EIAwtransport!$H$2:$H$675,Program_data!$F522,EIAwtransport!$I$2:$I$675,Program_data!O$2)</f>
        <v>0</v>
      </c>
      <c r="P522" s="5">
        <f>SUMIFS(EIAwtransport!$J$2:$J$675,EIAwtransport!$E$2:$E$675,Program_data!$E522,EIAwtransport!$H$2:$H$675,Program_data!$F522,EIAwtransport!$I$2:$I$675,Program_data!P$2)</f>
        <v>0</v>
      </c>
      <c r="Q522" s="5">
        <f>SUMIFS(EIAwtransport!$J$2:$J$675,EIAwtransport!$E$2:$E$675,Program_data!$E522,EIAwtransport!$H$2:$H$675,Program_data!$F522,EIAwtransport!$I$2:$I$675,Program_data!Q$2)</f>
        <v>0</v>
      </c>
      <c r="R522" s="8">
        <f>SUMIFS(EIAwtransport!$J$2:$J$675,EIAwtransport!$E$2:$E$675,Program_data!$E522,EIAwtransport!$I$2:$I$675,Program_data!R$2)</f>
        <v>1429680000</v>
      </c>
      <c r="S522" s="5">
        <f>SUMIFS(EIAwtransport!$J$2:$J$675,EIAwtransport!$E$2:$E$675,Program_data!$E522,EIAwtransport!$I$2:$I$675,Program_data!S$2)</f>
        <v>158285451.98410821</v>
      </c>
      <c r="T522" s="5">
        <f>SUMIFS(EIAwtransport!$J$2:$J$675,EIAwtransport!$E$2:$E$675,Program_data!$E522,EIAwtransport!$I$2:$I$675,Program_data!T$2)</f>
        <v>1074614</v>
      </c>
      <c r="U522" s="24">
        <f t="shared" si="198"/>
        <v>0</v>
      </c>
      <c r="V522" s="24">
        <f t="shared" si="192"/>
        <v>0</v>
      </c>
      <c r="W522" s="24">
        <f t="shared" si="199"/>
        <v>2.587991718426501E-5</v>
      </c>
      <c r="X522" s="25">
        <f t="shared" si="200"/>
        <v>2.2563214285714279E-5</v>
      </c>
      <c r="Y522" s="8">
        <f t="shared" si="201"/>
        <v>4.2431133774165609E-2</v>
      </c>
      <c r="Z522" s="27">
        <f t="shared" si="202"/>
        <v>3.8222881778799873E-3</v>
      </c>
      <c r="AA522" s="27"/>
      <c r="AB522" s="27"/>
      <c r="AC522" s="56">
        <f t="shared" si="189"/>
        <v>0</v>
      </c>
      <c r="AE522" s="20">
        <f t="shared" si="190"/>
        <v>0</v>
      </c>
      <c r="AF522" s="20">
        <f t="shared" si="191"/>
        <v>1930068000.0000002</v>
      </c>
      <c r="AG522">
        <f t="shared" si="195"/>
        <v>0</v>
      </c>
      <c r="AH522">
        <f t="shared" si="196"/>
        <v>0</v>
      </c>
      <c r="AI522">
        <f t="shared" si="197"/>
        <v>16695949475.283735</v>
      </c>
    </row>
    <row r="523" spans="1:35" x14ac:dyDescent="0.25">
      <c r="B523" s="4">
        <v>2027</v>
      </c>
      <c r="C523" s="4" t="s">
        <v>33</v>
      </c>
      <c r="D523" s="1" t="s">
        <v>81</v>
      </c>
      <c r="E523" s="4" t="str">
        <f t="shared" si="203"/>
        <v>FortisBC-CAN</v>
      </c>
      <c r="F523" s="4" t="s">
        <v>143</v>
      </c>
      <c r="G523" s="4">
        <v>1</v>
      </c>
      <c r="H523" s="11" t="s">
        <v>394</v>
      </c>
      <c r="I523" s="4"/>
      <c r="J523" s="4" t="s">
        <v>155</v>
      </c>
      <c r="K523" s="5">
        <v>0</v>
      </c>
      <c r="L523" s="38"/>
      <c r="M523" s="8">
        <v>37000</v>
      </c>
      <c r="N523" s="8">
        <v>0</v>
      </c>
      <c r="O523" s="8">
        <f>SUMIFS(EIAwtransport!$J$2:$J$675,EIAwtransport!$E$2:$E$675,Program_data!$E523,EIAwtransport!$H$2:$H$675,Program_data!$F523,EIAwtransport!$I$2:$I$675,Program_data!O$2)</f>
        <v>0</v>
      </c>
      <c r="P523" s="5">
        <f>SUMIFS(EIAwtransport!$J$2:$J$675,EIAwtransport!$E$2:$E$675,Program_data!$E523,EIAwtransport!$H$2:$H$675,Program_data!$F523,EIAwtransport!$I$2:$I$675,Program_data!P$2)</f>
        <v>0</v>
      </c>
      <c r="Q523" s="5">
        <f>SUMIFS(EIAwtransport!$J$2:$J$675,EIAwtransport!$E$2:$E$675,Program_data!$E523,EIAwtransport!$H$2:$H$675,Program_data!$F523,EIAwtransport!$I$2:$I$675,Program_data!Q$2)</f>
        <v>0</v>
      </c>
      <c r="R523" s="8">
        <f>SUMIFS(EIAwtransport!$J$2:$J$675,EIAwtransport!$E$2:$E$675,Program_data!$E523,EIAwtransport!$I$2:$I$675,Program_data!R$2)</f>
        <v>1429680000</v>
      </c>
      <c r="S523" s="5">
        <f>SUMIFS(EIAwtransport!$J$2:$J$675,EIAwtransport!$E$2:$E$675,Program_data!$E523,EIAwtransport!$I$2:$I$675,Program_data!S$2)</f>
        <v>158285451.98410821</v>
      </c>
      <c r="T523" s="5">
        <f>SUMIFS(EIAwtransport!$J$2:$J$675,EIAwtransport!$E$2:$E$675,Program_data!$E523,EIAwtransport!$I$2:$I$675,Program_data!T$2)</f>
        <v>1074614</v>
      </c>
      <c r="U523" s="24">
        <f t="shared" si="198"/>
        <v>0</v>
      </c>
      <c r="V523" s="24">
        <f t="shared" si="192"/>
        <v>0</v>
      </c>
      <c r="W523" s="24">
        <f t="shared" si="199"/>
        <v>2.587991718426501E-5</v>
      </c>
      <c r="X523" s="25">
        <f t="shared" si="200"/>
        <v>2.2563214285714279E-5</v>
      </c>
      <c r="Y523" s="8">
        <f t="shared" si="201"/>
        <v>3.7244134737315727E-2</v>
      </c>
      <c r="Z523" s="27">
        <f t="shared" si="202"/>
        <v>3.461116469783451E-3</v>
      </c>
      <c r="AA523" s="27"/>
      <c r="AB523" s="27"/>
      <c r="AC523" s="56">
        <f t="shared" si="189"/>
        <v>0</v>
      </c>
      <c r="AE523" s="20">
        <f t="shared" si="190"/>
        <v>0</v>
      </c>
      <c r="AF523" s="20">
        <f t="shared" si="191"/>
        <v>1930068000.0000002</v>
      </c>
      <c r="AG523">
        <f t="shared" si="195"/>
        <v>0</v>
      </c>
      <c r="AH523">
        <f t="shared" si="196"/>
        <v>0</v>
      </c>
      <c r="AI523">
        <f t="shared" si="197"/>
        <v>16695949475.283735</v>
      </c>
    </row>
    <row r="524" spans="1:35" x14ac:dyDescent="0.25">
      <c r="A524" t="s">
        <v>310</v>
      </c>
      <c r="B524" s="4">
        <v>2024</v>
      </c>
      <c r="C524" s="4" t="s">
        <v>33</v>
      </c>
      <c r="D524" s="1" t="s">
        <v>81</v>
      </c>
      <c r="E524" s="4" t="str">
        <f t="shared" si="203"/>
        <v>FortisBC-CAN</v>
      </c>
      <c r="F524" s="4" t="s">
        <v>143</v>
      </c>
      <c r="G524" s="4">
        <v>1</v>
      </c>
      <c r="H524" s="11" t="s">
        <v>395</v>
      </c>
      <c r="I524" s="4"/>
      <c r="J524" s="4" t="s">
        <v>42</v>
      </c>
      <c r="K524" s="5">
        <v>1914.5905419999999</v>
      </c>
      <c r="L524" s="5">
        <f>K524/_xlfn.XLOOKUP(C524,'Utility target list'!$K$2:$K$8,'Utility target list'!$L$2:$L$8,1,0,1)</f>
        <v>2127.3228244444444</v>
      </c>
      <c r="M524" s="8">
        <v>56980</v>
      </c>
      <c r="N524" s="8">
        <v>53280</v>
      </c>
      <c r="O524" s="8">
        <f>SUMIFS(EIAwtransport!$J$2:$J$675,EIAwtransport!$E$2:$E$675,Program_data!$E524,EIAwtransport!$H$2:$H$675,Program_data!$F524,EIAwtransport!$I$2:$I$675,Program_data!O$2)</f>
        <v>0</v>
      </c>
      <c r="P524" s="5">
        <f>SUMIFS(EIAwtransport!$J$2:$J$675,EIAwtransport!$E$2:$E$675,Program_data!$E524,EIAwtransport!$H$2:$H$675,Program_data!$F524,EIAwtransport!$I$2:$I$675,Program_data!P$2)</f>
        <v>0</v>
      </c>
      <c r="Q524" s="5">
        <f>SUMIFS(EIAwtransport!$J$2:$J$675,EIAwtransport!$E$2:$E$675,Program_data!$E524,EIAwtransport!$H$2:$H$675,Program_data!$F524,EIAwtransport!$I$2:$I$675,Program_data!Q$2)</f>
        <v>0</v>
      </c>
      <c r="R524" s="8">
        <f>SUMIFS(EIAwtransport!$J$2:$J$675,EIAwtransport!$E$2:$E$675,Program_data!$E524,EIAwtransport!$I$2:$I$675,Program_data!R$2)</f>
        <v>1429680000</v>
      </c>
      <c r="S524" s="5">
        <f>SUMIFS(EIAwtransport!$J$2:$J$675,EIAwtransport!$E$2:$E$675,Program_data!$E524,EIAwtransport!$I$2:$I$675,Program_data!S$2)</f>
        <v>158285451.98410821</v>
      </c>
      <c r="T524" s="5">
        <f>SUMIFS(EIAwtransport!$J$2:$J$675,EIAwtransport!$E$2:$E$675,Program_data!$E524,EIAwtransport!$I$2:$I$675,Program_data!T$2)</f>
        <v>1074614</v>
      </c>
      <c r="U524" s="55">
        <f t="shared" si="198"/>
        <v>1.1675490991499415E-6</v>
      </c>
      <c r="V524" s="24">
        <f t="shared" si="192"/>
        <v>1.2972767768332685E-6</v>
      </c>
      <c r="W524" s="24">
        <f t="shared" si="199"/>
        <v>3.9855072463768117E-5</v>
      </c>
      <c r="X524" s="25">
        <f t="shared" si="200"/>
        <v>3.4747349999999988E-5</v>
      </c>
      <c r="Y524" s="8">
        <f t="shared" si="201"/>
        <v>9.3600118679893818E-2</v>
      </c>
      <c r="Z524" s="27">
        <f t="shared" si="202"/>
        <v>6.9893995673498176E-3</v>
      </c>
      <c r="AA524" s="27"/>
      <c r="AB524" s="27"/>
      <c r="AC524" s="56">
        <f t="shared" si="189"/>
        <v>1.6776255916537846E-5</v>
      </c>
      <c r="AE524" s="20">
        <f t="shared" si="190"/>
        <v>71928</v>
      </c>
      <c r="AF524" s="20">
        <f t="shared" si="191"/>
        <v>1930068000.0000002</v>
      </c>
      <c r="AG524">
        <f t="shared" si="195"/>
        <v>201951.01037015999</v>
      </c>
      <c r="AH524">
        <f t="shared" si="196"/>
        <v>224390.01152240002</v>
      </c>
      <c r="AI524">
        <f t="shared" si="197"/>
        <v>16695949475.283735</v>
      </c>
    </row>
    <row r="525" spans="1:35" x14ac:dyDescent="0.25">
      <c r="B525" s="4">
        <v>2025</v>
      </c>
      <c r="C525" s="4" t="s">
        <v>33</v>
      </c>
      <c r="D525" s="1" t="s">
        <v>81</v>
      </c>
      <c r="E525" s="4" t="str">
        <f t="shared" si="203"/>
        <v>FortisBC-CAN</v>
      </c>
      <c r="F525" s="4" t="s">
        <v>143</v>
      </c>
      <c r="G525" s="4">
        <v>1</v>
      </c>
      <c r="H525" s="11" t="s">
        <v>395</v>
      </c>
      <c r="I525" s="4"/>
      <c r="J525" s="4" t="s">
        <v>108</v>
      </c>
      <c r="K525" s="5">
        <v>1914.5905419999999</v>
      </c>
      <c r="L525" s="5">
        <f>K525/_xlfn.XLOOKUP(C525,'Utility target list'!$K$2:$K$8,'Utility target list'!$L$2:$L$8,1,0,1)</f>
        <v>2127.3228244444444</v>
      </c>
      <c r="M525" s="8">
        <v>56980</v>
      </c>
      <c r="N525" s="8">
        <v>53280</v>
      </c>
      <c r="O525" s="8">
        <f>SUMIFS(EIAwtransport!$J$2:$J$675,EIAwtransport!$E$2:$E$675,Program_data!$E525,EIAwtransport!$H$2:$H$675,Program_data!$F525,EIAwtransport!$I$2:$I$675,Program_data!O$2)</f>
        <v>0</v>
      </c>
      <c r="P525" s="5">
        <f>SUMIFS(EIAwtransport!$J$2:$J$675,EIAwtransport!$E$2:$E$675,Program_data!$E525,EIAwtransport!$H$2:$H$675,Program_data!$F525,EIAwtransport!$I$2:$I$675,Program_data!P$2)</f>
        <v>0</v>
      </c>
      <c r="Q525" s="5">
        <f>SUMIFS(EIAwtransport!$J$2:$J$675,EIAwtransport!$E$2:$E$675,Program_data!$E525,EIAwtransport!$H$2:$H$675,Program_data!$F525,EIAwtransport!$I$2:$I$675,Program_data!Q$2)</f>
        <v>0</v>
      </c>
      <c r="R525" s="8">
        <f>SUMIFS(EIAwtransport!$J$2:$J$675,EIAwtransport!$E$2:$E$675,Program_data!$E525,EIAwtransport!$I$2:$I$675,Program_data!R$2)</f>
        <v>1429680000</v>
      </c>
      <c r="S525" s="5">
        <f>SUMIFS(EIAwtransport!$J$2:$J$675,EIAwtransport!$E$2:$E$675,Program_data!$E525,EIAwtransport!$I$2:$I$675,Program_data!S$2)</f>
        <v>158285451.98410821</v>
      </c>
      <c r="T525" s="5">
        <f>SUMIFS(EIAwtransport!$J$2:$J$675,EIAwtransport!$E$2:$E$675,Program_data!$E525,EIAwtransport!$I$2:$I$675,Program_data!T$2)</f>
        <v>1074614</v>
      </c>
      <c r="U525" s="24">
        <f t="shared" si="198"/>
        <v>1.1675490991499415E-6</v>
      </c>
      <c r="V525" s="24">
        <f t="shared" si="192"/>
        <v>1.2972767768332685E-6</v>
      </c>
      <c r="W525" s="24">
        <f t="shared" si="199"/>
        <v>3.9855072463768117E-5</v>
      </c>
      <c r="X525" s="25">
        <f t="shared" si="200"/>
        <v>3.4747349999999988E-5</v>
      </c>
      <c r="Y525" s="8">
        <f t="shared" si="201"/>
        <v>7.5877625327465892E-2</v>
      </c>
      <c r="Z525" s="27">
        <f t="shared" si="202"/>
        <v>6.7719475216982015E-3</v>
      </c>
      <c r="AA525" s="27"/>
      <c r="AB525" s="27"/>
      <c r="AC525" s="56">
        <f t="shared" si="189"/>
        <v>2.1031066168579868E-5</v>
      </c>
      <c r="AE525" s="20">
        <f t="shared" si="190"/>
        <v>71928</v>
      </c>
      <c r="AF525" s="20">
        <f t="shared" si="191"/>
        <v>1930068000.0000002</v>
      </c>
      <c r="AG525">
        <f t="shared" si="195"/>
        <v>201951.01037015999</v>
      </c>
      <c r="AH525">
        <f t="shared" si="196"/>
        <v>224390.01152240002</v>
      </c>
      <c r="AI525">
        <f t="shared" si="197"/>
        <v>16695949475.283735</v>
      </c>
    </row>
    <row r="526" spans="1:35" x14ac:dyDescent="0.25">
      <c r="B526" s="4">
        <v>2026</v>
      </c>
      <c r="C526" s="4" t="s">
        <v>33</v>
      </c>
      <c r="D526" s="1" t="s">
        <v>81</v>
      </c>
      <c r="E526" s="4" t="str">
        <f t="shared" si="203"/>
        <v>FortisBC-CAN</v>
      </c>
      <c r="F526" s="4" t="s">
        <v>143</v>
      </c>
      <c r="G526" s="4">
        <v>1</v>
      </c>
      <c r="H526" s="11" t="s">
        <v>395</v>
      </c>
      <c r="I526" s="4"/>
      <c r="J526" s="4" t="s">
        <v>108</v>
      </c>
      <c r="K526" s="5">
        <v>2397.9772629999998</v>
      </c>
      <c r="L526" s="5">
        <f>K526/_xlfn.XLOOKUP(C526,'Utility target list'!$K$2:$K$8,'Utility target list'!$L$2:$L$8,1,0,1)</f>
        <v>2664.4191811111109</v>
      </c>
      <c r="M526" s="8">
        <v>67340</v>
      </c>
      <c r="N526" s="8">
        <v>63640</v>
      </c>
      <c r="O526" s="8">
        <f>SUMIFS(EIAwtransport!$J$2:$J$675,EIAwtransport!$E$2:$E$675,Program_data!$E526,EIAwtransport!$H$2:$H$675,Program_data!$F526,EIAwtransport!$I$2:$I$675,Program_data!O$2)</f>
        <v>0</v>
      </c>
      <c r="P526" s="5">
        <f>SUMIFS(EIAwtransport!$J$2:$J$675,EIAwtransport!$E$2:$E$675,Program_data!$E526,EIAwtransport!$H$2:$H$675,Program_data!$F526,EIAwtransport!$I$2:$I$675,Program_data!P$2)</f>
        <v>0</v>
      </c>
      <c r="Q526" s="5">
        <f>SUMIFS(EIAwtransport!$J$2:$J$675,EIAwtransport!$E$2:$E$675,Program_data!$E526,EIAwtransport!$H$2:$H$675,Program_data!$F526,EIAwtransport!$I$2:$I$675,Program_data!Q$2)</f>
        <v>0</v>
      </c>
      <c r="R526" s="8">
        <f>SUMIFS(EIAwtransport!$J$2:$J$675,EIAwtransport!$E$2:$E$675,Program_data!$E526,EIAwtransport!$I$2:$I$675,Program_data!R$2)</f>
        <v>1429680000</v>
      </c>
      <c r="S526" s="5">
        <f>SUMIFS(EIAwtransport!$J$2:$J$675,EIAwtransport!$E$2:$E$675,Program_data!$E526,EIAwtransport!$I$2:$I$675,Program_data!S$2)</f>
        <v>158285451.98410821</v>
      </c>
      <c r="T526" s="5">
        <f>SUMIFS(EIAwtransport!$J$2:$J$675,EIAwtransport!$E$2:$E$675,Program_data!$E526,EIAwtransport!$I$2:$I$675,Program_data!T$2)</f>
        <v>1074614</v>
      </c>
      <c r="U526" s="24">
        <f t="shared" si="198"/>
        <v>1.4623263469551248E-6</v>
      </c>
      <c r="V526" s="24">
        <f t="shared" si="192"/>
        <v>1.6248070521723611E-6</v>
      </c>
      <c r="W526" s="24">
        <f t="shared" si="199"/>
        <v>4.7101449275362317E-5</v>
      </c>
      <c r="X526" s="25">
        <f t="shared" si="200"/>
        <v>4.1065049999999984E-5</v>
      </c>
      <c r="Y526" s="8">
        <f t="shared" si="201"/>
        <v>7.7224663468981408E-2</v>
      </c>
      <c r="Z526" s="27">
        <f t="shared" si="202"/>
        <v>6.9565644837415765E-3</v>
      </c>
      <c r="AA526" s="27"/>
      <c r="AB526" s="27"/>
      <c r="AC526" s="56">
        <f t="shared" si="189"/>
        <v>2.3124695393378132E-5</v>
      </c>
      <c r="AE526" s="20">
        <f t="shared" si="190"/>
        <v>85914</v>
      </c>
      <c r="AF526" s="20">
        <f t="shared" si="191"/>
        <v>1930068000.0000002</v>
      </c>
      <c r="AG526">
        <f t="shared" si="195"/>
        <v>252938.64170123998</v>
      </c>
      <c r="AH526">
        <f t="shared" si="196"/>
        <v>281042.93522360001</v>
      </c>
      <c r="AI526">
        <f t="shared" si="197"/>
        <v>16695949475.283735</v>
      </c>
    </row>
    <row r="527" spans="1:35" x14ac:dyDescent="0.25">
      <c r="B527" s="4">
        <v>2027</v>
      </c>
      <c r="C527" s="4" t="s">
        <v>33</v>
      </c>
      <c r="D527" s="1" t="s">
        <v>81</v>
      </c>
      <c r="E527" s="4" t="str">
        <f t="shared" si="203"/>
        <v>FortisBC-CAN</v>
      </c>
      <c r="F527" s="4" t="s">
        <v>143</v>
      </c>
      <c r="G527" s="4">
        <v>1</v>
      </c>
      <c r="H527" s="11" t="s">
        <v>395</v>
      </c>
      <c r="I527" s="4"/>
      <c r="J527" s="4" t="s">
        <v>108</v>
      </c>
      <c r="K527" s="5">
        <v>2634.9315379999998</v>
      </c>
      <c r="L527" s="5">
        <f>K527/_xlfn.XLOOKUP(C527,'Utility target list'!$K$2:$K$8,'Utility target list'!$L$2:$L$8,1,0,1)</f>
        <v>2927.7017088888888</v>
      </c>
      <c r="M527" s="8">
        <v>78440</v>
      </c>
      <c r="N527" s="8">
        <v>74740</v>
      </c>
      <c r="O527" s="8">
        <f>SUMIFS(EIAwtransport!$J$2:$J$675,EIAwtransport!$E$2:$E$675,Program_data!$E527,EIAwtransport!$H$2:$H$675,Program_data!$F527,EIAwtransport!$I$2:$I$675,Program_data!O$2)</f>
        <v>0</v>
      </c>
      <c r="P527" s="5">
        <f>SUMIFS(EIAwtransport!$J$2:$J$675,EIAwtransport!$E$2:$E$675,Program_data!$E527,EIAwtransport!$H$2:$H$675,Program_data!$F527,EIAwtransport!$I$2:$I$675,Program_data!P$2)</f>
        <v>0</v>
      </c>
      <c r="Q527" s="5">
        <f>SUMIFS(EIAwtransport!$J$2:$J$675,EIAwtransport!$E$2:$E$675,Program_data!$E527,EIAwtransport!$H$2:$H$675,Program_data!$F527,EIAwtransport!$I$2:$I$675,Program_data!Q$2)</f>
        <v>0</v>
      </c>
      <c r="R527" s="8">
        <f>SUMIFS(EIAwtransport!$J$2:$J$675,EIAwtransport!$E$2:$E$675,Program_data!$E527,EIAwtransport!$I$2:$I$675,Program_data!R$2)</f>
        <v>1429680000</v>
      </c>
      <c r="S527" s="5">
        <f>SUMIFS(EIAwtransport!$J$2:$J$675,EIAwtransport!$E$2:$E$675,Program_data!$E527,EIAwtransport!$I$2:$I$675,Program_data!S$2)</f>
        <v>158285451.98410821</v>
      </c>
      <c r="T527" s="5">
        <f>SUMIFS(EIAwtransport!$J$2:$J$675,EIAwtransport!$E$2:$E$675,Program_data!$E527,EIAwtransport!$I$2:$I$675,Program_data!T$2)</f>
        <v>1074614</v>
      </c>
      <c r="U527" s="24">
        <f t="shared" si="198"/>
        <v>1.6068249978400186E-6</v>
      </c>
      <c r="V527" s="24">
        <f t="shared" si="192"/>
        <v>1.7853611087111318E-6</v>
      </c>
      <c r="W527" s="24">
        <f t="shared" si="199"/>
        <v>5.486542443064182E-5</v>
      </c>
      <c r="X527" s="25">
        <f t="shared" si="200"/>
        <v>4.783401428571427E-5</v>
      </c>
      <c r="Y527" s="8">
        <f t="shared" si="201"/>
        <v>7.8957565643109337E-2</v>
      </c>
      <c r="Z527" s="27">
        <f t="shared" si="202"/>
        <v>7.3375669159409171E-3</v>
      </c>
      <c r="AA527" s="27"/>
      <c r="AB527" s="27"/>
      <c r="AC527" s="56">
        <f t="shared" si="189"/>
        <v>2.290720141143324E-5</v>
      </c>
      <c r="AE527" s="20">
        <f t="shared" si="190"/>
        <v>100899</v>
      </c>
      <c r="AF527" s="20">
        <f t="shared" si="191"/>
        <v>1930068000.0000002</v>
      </c>
      <c r="AG527">
        <f t="shared" si="195"/>
        <v>277932.57862823998</v>
      </c>
      <c r="AH527">
        <f t="shared" si="196"/>
        <v>308813.97625359998</v>
      </c>
      <c r="AI527">
        <f t="shared" si="197"/>
        <v>16695949475.283735</v>
      </c>
    </row>
    <row r="528" spans="1:35" x14ac:dyDescent="0.25">
      <c r="A528" t="s">
        <v>310</v>
      </c>
      <c r="B528" s="4">
        <v>2024</v>
      </c>
      <c r="C528" s="4" t="s">
        <v>33</v>
      </c>
      <c r="D528" s="1" t="s">
        <v>81</v>
      </c>
      <c r="E528" s="4" t="str">
        <f t="shared" si="203"/>
        <v>FortisBC-CAN</v>
      </c>
      <c r="F528" s="4" t="s">
        <v>143</v>
      </c>
      <c r="G528" s="4">
        <v>1</v>
      </c>
      <c r="H528" s="11" t="s">
        <v>396</v>
      </c>
      <c r="I528" s="4"/>
      <c r="J528" s="4" t="s">
        <v>21</v>
      </c>
      <c r="K528" s="5">
        <v>52556.458194999999</v>
      </c>
      <c r="L528" s="5">
        <f>K528/_xlfn.XLOOKUP(C528,'Utility target list'!$K$2:$K$8,'Utility target list'!$L$2:$L$8,1,0,1)</f>
        <v>58396.064661111108</v>
      </c>
      <c r="M528" s="8">
        <v>845080</v>
      </c>
      <c r="N528" s="8">
        <v>808080</v>
      </c>
      <c r="O528" s="8">
        <f>SUMIFS(EIAwtransport!$J$2:$J$675,EIAwtransport!$E$2:$E$675,Program_data!$E528,EIAwtransport!$H$2:$H$675,Program_data!$F528,EIAwtransport!$I$2:$I$675,Program_data!O$2)</f>
        <v>0</v>
      </c>
      <c r="P528" s="5">
        <f>SUMIFS(EIAwtransport!$J$2:$J$675,EIAwtransport!$E$2:$E$675,Program_data!$E528,EIAwtransport!$H$2:$H$675,Program_data!$F528,EIAwtransport!$I$2:$I$675,Program_data!P$2)</f>
        <v>0</v>
      </c>
      <c r="Q528" s="5">
        <f>SUMIFS(EIAwtransport!$J$2:$J$675,EIAwtransport!$E$2:$E$675,Program_data!$E528,EIAwtransport!$H$2:$H$675,Program_data!$F528,EIAwtransport!$I$2:$I$675,Program_data!Q$2)</f>
        <v>0</v>
      </c>
      <c r="R528" s="8">
        <f>SUMIFS(EIAwtransport!$J$2:$J$675,EIAwtransport!$E$2:$E$675,Program_data!$E528,EIAwtransport!$I$2:$I$675,Program_data!R$2)</f>
        <v>1429680000</v>
      </c>
      <c r="S528" s="5">
        <f>SUMIFS(EIAwtransport!$J$2:$J$675,EIAwtransport!$E$2:$E$675,Program_data!$E528,EIAwtransport!$I$2:$I$675,Program_data!S$2)</f>
        <v>158285451.98410821</v>
      </c>
      <c r="T528" s="5">
        <f>SUMIFS(EIAwtransport!$J$2:$J$675,EIAwtransport!$E$2:$E$675,Program_data!$E528,EIAwtransport!$I$2:$I$675,Program_data!T$2)</f>
        <v>1074614</v>
      </c>
      <c r="U528" s="55">
        <f t="shared" si="198"/>
        <v>3.2049800766269432E-5</v>
      </c>
      <c r="V528" s="24">
        <f t="shared" si="192"/>
        <v>3.5610889740299374E-5</v>
      </c>
      <c r="W528" s="24">
        <f t="shared" si="199"/>
        <v>5.9109730848861286E-4</v>
      </c>
      <c r="X528" s="25">
        <f t="shared" si="200"/>
        <v>5.1534381428571408E-4</v>
      </c>
      <c r="Y528" s="8">
        <f t="shared" si="201"/>
        <v>1.3881991627589447</v>
      </c>
      <c r="Z528" s="27">
        <f t="shared" si="202"/>
        <v>0.10366096501186353</v>
      </c>
      <c r="AA528" s="27"/>
      <c r="AB528" s="27"/>
      <c r="AC528" s="56">
        <f t="shared" si="189"/>
        <v>4.605165299861503E-4</v>
      </c>
      <c r="AE528" s="20">
        <f t="shared" si="190"/>
        <v>1090908</v>
      </c>
      <c r="AF528" s="20">
        <f t="shared" si="191"/>
        <v>1930068000.0000002</v>
      </c>
      <c r="AG528">
        <f t="shared" si="195"/>
        <v>5543655.2104086</v>
      </c>
      <c r="AH528">
        <f t="shared" si="196"/>
        <v>6159616.9004539996</v>
      </c>
      <c r="AI528">
        <f t="shared" si="197"/>
        <v>16695949475.283735</v>
      </c>
    </row>
    <row r="529" spans="1:35" x14ac:dyDescent="0.25">
      <c r="B529" s="4">
        <v>2025</v>
      </c>
      <c r="C529" s="4" t="s">
        <v>33</v>
      </c>
      <c r="D529" s="1" t="s">
        <v>81</v>
      </c>
      <c r="E529" s="4" t="str">
        <f t="shared" si="203"/>
        <v>FortisBC-CAN</v>
      </c>
      <c r="F529" s="4" t="s">
        <v>143</v>
      </c>
      <c r="G529" s="4">
        <v>1</v>
      </c>
      <c r="H529" s="11" t="s">
        <v>396</v>
      </c>
      <c r="I529" s="4"/>
      <c r="J529" s="4" t="s">
        <v>108</v>
      </c>
      <c r="K529" s="5">
        <v>103236.238532</v>
      </c>
      <c r="L529" s="5">
        <f>K529/_xlfn.XLOOKUP(C529,'Utility target list'!$K$2:$K$8,'Utility target list'!$L$2:$L$8,1,0,1)</f>
        <v>114706.93170222222</v>
      </c>
      <c r="M529" s="8">
        <v>1568060</v>
      </c>
      <c r="N529" s="8">
        <v>1531060</v>
      </c>
      <c r="O529" s="8">
        <f>SUMIFS(EIAwtransport!$J$2:$J$675,EIAwtransport!$E$2:$E$675,Program_data!$E529,EIAwtransport!$H$2:$H$675,Program_data!$F529,EIAwtransport!$I$2:$I$675,Program_data!O$2)</f>
        <v>0</v>
      </c>
      <c r="P529" s="5">
        <f>SUMIFS(EIAwtransport!$J$2:$J$675,EIAwtransport!$E$2:$E$675,Program_data!$E529,EIAwtransport!$H$2:$H$675,Program_data!$F529,EIAwtransport!$I$2:$I$675,Program_data!P$2)</f>
        <v>0</v>
      </c>
      <c r="Q529" s="5">
        <f>SUMIFS(EIAwtransport!$J$2:$J$675,EIAwtransport!$E$2:$E$675,Program_data!$E529,EIAwtransport!$H$2:$H$675,Program_data!$F529,EIAwtransport!$I$2:$I$675,Program_data!Q$2)</f>
        <v>0</v>
      </c>
      <c r="R529" s="8">
        <f>SUMIFS(EIAwtransport!$J$2:$J$675,EIAwtransport!$E$2:$E$675,Program_data!$E529,EIAwtransport!$I$2:$I$675,Program_data!R$2)</f>
        <v>1429680000</v>
      </c>
      <c r="S529" s="5">
        <f>SUMIFS(EIAwtransport!$J$2:$J$675,EIAwtransport!$E$2:$E$675,Program_data!$E529,EIAwtransport!$I$2:$I$675,Program_data!S$2)</f>
        <v>158285451.98410821</v>
      </c>
      <c r="T529" s="5">
        <f>SUMIFS(EIAwtransport!$J$2:$J$675,EIAwtransport!$E$2:$E$675,Program_data!$E529,EIAwtransport!$I$2:$I$675,Program_data!T$2)</f>
        <v>1074614</v>
      </c>
      <c r="U529" s="24">
        <f t="shared" si="198"/>
        <v>6.2955172217530529E-5</v>
      </c>
      <c r="V529" s="24">
        <f t="shared" si="192"/>
        <v>6.9950191352811681E-5</v>
      </c>
      <c r="W529" s="24">
        <f t="shared" si="199"/>
        <v>1.0967908902691512E-3</v>
      </c>
      <c r="X529" s="25">
        <f t="shared" si="200"/>
        <v>9.5622902142857111E-4</v>
      </c>
      <c r="Y529" s="8">
        <f t="shared" si="201"/>
        <v>2.0881128320636391</v>
      </c>
      <c r="Z529" s="27">
        <f t="shared" si="202"/>
        <v>0.18636047790231805</v>
      </c>
      <c r="AA529" s="27"/>
      <c r="AB529" s="27"/>
      <c r="AC529" s="56">
        <f t="shared" si="189"/>
        <v>1.1340117460800592E-3</v>
      </c>
      <c r="AE529" s="20">
        <f t="shared" si="190"/>
        <v>2066931.0000000002</v>
      </c>
      <c r="AF529" s="20">
        <f t="shared" si="191"/>
        <v>1930068000.0000002</v>
      </c>
      <c r="AG529">
        <f t="shared" si="195"/>
        <v>10889358.440355361</v>
      </c>
      <c r="AH529">
        <f t="shared" si="196"/>
        <v>12099287.155950401</v>
      </c>
      <c r="AI529">
        <f t="shared" si="197"/>
        <v>16695949475.283735</v>
      </c>
    </row>
    <row r="530" spans="1:35" x14ac:dyDescent="0.25">
      <c r="B530" s="4">
        <v>2026</v>
      </c>
      <c r="C530" s="4" t="s">
        <v>33</v>
      </c>
      <c r="D530" s="1" t="s">
        <v>81</v>
      </c>
      <c r="E530" s="4" t="str">
        <f t="shared" si="203"/>
        <v>FortisBC-CAN</v>
      </c>
      <c r="F530" s="4" t="s">
        <v>143</v>
      </c>
      <c r="G530" s="4">
        <v>1</v>
      </c>
      <c r="H530" s="11" t="s">
        <v>396</v>
      </c>
      <c r="I530" s="4"/>
      <c r="J530" s="4" t="s">
        <v>108</v>
      </c>
      <c r="K530" s="5">
        <v>146892.694158</v>
      </c>
      <c r="L530" s="5">
        <f>K530/_xlfn.XLOOKUP(C530,'Utility target list'!$K$2:$K$8,'Utility target list'!$L$2:$L$8,1,0,1)</f>
        <v>163214.10462</v>
      </c>
      <c r="M530" s="8">
        <v>2202980</v>
      </c>
      <c r="N530" s="8">
        <v>2165980</v>
      </c>
      <c r="O530" s="8">
        <f>SUMIFS(EIAwtransport!$J$2:$J$675,EIAwtransport!$E$2:$E$675,Program_data!$E530,EIAwtransport!$H$2:$H$675,Program_data!$F530,EIAwtransport!$I$2:$I$675,Program_data!O$2)</f>
        <v>0</v>
      </c>
      <c r="P530" s="5">
        <f>SUMIFS(EIAwtransport!$J$2:$J$675,EIAwtransport!$E$2:$E$675,Program_data!$E530,EIAwtransport!$H$2:$H$675,Program_data!$F530,EIAwtransport!$I$2:$I$675,Program_data!P$2)</f>
        <v>0</v>
      </c>
      <c r="Q530" s="5">
        <f>SUMIFS(EIAwtransport!$J$2:$J$675,EIAwtransport!$E$2:$E$675,Program_data!$E530,EIAwtransport!$H$2:$H$675,Program_data!$F530,EIAwtransport!$I$2:$I$675,Program_data!Q$2)</f>
        <v>0</v>
      </c>
      <c r="R530" s="8">
        <f>SUMIFS(EIAwtransport!$J$2:$J$675,EIAwtransport!$E$2:$E$675,Program_data!$E530,EIAwtransport!$I$2:$I$675,Program_data!R$2)</f>
        <v>1429680000</v>
      </c>
      <c r="S530" s="5">
        <f>SUMIFS(EIAwtransport!$J$2:$J$675,EIAwtransport!$E$2:$E$675,Program_data!$E530,EIAwtransport!$I$2:$I$675,Program_data!S$2)</f>
        <v>158285451.98410821</v>
      </c>
      <c r="T530" s="5">
        <f>SUMIFS(EIAwtransport!$J$2:$J$675,EIAwtransport!$E$2:$E$675,Program_data!$E530,EIAwtransport!$I$2:$I$675,Program_data!T$2)</f>
        <v>1074614</v>
      </c>
      <c r="U530" s="24">
        <f t="shared" si="198"/>
        <v>8.9577603656563348E-5</v>
      </c>
      <c r="V530" s="24">
        <f t="shared" si="192"/>
        <v>9.9530670729514821E-5</v>
      </c>
      <c r="W530" s="24">
        <f t="shared" si="199"/>
        <v>1.5408902691511387E-3</v>
      </c>
      <c r="X530" s="25">
        <f t="shared" si="200"/>
        <v>1.3434137785714281E-3</v>
      </c>
      <c r="Y530" s="8">
        <f t="shared" si="201"/>
        <v>2.5263497049138204</v>
      </c>
      <c r="Z530" s="27">
        <f t="shared" si="202"/>
        <v>0.22757903811097444</v>
      </c>
      <c r="AA530" s="27"/>
      <c r="AB530" s="27"/>
      <c r="AC530" s="56">
        <f t="shared" si="189"/>
        <v>1.4165475462710449E-3</v>
      </c>
      <c r="AE530" s="20">
        <f t="shared" si="190"/>
        <v>2924073</v>
      </c>
      <c r="AF530" s="20">
        <f t="shared" si="191"/>
        <v>1930068000.0000002</v>
      </c>
      <c r="AG530">
        <f t="shared" si="195"/>
        <v>15494241.379785841</v>
      </c>
      <c r="AH530">
        <f t="shared" si="196"/>
        <v>17215823.755317602</v>
      </c>
      <c r="AI530">
        <f t="shared" si="197"/>
        <v>16695949475.283735</v>
      </c>
    </row>
    <row r="531" spans="1:35" x14ac:dyDescent="0.25">
      <c r="B531" s="4">
        <v>2027</v>
      </c>
      <c r="C531" s="4" t="s">
        <v>33</v>
      </c>
      <c r="D531" s="1" t="s">
        <v>81</v>
      </c>
      <c r="E531" s="4" t="str">
        <f t="shared" si="203"/>
        <v>FortisBC-CAN</v>
      </c>
      <c r="F531" s="4" t="s">
        <v>143</v>
      </c>
      <c r="G531" s="4">
        <v>1</v>
      </c>
      <c r="H531" s="11" t="s">
        <v>396</v>
      </c>
      <c r="I531" s="4"/>
      <c r="J531" s="4" t="s">
        <v>108</v>
      </c>
      <c r="K531" s="5">
        <v>160285.349781</v>
      </c>
      <c r="L531" s="5">
        <f>K531/_xlfn.XLOOKUP(C531,'Utility target list'!$K$2:$K$8,'Utility target list'!$L$2:$L$8,1,0,1)</f>
        <v>178094.83309</v>
      </c>
      <c r="M531" s="8">
        <v>2701740</v>
      </c>
      <c r="N531" s="8">
        <v>2664740</v>
      </c>
      <c r="O531" s="8">
        <f>SUMIFS(EIAwtransport!$J$2:$J$675,EIAwtransport!$E$2:$E$675,Program_data!$E531,EIAwtransport!$H$2:$H$675,Program_data!$F531,EIAwtransport!$I$2:$I$675,Program_data!O$2)</f>
        <v>0</v>
      </c>
      <c r="P531" s="5">
        <f>SUMIFS(EIAwtransport!$J$2:$J$675,EIAwtransport!$E$2:$E$675,Program_data!$E531,EIAwtransport!$H$2:$H$675,Program_data!$F531,EIAwtransport!$I$2:$I$675,Program_data!P$2)</f>
        <v>0</v>
      </c>
      <c r="Q531" s="5">
        <f>SUMIFS(EIAwtransport!$J$2:$J$675,EIAwtransport!$E$2:$E$675,Program_data!$E531,EIAwtransport!$H$2:$H$675,Program_data!$F531,EIAwtransport!$I$2:$I$675,Program_data!Q$2)</f>
        <v>0</v>
      </c>
      <c r="R531" s="8">
        <f>SUMIFS(EIAwtransport!$J$2:$J$675,EIAwtransport!$E$2:$E$675,Program_data!$E531,EIAwtransport!$I$2:$I$675,Program_data!R$2)</f>
        <v>1429680000</v>
      </c>
      <c r="S531" s="5">
        <f>SUMIFS(EIAwtransport!$J$2:$J$675,EIAwtransport!$E$2:$E$675,Program_data!$E531,EIAwtransport!$I$2:$I$675,Program_data!S$2)</f>
        <v>158285451.98410821</v>
      </c>
      <c r="T531" s="5">
        <f>SUMIFS(EIAwtransport!$J$2:$J$675,EIAwtransport!$E$2:$E$675,Program_data!$E531,EIAwtransport!$I$2:$I$675,Program_data!T$2)</f>
        <v>1074614</v>
      </c>
      <c r="U531" s="24">
        <f t="shared" si="198"/>
        <v>9.7744667404577545E-5</v>
      </c>
      <c r="V531" s="24">
        <f t="shared" si="192"/>
        <v>1.0860518600508617E-4</v>
      </c>
      <c r="W531" s="24">
        <f t="shared" si="199"/>
        <v>1.8897515527950309E-3</v>
      </c>
      <c r="X531" s="25">
        <f t="shared" si="200"/>
        <v>1.6475659071428566E-3</v>
      </c>
      <c r="Y531" s="8">
        <f t="shared" si="201"/>
        <v>2.7195667185187942</v>
      </c>
      <c r="Z531" s="27">
        <f t="shared" si="202"/>
        <v>0.25273072462358759</v>
      </c>
      <c r="AA531" s="27"/>
      <c r="AB531" s="27"/>
      <c r="AC531" s="56">
        <f t="shared" si="189"/>
        <v>1.3934664858588042E-3</v>
      </c>
      <c r="AE531" s="20">
        <f t="shared" si="190"/>
        <v>3597399.0000000005</v>
      </c>
      <c r="AF531" s="20">
        <f t="shared" si="191"/>
        <v>1930068000.0000002</v>
      </c>
      <c r="AG531">
        <f t="shared" si="195"/>
        <v>16906898.694899879</v>
      </c>
      <c r="AH531">
        <f t="shared" si="196"/>
        <v>18785442.9943332</v>
      </c>
      <c r="AI531">
        <f t="shared" si="197"/>
        <v>16695949475.283735</v>
      </c>
    </row>
    <row r="532" spans="1:35" x14ac:dyDescent="0.25">
      <c r="A532" t="s">
        <v>310</v>
      </c>
      <c r="B532" s="4">
        <v>2024</v>
      </c>
      <c r="C532" s="4" t="s">
        <v>33</v>
      </c>
      <c r="D532" s="1" t="s">
        <v>81</v>
      </c>
      <c r="E532" s="4" t="str">
        <f t="shared" si="203"/>
        <v>FortisBC-CAN</v>
      </c>
      <c r="F532" s="4" t="s">
        <v>143</v>
      </c>
      <c r="G532" s="4">
        <v>1</v>
      </c>
      <c r="H532" s="11" t="s">
        <v>397</v>
      </c>
      <c r="I532" s="4"/>
      <c r="J532" s="4" t="s">
        <v>27</v>
      </c>
      <c r="K532" s="5">
        <v>97890.550088000004</v>
      </c>
      <c r="L532" s="5">
        <f>K532/_xlfn.XLOOKUP(C532,'Utility target list'!$K$2:$K$8,'Utility target list'!$L$2:$L$8,1,0,1)</f>
        <v>108767.27787555556</v>
      </c>
      <c r="M532" s="8">
        <v>466940</v>
      </c>
      <c r="N532" s="8">
        <v>429940</v>
      </c>
      <c r="O532" s="8">
        <f>SUMIFS(EIAwtransport!$J$2:$J$675,EIAwtransport!$E$2:$E$675,Program_data!$E532,EIAwtransport!$H$2:$H$675,Program_data!$F532,EIAwtransport!$I$2:$I$675,Program_data!O$2)</f>
        <v>0</v>
      </c>
      <c r="P532" s="5">
        <f>SUMIFS(EIAwtransport!$J$2:$J$675,EIAwtransport!$E$2:$E$675,Program_data!$E532,EIAwtransport!$H$2:$H$675,Program_data!$F532,EIAwtransport!$I$2:$I$675,Program_data!P$2)</f>
        <v>0</v>
      </c>
      <c r="Q532" s="5">
        <f>SUMIFS(EIAwtransport!$J$2:$J$675,EIAwtransport!$E$2:$E$675,Program_data!$E532,EIAwtransport!$H$2:$H$675,Program_data!$F532,EIAwtransport!$I$2:$I$675,Program_data!Q$2)</f>
        <v>0</v>
      </c>
      <c r="R532" s="8">
        <f>SUMIFS(EIAwtransport!$J$2:$J$675,EIAwtransport!$E$2:$E$675,Program_data!$E532,EIAwtransport!$I$2:$I$675,Program_data!R$2)</f>
        <v>1429680000</v>
      </c>
      <c r="S532" s="5">
        <f>SUMIFS(EIAwtransport!$J$2:$J$675,EIAwtransport!$E$2:$E$675,Program_data!$E532,EIAwtransport!$I$2:$I$675,Program_data!S$2)</f>
        <v>158285451.98410821</v>
      </c>
      <c r="T532" s="5">
        <f>SUMIFS(EIAwtransport!$J$2:$J$675,EIAwtransport!$E$2:$E$675,Program_data!$E532,EIAwtransport!$I$2:$I$675,Program_data!T$2)</f>
        <v>1074614</v>
      </c>
      <c r="U532" s="55">
        <f t="shared" si="198"/>
        <v>5.9695282653567317E-5</v>
      </c>
      <c r="V532" s="24">
        <f t="shared" si="192"/>
        <v>6.632809183729701E-5</v>
      </c>
      <c r="W532" s="24">
        <f t="shared" si="199"/>
        <v>3.2660455486542442E-4</v>
      </c>
      <c r="X532" s="25">
        <f t="shared" si="200"/>
        <v>2.8474776428571416E-4</v>
      </c>
      <c r="Y532" s="8">
        <f t="shared" si="201"/>
        <v>0.7670347387923766</v>
      </c>
      <c r="Z532" s="27">
        <f t="shared" si="202"/>
        <v>5.727676788308747E-2</v>
      </c>
      <c r="AA532" s="27"/>
      <c r="AB532" s="27"/>
      <c r="AC532" s="56">
        <f t="shared" si="189"/>
        <v>8.5774837181189548E-4</v>
      </c>
      <c r="AE532" s="20">
        <f t="shared" si="190"/>
        <v>580419</v>
      </c>
      <c r="AF532" s="20">
        <f t="shared" si="191"/>
        <v>1930068000.0000002</v>
      </c>
      <c r="AG532">
        <f t="shared" si="195"/>
        <v>10325495.22328224</v>
      </c>
      <c r="AH532">
        <f t="shared" si="196"/>
        <v>11472772.470313601</v>
      </c>
      <c r="AI532">
        <f t="shared" si="197"/>
        <v>16695949475.283735</v>
      </c>
    </row>
    <row r="533" spans="1:35" x14ac:dyDescent="0.25">
      <c r="B533" s="4">
        <v>2025</v>
      </c>
      <c r="C533" s="4" t="s">
        <v>33</v>
      </c>
      <c r="D533" s="1" t="s">
        <v>81</v>
      </c>
      <c r="E533" s="4" t="str">
        <f t="shared" si="203"/>
        <v>FortisBC-CAN</v>
      </c>
      <c r="F533" s="4" t="s">
        <v>143</v>
      </c>
      <c r="G533" s="4">
        <v>1</v>
      </c>
      <c r="H533" s="11" t="s">
        <v>397</v>
      </c>
      <c r="I533" s="4"/>
      <c r="J533" s="4" t="s">
        <v>108</v>
      </c>
      <c r="K533" s="5">
        <v>105615.25945299999</v>
      </c>
      <c r="L533" s="5">
        <f>K533/_xlfn.XLOOKUP(C533,'Utility target list'!$K$2:$K$8,'Utility target list'!$L$2:$L$8,1,0,1)</f>
        <v>117350.2882811111</v>
      </c>
      <c r="M533" s="8">
        <v>800680</v>
      </c>
      <c r="N533" s="8">
        <v>763680</v>
      </c>
      <c r="O533" s="8">
        <f>SUMIFS(EIAwtransport!$J$2:$J$675,EIAwtransport!$E$2:$E$675,Program_data!$E533,EIAwtransport!$H$2:$H$675,Program_data!$F533,EIAwtransport!$I$2:$I$675,Program_data!O$2)</f>
        <v>0</v>
      </c>
      <c r="P533" s="5">
        <f>SUMIFS(EIAwtransport!$J$2:$J$675,EIAwtransport!$E$2:$E$675,Program_data!$E533,EIAwtransport!$H$2:$H$675,Program_data!$F533,EIAwtransport!$I$2:$I$675,Program_data!P$2)</f>
        <v>0</v>
      </c>
      <c r="Q533" s="5">
        <f>SUMIFS(EIAwtransport!$J$2:$J$675,EIAwtransport!$E$2:$E$675,Program_data!$E533,EIAwtransport!$H$2:$H$675,Program_data!$F533,EIAwtransport!$I$2:$I$675,Program_data!Q$2)</f>
        <v>0</v>
      </c>
      <c r="R533" s="8">
        <f>SUMIFS(EIAwtransport!$J$2:$J$675,EIAwtransport!$E$2:$E$675,Program_data!$E533,EIAwtransport!$I$2:$I$675,Program_data!R$2)</f>
        <v>1429680000</v>
      </c>
      <c r="S533" s="5">
        <f>SUMIFS(EIAwtransport!$J$2:$J$675,EIAwtransport!$E$2:$E$675,Program_data!$E533,EIAwtransport!$I$2:$I$675,Program_data!S$2)</f>
        <v>158285451.98410821</v>
      </c>
      <c r="T533" s="5">
        <f>SUMIFS(EIAwtransport!$J$2:$J$675,EIAwtransport!$E$2:$E$675,Program_data!$E533,EIAwtransport!$I$2:$I$675,Program_data!T$2)</f>
        <v>1074614</v>
      </c>
      <c r="U533" s="24">
        <f t="shared" si="198"/>
        <v>6.4405938672414852E-5</v>
      </c>
      <c r="V533" s="24">
        <f t="shared" si="192"/>
        <v>7.1562154080460945E-5</v>
      </c>
      <c r="W533" s="24">
        <f t="shared" si="199"/>
        <v>5.6004140786749482E-4</v>
      </c>
      <c r="X533" s="25">
        <f t="shared" si="200"/>
        <v>4.8826795714285691E-4</v>
      </c>
      <c r="Y533" s="8">
        <f t="shared" si="201"/>
        <v>1.0662284494067285</v>
      </c>
      <c r="Z533" s="27">
        <f t="shared" si="202"/>
        <v>9.5159054785421485E-2</v>
      </c>
      <c r="AA533" s="27"/>
      <c r="AB533" s="27"/>
      <c r="AC533" s="56">
        <f t="shared" si="189"/>
        <v>1.1601444075073537E-3</v>
      </c>
      <c r="AE533" s="20">
        <f t="shared" si="190"/>
        <v>1030968.0000000001</v>
      </c>
      <c r="AF533" s="20">
        <f t="shared" si="191"/>
        <v>1930068000.0000002</v>
      </c>
      <c r="AG533">
        <f t="shared" si="195"/>
        <v>11140297.56710244</v>
      </c>
      <c r="AH533">
        <f t="shared" si="196"/>
        <v>12378108.407891599</v>
      </c>
      <c r="AI533">
        <f t="shared" si="197"/>
        <v>16695949475.283735</v>
      </c>
    </row>
    <row r="534" spans="1:35" x14ac:dyDescent="0.25">
      <c r="B534" s="4">
        <v>2026</v>
      </c>
      <c r="C534" s="4" t="s">
        <v>33</v>
      </c>
      <c r="D534" s="1" t="s">
        <v>81</v>
      </c>
      <c r="E534" s="4" t="str">
        <f t="shared" si="203"/>
        <v>FortisBC-CAN</v>
      </c>
      <c r="F534" s="4" t="s">
        <v>143</v>
      </c>
      <c r="G534" s="4">
        <v>1</v>
      </c>
      <c r="H534" s="11" t="s">
        <v>397</v>
      </c>
      <c r="I534" s="4"/>
      <c r="J534" s="4" t="s">
        <v>108</v>
      </c>
      <c r="K534" s="5">
        <v>110619.73374099999</v>
      </c>
      <c r="L534" s="5">
        <f>K534/_xlfn.XLOOKUP(C534,'Utility target list'!$K$2:$K$8,'Utility target list'!$L$2:$L$8,1,0,1)</f>
        <v>122910.81526777777</v>
      </c>
      <c r="M534" s="8">
        <v>1015280</v>
      </c>
      <c r="N534" s="8">
        <v>978280</v>
      </c>
      <c r="O534" s="8">
        <f>SUMIFS(EIAwtransport!$J$2:$J$675,EIAwtransport!$E$2:$E$675,Program_data!$E534,EIAwtransport!$H$2:$H$675,Program_data!$F534,EIAwtransport!$I$2:$I$675,Program_data!O$2)</f>
        <v>0</v>
      </c>
      <c r="P534" s="5">
        <f>SUMIFS(EIAwtransport!$J$2:$J$675,EIAwtransport!$E$2:$E$675,Program_data!$E534,EIAwtransport!$H$2:$H$675,Program_data!$F534,EIAwtransport!$I$2:$I$675,Program_data!P$2)</f>
        <v>0</v>
      </c>
      <c r="Q534" s="5">
        <f>SUMIFS(EIAwtransport!$J$2:$J$675,EIAwtransport!$E$2:$E$675,Program_data!$E534,EIAwtransport!$H$2:$H$675,Program_data!$F534,EIAwtransport!$I$2:$I$675,Program_data!Q$2)</f>
        <v>0</v>
      </c>
      <c r="R534" s="8">
        <f>SUMIFS(EIAwtransport!$J$2:$J$675,EIAwtransport!$E$2:$E$675,Program_data!$E534,EIAwtransport!$I$2:$I$675,Program_data!R$2)</f>
        <v>1429680000</v>
      </c>
      <c r="S534" s="5">
        <f>SUMIFS(EIAwtransport!$J$2:$J$675,EIAwtransport!$E$2:$E$675,Program_data!$E534,EIAwtransport!$I$2:$I$675,Program_data!S$2)</f>
        <v>158285451.98410821</v>
      </c>
      <c r="T534" s="5">
        <f>SUMIFS(EIAwtransport!$J$2:$J$675,EIAwtransport!$E$2:$E$675,Program_data!$E534,EIAwtransport!$I$2:$I$675,Program_data!T$2)</f>
        <v>1074614</v>
      </c>
      <c r="U534" s="24">
        <f t="shared" si="198"/>
        <v>6.7457750179103802E-5</v>
      </c>
      <c r="V534" s="24">
        <f t="shared" si="192"/>
        <v>7.4953055754559781E-5</v>
      </c>
      <c r="W534" s="24">
        <f t="shared" si="199"/>
        <v>7.1014492753623186E-4</v>
      </c>
      <c r="X534" s="25">
        <f t="shared" si="200"/>
        <v>6.1913459999999969E-4</v>
      </c>
      <c r="Y534" s="8">
        <f t="shared" si="201"/>
        <v>1.1643103107631043</v>
      </c>
      <c r="Z534" s="27">
        <f t="shared" si="202"/>
        <v>0.10488358760102685</v>
      </c>
      <c r="AA534" s="27"/>
      <c r="AB534" s="27"/>
      <c r="AC534" s="56">
        <f t="shared" ref="AC534:AC597" si="204">IFERROR(K534/SUMIFS($M$3:$M$1234,$E$3:$E$1234,E534,$B$3:$B$1234,B534),"")</f>
        <v>1.0667522527119217E-3</v>
      </c>
      <c r="AE534" s="20">
        <f t="shared" si="190"/>
        <v>1320678</v>
      </c>
      <c r="AF534" s="20">
        <f t="shared" si="191"/>
        <v>1930068000.0000002</v>
      </c>
      <c r="AG534">
        <f t="shared" si="195"/>
        <v>11668169.515000679</v>
      </c>
      <c r="AH534">
        <f t="shared" si="196"/>
        <v>12964632.7944452</v>
      </c>
      <c r="AI534">
        <f t="shared" si="197"/>
        <v>16695949475.283735</v>
      </c>
    </row>
    <row r="535" spans="1:35" x14ac:dyDescent="0.25">
      <c r="B535" s="4">
        <v>2027</v>
      </c>
      <c r="C535" s="4" t="s">
        <v>33</v>
      </c>
      <c r="D535" s="1" t="s">
        <v>81</v>
      </c>
      <c r="E535" s="4" t="str">
        <f t="shared" si="203"/>
        <v>FortisBC-CAN</v>
      </c>
      <c r="F535" s="4" t="s">
        <v>143</v>
      </c>
      <c r="G535" s="4">
        <v>1</v>
      </c>
      <c r="H535" s="11" t="s">
        <v>397</v>
      </c>
      <c r="I535" s="4"/>
      <c r="J535" s="4" t="s">
        <v>108</v>
      </c>
      <c r="K535" s="5">
        <v>114088.74432699999</v>
      </c>
      <c r="L535" s="5">
        <f>K535/_xlfn.XLOOKUP(C535,'Utility target list'!$K$2:$K$8,'Utility target list'!$L$2:$L$8,1,0,1)</f>
        <v>126765.27147444444</v>
      </c>
      <c r="M535" s="8">
        <v>1185480</v>
      </c>
      <c r="N535" s="8">
        <v>1148480</v>
      </c>
      <c r="O535" s="8">
        <f>SUMIFS(EIAwtransport!$J$2:$J$675,EIAwtransport!$E$2:$E$675,Program_data!$E535,EIAwtransport!$H$2:$H$675,Program_data!$F535,EIAwtransport!$I$2:$I$675,Program_data!O$2)</f>
        <v>0</v>
      </c>
      <c r="P535" s="5">
        <f>SUMIFS(EIAwtransport!$J$2:$J$675,EIAwtransport!$E$2:$E$675,Program_data!$E535,EIAwtransport!$H$2:$H$675,Program_data!$F535,EIAwtransport!$I$2:$I$675,Program_data!P$2)</f>
        <v>0</v>
      </c>
      <c r="Q535" s="5">
        <f>SUMIFS(EIAwtransport!$J$2:$J$675,EIAwtransport!$E$2:$E$675,Program_data!$E535,EIAwtransport!$H$2:$H$675,Program_data!$F535,EIAwtransport!$I$2:$I$675,Program_data!Q$2)</f>
        <v>0</v>
      </c>
      <c r="R535" s="8">
        <f>SUMIFS(EIAwtransport!$J$2:$J$675,EIAwtransport!$E$2:$E$675,Program_data!$E535,EIAwtransport!$I$2:$I$675,Program_data!R$2)</f>
        <v>1429680000</v>
      </c>
      <c r="S535" s="5">
        <f>SUMIFS(EIAwtransport!$J$2:$J$675,EIAwtransport!$E$2:$E$675,Program_data!$E535,EIAwtransport!$I$2:$I$675,Program_data!S$2)</f>
        <v>158285451.98410821</v>
      </c>
      <c r="T535" s="5">
        <f>SUMIFS(EIAwtransport!$J$2:$J$675,EIAwtransport!$E$2:$E$675,Program_data!$E535,EIAwtransport!$I$2:$I$675,Program_data!T$2)</f>
        <v>1074614</v>
      </c>
      <c r="U535" s="24">
        <f t="shared" si="198"/>
        <v>6.9573210428058651E-5</v>
      </c>
      <c r="V535" s="24">
        <f t="shared" si="192"/>
        <v>7.7303567142287386E-5</v>
      </c>
      <c r="W535" s="24">
        <f t="shared" si="199"/>
        <v>8.2919254658385096E-4</v>
      </c>
      <c r="X535" s="25">
        <f t="shared" si="200"/>
        <v>7.229253857142854E-4</v>
      </c>
      <c r="Y535" s="8">
        <f t="shared" si="201"/>
        <v>1.1933020769835958</v>
      </c>
      <c r="Z535" s="27">
        <f t="shared" si="202"/>
        <v>0.11089417169186178</v>
      </c>
      <c r="AA535" s="27"/>
      <c r="AB535" s="27"/>
      <c r="AC535" s="56">
        <f t="shared" si="204"/>
        <v>9.9184886111302857E-4</v>
      </c>
      <c r="AE535" s="20">
        <f t="shared" si="190"/>
        <v>1550448</v>
      </c>
      <c r="AF535" s="20">
        <f t="shared" si="191"/>
        <v>1930068000.0000002</v>
      </c>
      <c r="AG535">
        <f t="shared" si="195"/>
        <v>12034080.751611959</v>
      </c>
      <c r="AH535">
        <f t="shared" si="196"/>
        <v>13371200.8351244</v>
      </c>
      <c r="AI535">
        <f t="shared" si="197"/>
        <v>16695949475.283735</v>
      </c>
    </row>
    <row r="536" spans="1:35" x14ac:dyDescent="0.25">
      <c r="B536" s="4"/>
      <c r="C536" s="4"/>
      <c r="D536" s="1"/>
      <c r="E536" s="4"/>
      <c r="F536" s="4"/>
      <c r="G536" s="4"/>
      <c r="H536" s="11"/>
      <c r="I536" s="4"/>
      <c r="J536" s="4"/>
      <c r="K536" s="5"/>
      <c r="L536" s="5"/>
      <c r="M536" s="8"/>
      <c r="N536" s="8"/>
      <c r="O536" s="8">
        <f>SUMIFS(EIAwtransport!$J$2:$J$675,EIAwtransport!$E$2:$E$675,Program_data!$E536,EIAwtransport!$H$2:$H$675,Program_data!$F536,EIAwtransport!$I$2:$I$675,Program_data!O$2)</f>
        <v>0</v>
      </c>
      <c r="P536" s="5">
        <f>SUMIFS(EIAwtransport!$J$2:$J$675,EIAwtransport!$E$2:$E$675,Program_data!$E536,EIAwtransport!$H$2:$H$675,Program_data!$F536,EIAwtransport!$I$2:$I$675,Program_data!P$2)</f>
        <v>0</v>
      </c>
      <c r="Q536" s="5">
        <f>SUMIFS(EIAwtransport!$J$2:$J$675,EIAwtransport!$E$2:$E$675,Program_data!$E536,EIAwtransport!$H$2:$H$675,Program_data!$F536,EIAwtransport!$I$2:$I$675,Program_data!Q$2)</f>
        <v>0</v>
      </c>
      <c r="R536" s="8">
        <f>SUMIFS(EIAwtransport!$J$2:$J$675,EIAwtransport!$E$2:$E$675,Program_data!$E536,EIAwtransport!$I$2:$I$675,Program_data!R$2)</f>
        <v>0</v>
      </c>
      <c r="S536" s="5">
        <f>SUMIFS(EIAwtransport!$J$2:$J$675,EIAwtransport!$E$2:$E$675,Program_data!$E536,EIAwtransport!$I$2:$I$675,Program_data!S$2)</f>
        <v>0</v>
      </c>
      <c r="T536" s="5">
        <f>SUMIFS(EIAwtransport!$J$2:$J$675,EIAwtransport!$E$2:$E$675,Program_data!$E536,EIAwtransport!$I$2:$I$675,Program_data!T$2)</f>
        <v>0</v>
      </c>
      <c r="U536" s="97" t="str">
        <f t="shared" si="198"/>
        <v/>
      </c>
      <c r="V536" s="24" t="str">
        <f t="shared" si="192"/>
        <v/>
      </c>
      <c r="W536" s="24" t="str">
        <f t="shared" si="199"/>
        <v/>
      </c>
      <c r="X536" s="25" t="str">
        <f t="shared" si="200"/>
        <v/>
      </c>
      <c r="Y536" s="8" t="str">
        <f t="shared" si="201"/>
        <v/>
      </c>
      <c r="Z536" s="27" t="str">
        <f t="shared" si="202"/>
        <v/>
      </c>
      <c r="AA536" s="27"/>
      <c r="AB536" s="27"/>
      <c r="AC536" s="56" t="str">
        <f t="shared" si="204"/>
        <v/>
      </c>
      <c r="AE536" s="20">
        <f t="shared" si="190"/>
        <v>0</v>
      </c>
      <c r="AF536" s="20">
        <f t="shared" si="191"/>
        <v>0</v>
      </c>
      <c r="AG536">
        <f t="shared" si="195"/>
        <v>0</v>
      </c>
      <c r="AH536">
        <f t="shared" si="196"/>
        <v>0</v>
      </c>
      <c r="AI536">
        <f t="shared" si="197"/>
        <v>0</v>
      </c>
    </row>
    <row r="537" spans="1:35" x14ac:dyDescent="0.25">
      <c r="B537" s="4">
        <v>2025</v>
      </c>
      <c r="C537" s="4" t="s">
        <v>33</v>
      </c>
      <c r="D537" s="1" t="s">
        <v>81</v>
      </c>
      <c r="E537" s="4" t="str">
        <f>D537&amp;"-"&amp;C537</f>
        <v>FortisBC-CAN</v>
      </c>
      <c r="F537" s="4" t="s">
        <v>155</v>
      </c>
      <c r="G537" s="4"/>
      <c r="H537" s="11" t="s">
        <v>398</v>
      </c>
      <c r="I537" s="4"/>
      <c r="J537" s="4" t="s">
        <v>155</v>
      </c>
      <c r="K537" s="5"/>
      <c r="L537" s="38"/>
      <c r="M537" s="8">
        <v>14800</v>
      </c>
      <c r="N537" s="8">
        <v>0</v>
      </c>
      <c r="O537" s="8">
        <f>SUMIFS(EIAwtransport!$J$2:$J$675,EIAwtransport!$E$2:$E$675,Program_data!$E537,EIAwtransport!$H$2:$H$675,Program_data!$F537,EIAwtransport!$I$2:$I$675,Program_data!O$2)</f>
        <v>0</v>
      </c>
      <c r="P537" s="5">
        <f>SUMIFS(EIAwtransport!$J$2:$J$675,EIAwtransport!$E$2:$E$675,Program_data!$E537,EIAwtransport!$H$2:$H$675,Program_data!$F537,EIAwtransport!$I$2:$I$675,Program_data!P$2)</f>
        <v>0</v>
      </c>
      <c r="Q537" s="5">
        <f>SUMIFS(EIAwtransport!$J$2:$J$675,EIAwtransport!$E$2:$E$675,Program_data!$E537,EIAwtransport!$H$2:$H$675,Program_data!$F537,EIAwtransport!$I$2:$I$675,Program_data!Q$2)</f>
        <v>0</v>
      </c>
      <c r="R537" s="8">
        <f>SUMIFS(EIAwtransport!$J$2:$J$675,EIAwtransport!$E$2:$E$675,Program_data!$E537,EIAwtransport!$I$2:$I$675,Program_data!R$2)</f>
        <v>1429680000</v>
      </c>
      <c r="S537" s="5">
        <f>SUMIFS(EIAwtransport!$J$2:$J$675,EIAwtransport!$E$2:$E$675,Program_data!$E537,EIAwtransport!$I$2:$I$675,Program_data!S$2)</f>
        <v>158285451.98410821</v>
      </c>
      <c r="T537" s="5">
        <f>SUMIFS(EIAwtransport!$J$2:$J$675,EIAwtransport!$E$2:$E$675,Program_data!$E537,EIAwtransport!$I$2:$I$675,Program_data!T$2)</f>
        <v>1074614</v>
      </c>
      <c r="U537" s="24">
        <f t="shared" si="198"/>
        <v>0</v>
      </c>
      <c r="V537" s="24">
        <f t="shared" si="192"/>
        <v>0</v>
      </c>
      <c r="W537" s="24">
        <f t="shared" si="199"/>
        <v>1.0351966873706003E-5</v>
      </c>
      <c r="X537" s="25">
        <f t="shared" si="200"/>
        <v>9.0252857142857104E-6</v>
      </c>
      <c r="Y537" s="8" t="str">
        <f t="shared" si="201"/>
        <v/>
      </c>
      <c r="Z537" s="27">
        <f t="shared" si="202"/>
        <v>1.758947408233299E-3</v>
      </c>
      <c r="AA537" s="27"/>
      <c r="AB537" s="27"/>
      <c r="AC537" s="56">
        <f t="shared" si="204"/>
        <v>0</v>
      </c>
      <c r="AE537" s="20">
        <f t="shared" si="190"/>
        <v>0</v>
      </c>
      <c r="AF537" s="20">
        <f t="shared" si="191"/>
        <v>1930068000.0000002</v>
      </c>
      <c r="AG537">
        <f t="shared" si="195"/>
        <v>0</v>
      </c>
      <c r="AH537">
        <f t="shared" si="196"/>
        <v>0</v>
      </c>
      <c r="AI537">
        <f t="shared" si="197"/>
        <v>16695949475.283735</v>
      </c>
    </row>
    <row r="538" spans="1:35" x14ac:dyDescent="0.25">
      <c r="B538" s="4">
        <v>2026</v>
      </c>
      <c r="C538" s="4" t="s">
        <v>33</v>
      </c>
      <c r="D538" s="1" t="s">
        <v>81</v>
      </c>
      <c r="E538" s="4" t="str">
        <f>D538&amp;"-"&amp;C538</f>
        <v>FortisBC-CAN</v>
      </c>
      <c r="F538" s="4" t="s">
        <v>155</v>
      </c>
      <c r="G538" s="4"/>
      <c r="H538" s="11" t="s">
        <v>398</v>
      </c>
      <c r="I538" s="4"/>
      <c r="J538" s="4" t="s">
        <v>155</v>
      </c>
      <c r="K538" s="5"/>
      <c r="L538" s="38"/>
      <c r="M538" s="8">
        <v>14800</v>
      </c>
      <c r="N538" s="8">
        <v>0</v>
      </c>
      <c r="O538" s="8">
        <f>SUMIFS(EIAwtransport!$J$2:$J$675,EIAwtransport!$E$2:$E$675,Program_data!$E538,EIAwtransport!$H$2:$H$675,Program_data!$F538,EIAwtransport!$I$2:$I$675,Program_data!O$2)</f>
        <v>0</v>
      </c>
      <c r="P538" s="5">
        <f>SUMIFS(EIAwtransport!$J$2:$J$675,EIAwtransport!$E$2:$E$675,Program_data!$E538,EIAwtransport!$H$2:$H$675,Program_data!$F538,EIAwtransport!$I$2:$I$675,Program_data!P$2)</f>
        <v>0</v>
      </c>
      <c r="Q538" s="5">
        <f>SUMIFS(EIAwtransport!$J$2:$J$675,EIAwtransport!$E$2:$E$675,Program_data!$E538,EIAwtransport!$H$2:$H$675,Program_data!$F538,EIAwtransport!$I$2:$I$675,Program_data!Q$2)</f>
        <v>0</v>
      </c>
      <c r="R538" s="8">
        <f>SUMIFS(EIAwtransport!$J$2:$J$675,EIAwtransport!$E$2:$E$675,Program_data!$E538,EIAwtransport!$I$2:$I$675,Program_data!R$2)</f>
        <v>1429680000</v>
      </c>
      <c r="S538" s="5">
        <f>SUMIFS(EIAwtransport!$J$2:$J$675,EIAwtransport!$E$2:$E$675,Program_data!$E538,EIAwtransport!$I$2:$I$675,Program_data!S$2)</f>
        <v>158285451.98410821</v>
      </c>
      <c r="T538" s="5">
        <f>SUMIFS(EIAwtransport!$J$2:$J$675,EIAwtransport!$E$2:$E$675,Program_data!$E538,EIAwtransport!$I$2:$I$675,Program_data!T$2)</f>
        <v>1074614</v>
      </c>
      <c r="U538" s="24">
        <f t="shared" si="198"/>
        <v>0</v>
      </c>
      <c r="V538" s="24">
        <f t="shared" si="192"/>
        <v>0</v>
      </c>
      <c r="W538" s="24">
        <f t="shared" si="199"/>
        <v>1.0351966873706003E-5</v>
      </c>
      <c r="X538" s="25">
        <f t="shared" si="200"/>
        <v>9.0252857142857104E-6</v>
      </c>
      <c r="Y538" s="8" t="str">
        <f t="shared" si="201"/>
        <v/>
      </c>
      <c r="Z538" s="27">
        <f t="shared" si="202"/>
        <v>1.528915271151995E-3</v>
      </c>
      <c r="AA538" s="27"/>
      <c r="AB538" s="27"/>
      <c r="AC538" s="56">
        <f t="shared" si="204"/>
        <v>0</v>
      </c>
      <c r="AE538" s="20">
        <f t="shared" si="190"/>
        <v>0</v>
      </c>
      <c r="AF538" s="20">
        <f t="shared" si="191"/>
        <v>1930068000.0000002</v>
      </c>
      <c r="AG538">
        <f t="shared" si="195"/>
        <v>0</v>
      </c>
      <c r="AH538">
        <f t="shared" si="196"/>
        <v>0</v>
      </c>
      <c r="AI538">
        <f t="shared" si="197"/>
        <v>16695949475.283735</v>
      </c>
    </row>
    <row r="539" spans="1:35" x14ac:dyDescent="0.25">
      <c r="B539" s="4">
        <v>2027</v>
      </c>
      <c r="C539" s="4" t="s">
        <v>33</v>
      </c>
      <c r="D539" s="1" t="s">
        <v>81</v>
      </c>
      <c r="E539" s="4" t="str">
        <f>D539&amp;"-"&amp;C539</f>
        <v>FortisBC-CAN</v>
      </c>
      <c r="F539" s="4" t="s">
        <v>155</v>
      </c>
      <c r="G539" s="4"/>
      <c r="H539" s="11" t="s">
        <v>398</v>
      </c>
      <c r="I539" s="4"/>
      <c r="J539" s="4" t="s">
        <v>155</v>
      </c>
      <c r="K539" s="5"/>
      <c r="L539" s="38"/>
      <c r="M539" s="8">
        <v>14800</v>
      </c>
      <c r="N539" s="8">
        <v>0</v>
      </c>
      <c r="O539" s="8">
        <f>SUMIFS(EIAwtransport!$J$2:$J$675,EIAwtransport!$E$2:$E$675,Program_data!$E539,EIAwtransport!$H$2:$H$675,Program_data!$F539,EIAwtransport!$I$2:$I$675,Program_data!O$2)</f>
        <v>0</v>
      </c>
      <c r="P539" s="5">
        <f>SUMIFS(EIAwtransport!$J$2:$J$675,EIAwtransport!$E$2:$E$675,Program_data!$E539,EIAwtransport!$H$2:$H$675,Program_data!$F539,EIAwtransport!$I$2:$I$675,Program_data!P$2)</f>
        <v>0</v>
      </c>
      <c r="Q539" s="5">
        <f>SUMIFS(EIAwtransport!$J$2:$J$675,EIAwtransport!$E$2:$E$675,Program_data!$E539,EIAwtransport!$H$2:$H$675,Program_data!$F539,EIAwtransport!$I$2:$I$675,Program_data!Q$2)</f>
        <v>0</v>
      </c>
      <c r="R539" s="8">
        <f>SUMIFS(EIAwtransport!$J$2:$J$675,EIAwtransport!$E$2:$E$675,Program_data!$E539,EIAwtransport!$I$2:$I$675,Program_data!R$2)</f>
        <v>1429680000</v>
      </c>
      <c r="S539" s="5">
        <f>SUMIFS(EIAwtransport!$J$2:$J$675,EIAwtransport!$E$2:$E$675,Program_data!$E539,EIAwtransport!$I$2:$I$675,Program_data!S$2)</f>
        <v>158285451.98410821</v>
      </c>
      <c r="T539" s="5">
        <f>SUMIFS(EIAwtransport!$J$2:$J$675,EIAwtransport!$E$2:$E$675,Program_data!$E539,EIAwtransport!$I$2:$I$675,Program_data!T$2)</f>
        <v>1074614</v>
      </c>
      <c r="U539" s="24">
        <f t="shared" si="198"/>
        <v>0</v>
      </c>
      <c r="V539" s="24">
        <f t="shared" si="192"/>
        <v>0</v>
      </c>
      <c r="W539" s="24">
        <f t="shared" si="199"/>
        <v>1.0351966873706003E-5</v>
      </c>
      <c r="X539" s="25">
        <f t="shared" si="200"/>
        <v>9.0252857142857104E-6</v>
      </c>
      <c r="Y539" s="8" t="str">
        <f t="shared" si="201"/>
        <v/>
      </c>
      <c r="Z539" s="27">
        <f t="shared" si="202"/>
        <v>1.3844465879133804E-3</v>
      </c>
      <c r="AA539" s="27"/>
      <c r="AB539" s="27"/>
      <c r="AC539" s="56">
        <f t="shared" si="204"/>
        <v>0</v>
      </c>
      <c r="AE539" s="20">
        <f t="shared" ref="AE539:AE604" si="205">N539*1.35</f>
        <v>0</v>
      </c>
      <c r="AF539" s="20">
        <f t="shared" ref="AF539:AF604" si="206">R539*1.35</f>
        <v>1930068000.0000002</v>
      </c>
      <c r="AG539">
        <f t="shared" si="195"/>
        <v>0</v>
      </c>
      <c r="AH539">
        <f t="shared" si="196"/>
        <v>0</v>
      </c>
      <c r="AI539">
        <f t="shared" si="197"/>
        <v>16695949475.283735</v>
      </c>
    </row>
    <row r="540" spans="1:35" x14ac:dyDescent="0.25">
      <c r="B540" s="4"/>
      <c r="C540" s="4"/>
      <c r="D540" s="1"/>
      <c r="E540" s="4"/>
      <c r="F540" s="4"/>
      <c r="G540" s="4"/>
      <c r="H540" s="11"/>
      <c r="I540" s="4"/>
      <c r="J540" s="4"/>
      <c r="K540" s="5"/>
      <c r="L540" s="5"/>
      <c r="M540" s="8"/>
      <c r="N540" s="8"/>
      <c r="O540" s="8">
        <f>SUMIFS(EIAwtransport!$J$2:$J$675,EIAwtransport!$E$2:$E$675,Program_data!$E540,EIAwtransport!$H$2:$H$675,Program_data!$F540,EIAwtransport!$I$2:$I$675,Program_data!O$2)</f>
        <v>0</v>
      </c>
      <c r="P540" s="5">
        <f>SUMIFS(EIAwtransport!$J$2:$J$675,EIAwtransport!$E$2:$E$675,Program_data!$E540,EIAwtransport!$H$2:$H$675,Program_data!$F540,EIAwtransport!$I$2:$I$675,Program_data!P$2)</f>
        <v>0</v>
      </c>
      <c r="Q540" s="5">
        <f>SUMIFS(EIAwtransport!$J$2:$J$675,EIAwtransport!$E$2:$E$675,Program_data!$E540,EIAwtransport!$H$2:$H$675,Program_data!$F540,EIAwtransport!$I$2:$I$675,Program_data!Q$2)</f>
        <v>0</v>
      </c>
      <c r="R540" s="8">
        <f>SUMIFS(EIAwtransport!$J$2:$J$675,EIAwtransport!$E$2:$E$675,Program_data!$E540,EIAwtransport!$I$2:$I$675,Program_data!R$2)</f>
        <v>0</v>
      </c>
      <c r="S540" s="5">
        <f>SUMIFS(EIAwtransport!$J$2:$J$675,EIAwtransport!$E$2:$E$675,Program_data!$E540,EIAwtransport!$I$2:$I$675,Program_data!S$2)</f>
        <v>0</v>
      </c>
      <c r="T540" s="5">
        <f>SUMIFS(EIAwtransport!$J$2:$J$675,EIAwtransport!$E$2:$E$675,Program_data!$E540,EIAwtransport!$I$2:$I$675,Program_data!T$2)</f>
        <v>0</v>
      </c>
      <c r="U540" s="97" t="str">
        <f t="shared" si="198"/>
        <v/>
      </c>
      <c r="V540" s="24" t="str">
        <f t="shared" si="192"/>
        <v/>
      </c>
      <c r="W540" s="24" t="str">
        <f t="shared" si="199"/>
        <v/>
      </c>
      <c r="X540" s="25" t="str">
        <f t="shared" si="200"/>
        <v/>
      </c>
      <c r="Y540" s="8" t="str">
        <f t="shared" si="201"/>
        <v/>
      </c>
      <c r="Z540" s="27" t="str">
        <f t="shared" si="202"/>
        <v/>
      </c>
      <c r="AA540" s="27"/>
      <c r="AB540" s="27"/>
      <c r="AC540" s="56" t="str">
        <f t="shared" si="204"/>
        <v/>
      </c>
      <c r="AE540" s="20">
        <f t="shared" si="205"/>
        <v>0</v>
      </c>
      <c r="AF540" s="20">
        <f t="shared" si="206"/>
        <v>0</v>
      </c>
      <c r="AG540">
        <f t="shared" si="195"/>
        <v>0</v>
      </c>
      <c r="AH540">
        <f t="shared" si="196"/>
        <v>0</v>
      </c>
      <c r="AI540">
        <f t="shared" si="197"/>
        <v>0</v>
      </c>
    </row>
    <row r="541" spans="1:35" x14ac:dyDescent="0.25">
      <c r="B541" s="4">
        <v>2025</v>
      </c>
      <c r="C541" s="4" t="s">
        <v>33</v>
      </c>
      <c r="D541" s="1" t="s">
        <v>81</v>
      </c>
      <c r="E541" s="4" t="str">
        <f>D541&amp;"-"&amp;C541</f>
        <v>FortisBC-CAN</v>
      </c>
      <c r="F541" s="4" t="s">
        <v>155</v>
      </c>
      <c r="G541" s="4"/>
      <c r="H541" s="11" t="s">
        <v>399</v>
      </c>
      <c r="I541" s="4"/>
      <c r="J541" s="4" t="s">
        <v>155</v>
      </c>
      <c r="K541" s="5">
        <v>0</v>
      </c>
      <c r="L541" s="38"/>
      <c r="M541" s="8">
        <v>414400</v>
      </c>
      <c r="N541" s="8">
        <v>407000</v>
      </c>
      <c r="O541" s="8">
        <f>SUMIFS(EIAwtransport!$J$2:$J$675,EIAwtransport!$E$2:$E$675,Program_data!$E541,EIAwtransport!$H$2:$H$675,Program_data!$F541,EIAwtransport!$I$2:$I$675,Program_data!O$2)</f>
        <v>0</v>
      </c>
      <c r="P541" s="5">
        <f>SUMIFS(EIAwtransport!$J$2:$J$675,EIAwtransport!$E$2:$E$675,Program_data!$E541,EIAwtransport!$H$2:$H$675,Program_data!$F541,EIAwtransport!$I$2:$I$675,Program_data!P$2)</f>
        <v>0</v>
      </c>
      <c r="Q541" s="5">
        <f>SUMIFS(EIAwtransport!$J$2:$J$675,EIAwtransport!$E$2:$E$675,Program_data!$E541,EIAwtransport!$H$2:$H$675,Program_data!$F541,EIAwtransport!$I$2:$I$675,Program_data!Q$2)</f>
        <v>0</v>
      </c>
      <c r="R541" s="8">
        <f>SUMIFS(EIAwtransport!$J$2:$J$675,EIAwtransport!$E$2:$E$675,Program_data!$E541,EIAwtransport!$I$2:$I$675,Program_data!R$2)</f>
        <v>1429680000</v>
      </c>
      <c r="S541" s="5">
        <f>SUMIFS(EIAwtransport!$J$2:$J$675,EIAwtransport!$E$2:$E$675,Program_data!$E541,EIAwtransport!$I$2:$I$675,Program_data!S$2)</f>
        <v>158285451.98410821</v>
      </c>
      <c r="T541" s="5">
        <f>SUMIFS(EIAwtransport!$J$2:$J$675,EIAwtransport!$E$2:$E$675,Program_data!$E541,EIAwtransport!$I$2:$I$675,Program_data!T$2)</f>
        <v>1074614</v>
      </c>
      <c r="U541" s="24">
        <f t="shared" si="198"/>
        <v>0</v>
      </c>
      <c r="V541" s="24">
        <f t="shared" si="192"/>
        <v>0</v>
      </c>
      <c r="W541" s="24">
        <f t="shared" si="199"/>
        <v>2.8985507246376811E-4</v>
      </c>
      <c r="X541" s="25">
        <f t="shared" si="200"/>
        <v>2.5270799999999993E-4</v>
      </c>
      <c r="Y541" s="8" t="str">
        <f t="shared" si="201"/>
        <v/>
      </c>
      <c r="Z541" s="27">
        <f t="shared" si="202"/>
        <v>4.9250527430532376E-2</v>
      </c>
      <c r="AA541" s="27"/>
      <c r="AB541" s="27"/>
      <c r="AC541" s="56">
        <f t="shared" si="204"/>
        <v>0</v>
      </c>
      <c r="AE541" s="20">
        <f t="shared" si="205"/>
        <v>549450</v>
      </c>
      <c r="AF541" s="20">
        <f t="shared" si="206"/>
        <v>1930068000.0000002</v>
      </c>
      <c r="AG541">
        <f t="shared" si="195"/>
        <v>0</v>
      </c>
      <c r="AH541">
        <f t="shared" si="196"/>
        <v>0</v>
      </c>
      <c r="AI541">
        <f t="shared" si="197"/>
        <v>16695949475.283735</v>
      </c>
    </row>
    <row r="542" spans="1:35" x14ac:dyDescent="0.25">
      <c r="B542" s="4">
        <v>2026</v>
      </c>
      <c r="C542" s="4" t="s">
        <v>33</v>
      </c>
      <c r="D542" s="1" t="s">
        <v>81</v>
      </c>
      <c r="E542" s="4" t="str">
        <f>D542&amp;"-"&amp;C542</f>
        <v>FortisBC-CAN</v>
      </c>
      <c r="F542" s="4" t="s">
        <v>155</v>
      </c>
      <c r="G542" s="4"/>
      <c r="H542" s="11" t="s">
        <v>399</v>
      </c>
      <c r="I542" s="4"/>
      <c r="J542" s="4" t="s">
        <v>155</v>
      </c>
      <c r="K542" s="5">
        <v>0</v>
      </c>
      <c r="L542" s="38"/>
      <c r="M542" s="8">
        <v>451400</v>
      </c>
      <c r="N542" s="8">
        <v>444000</v>
      </c>
      <c r="O542" s="8">
        <f>SUMIFS(EIAwtransport!$J$2:$J$675,EIAwtransport!$E$2:$E$675,Program_data!$E542,EIAwtransport!$H$2:$H$675,Program_data!$F542,EIAwtransport!$I$2:$I$675,Program_data!O$2)</f>
        <v>0</v>
      </c>
      <c r="P542" s="5">
        <f>SUMIFS(EIAwtransport!$J$2:$J$675,EIAwtransport!$E$2:$E$675,Program_data!$E542,EIAwtransport!$H$2:$H$675,Program_data!$F542,EIAwtransport!$I$2:$I$675,Program_data!P$2)</f>
        <v>0</v>
      </c>
      <c r="Q542" s="5">
        <f>SUMIFS(EIAwtransport!$J$2:$J$675,EIAwtransport!$E$2:$E$675,Program_data!$E542,EIAwtransport!$H$2:$H$675,Program_data!$F542,EIAwtransport!$I$2:$I$675,Program_data!Q$2)</f>
        <v>0</v>
      </c>
      <c r="R542" s="8">
        <f>SUMIFS(EIAwtransport!$J$2:$J$675,EIAwtransport!$E$2:$E$675,Program_data!$E542,EIAwtransport!$I$2:$I$675,Program_data!R$2)</f>
        <v>1429680000</v>
      </c>
      <c r="S542" s="5">
        <f>SUMIFS(EIAwtransport!$J$2:$J$675,EIAwtransport!$E$2:$E$675,Program_data!$E542,EIAwtransport!$I$2:$I$675,Program_data!S$2)</f>
        <v>158285451.98410821</v>
      </c>
      <c r="T542" s="5">
        <f>SUMIFS(EIAwtransport!$J$2:$J$675,EIAwtransport!$E$2:$E$675,Program_data!$E542,EIAwtransport!$I$2:$I$675,Program_data!T$2)</f>
        <v>1074614</v>
      </c>
      <c r="U542" s="24">
        <f t="shared" si="198"/>
        <v>0</v>
      </c>
      <c r="V542" s="24">
        <f t="shared" ref="V542:V607" si="207">IFERROR(L542/10.36/S542,"")</f>
        <v>0</v>
      </c>
      <c r="W542" s="24">
        <f t="shared" si="199"/>
        <v>3.1573498964803314E-4</v>
      </c>
      <c r="X542" s="25">
        <f t="shared" si="200"/>
        <v>2.7527121428571417E-4</v>
      </c>
      <c r="Y542" s="8" t="str">
        <f t="shared" si="201"/>
        <v/>
      </c>
      <c r="Z542" s="27">
        <f t="shared" si="202"/>
        <v>4.6631915770135847E-2</v>
      </c>
      <c r="AA542" s="27"/>
      <c r="AB542" s="27"/>
      <c r="AC542" s="56">
        <f t="shared" si="204"/>
        <v>0</v>
      </c>
      <c r="AE542" s="20">
        <f t="shared" si="205"/>
        <v>599400</v>
      </c>
      <c r="AF542" s="20">
        <f t="shared" si="206"/>
        <v>1930068000.0000002</v>
      </c>
      <c r="AG542">
        <f t="shared" si="195"/>
        <v>0</v>
      </c>
      <c r="AH542">
        <f t="shared" si="196"/>
        <v>0</v>
      </c>
      <c r="AI542">
        <f t="shared" si="197"/>
        <v>16695949475.283735</v>
      </c>
    </row>
    <row r="543" spans="1:35" x14ac:dyDescent="0.25">
      <c r="B543" s="4">
        <v>2027</v>
      </c>
      <c r="C543" s="4" t="s">
        <v>33</v>
      </c>
      <c r="D543" s="1" t="s">
        <v>81</v>
      </c>
      <c r="E543" s="4" t="str">
        <f>D543&amp;"-"&amp;C543</f>
        <v>FortisBC-CAN</v>
      </c>
      <c r="F543" s="4" t="s">
        <v>155</v>
      </c>
      <c r="G543" s="4"/>
      <c r="H543" s="11" t="s">
        <v>399</v>
      </c>
      <c r="I543" s="4"/>
      <c r="J543" s="4" t="s">
        <v>155</v>
      </c>
      <c r="K543" s="5">
        <v>0</v>
      </c>
      <c r="L543" s="38"/>
      <c r="M543" s="8">
        <v>488400</v>
      </c>
      <c r="N543" s="8">
        <v>481000</v>
      </c>
      <c r="O543" s="8">
        <f>SUMIFS(EIAwtransport!$J$2:$J$675,EIAwtransport!$E$2:$E$675,Program_data!$E543,EIAwtransport!$H$2:$H$675,Program_data!$F543,EIAwtransport!$I$2:$I$675,Program_data!O$2)</f>
        <v>0</v>
      </c>
      <c r="P543" s="5">
        <f>SUMIFS(EIAwtransport!$J$2:$J$675,EIAwtransport!$E$2:$E$675,Program_data!$E543,EIAwtransport!$H$2:$H$675,Program_data!$F543,EIAwtransport!$I$2:$I$675,Program_data!P$2)</f>
        <v>0</v>
      </c>
      <c r="Q543" s="5">
        <f>SUMIFS(EIAwtransport!$J$2:$J$675,EIAwtransport!$E$2:$E$675,Program_data!$E543,EIAwtransport!$H$2:$H$675,Program_data!$F543,EIAwtransport!$I$2:$I$675,Program_data!Q$2)</f>
        <v>0</v>
      </c>
      <c r="R543" s="8">
        <f>SUMIFS(EIAwtransport!$J$2:$J$675,EIAwtransport!$E$2:$E$675,Program_data!$E543,EIAwtransport!$I$2:$I$675,Program_data!R$2)</f>
        <v>1429680000</v>
      </c>
      <c r="S543" s="5">
        <f>SUMIFS(EIAwtransport!$J$2:$J$675,EIAwtransport!$E$2:$E$675,Program_data!$E543,EIAwtransport!$I$2:$I$675,Program_data!S$2)</f>
        <v>158285451.98410821</v>
      </c>
      <c r="T543" s="5">
        <f>SUMIFS(EIAwtransport!$J$2:$J$675,EIAwtransport!$E$2:$E$675,Program_data!$E543,EIAwtransport!$I$2:$I$675,Program_data!T$2)</f>
        <v>1074614</v>
      </c>
      <c r="U543" s="24">
        <f t="shared" si="198"/>
        <v>0</v>
      </c>
      <c r="V543" s="24">
        <f t="shared" si="207"/>
        <v>0</v>
      </c>
      <c r="W543" s="24">
        <f t="shared" si="199"/>
        <v>3.4161490683229812E-4</v>
      </c>
      <c r="X543" s="25">
        <f t="shared" si="200"/>
        <v>2.9783442857142848E-4</v>
      </c>
      <c r="Y543" s="8" t="str">
        <f t="shared" si="201"/>
        <v/>
      </c>
      <c r="Z543" s="27">
        <f t="shared" si="202"/>
        <v>4.5686737401141556E-2</v>
      </c>
      <c r="AA543" s="27"/>
      <c r="AB543" s="27"/>
      <c r="AC543" s="56">
        <f t="shared" si="204"/>
        <v>0</v>
      </c>
      <c r="AE543" s="20">
        <f t="shared" si="205"/>
        <v>649350</v>
      </c>
      <c r="AF543" s="20">
        <f t="shared" si="206"/>
        <v>1930068000.0000002</v>
      </c>
      <c r="AG543">
        <f t="shared" si="195"/>
        <v>0</v>
      </c>
      <c r="AH543">
        <f t="shared" si="196"/>
        <v>0</v>
      </c>
      <c r="AI543">
        <f t="shared" si="197"/>
        <v>16695949475.283735</v>
      </c>
    </row>
    <row r="544" spans="1:35" x14ac:dyDescent="0.25">
      <c r="B544" s="4"/>
      <c r="C544" s="4"/>
      <c r="D544" s="1"/>
      <c r="E544" s="4"/>
      <c r="F544" s="4"/>
      <c r="G544" s="4"/>
      <c r="H544" s="11"/>
      <c r="I544" s="4"/>
      <c r="J544" s="4"/>
      <c r="K544" s="5"/>
      <c r="L544" s="5"/>
      <c r="M544" s="8"/>
      <c r="N544" s="8"/>
      <c r="O544" s="8">
        <f>SUMIFS(EIAwtransport!$J$2:$J$675,EIAwtransport!$E$2:$E$675,Program_data!$E544,EIAwtransport!$H$2:$H$675,Program_data!$F544,EIAwtransport!$I$2:$I$675,Program_data!O$2)</f>
        <v>0</v>
      </c>
      <c r="P544" s="5">
        <f>SUMIFS(EIAwtransport!$J$2:$J$675,EIAwtransport!$E$2:$E$675,Program_data!$E544,EIAwtransport!$H$2:$H$675,Program_data!$F544,EIAwtransport!$I$2:$I$675,Program_data!P$2)</f>
        <v>0</v>
      </c>
      <c r="Q544" s="5">
        <f>SUMIFS(EIAwtransport!$J$2:$J$675,EIAwtransport!$E$2:$E$675,Program_data!$E544,EIAwtransport!$H$2:$H$675,Program_data!$F544,EIAwtransport!$I$2:$I$675,Program_data!Q$2)</f>
        <v>0</v>
      </c>
      <c r="R544" s="8">
        <f>SUMIFS(EIAwtransport!$J$2:$J$675,EIAwtransport!$E$2:$E$675,Program_data!$E544,EIAwtransport!$I$2:$I$675,Program_data!R$2)</f>
        <v>0</v>
      </c>
      <c r="S544" s="5">
        <f>SUMIFS(EIAwtransport!$J$2:$J$675,EIAwtransport!$E$2:$E$675,Program_data!$E544,EIAwtransport!$I$2:$I$675,Program_data!S$2)</f>
        <v>0</v>
      </c>
      <c r="T544" s="5">
        <f>SUMIFS(EIAwtransport!$J$2:$J$675,EIAwtransport!$E$2:$E$675,Program_data!$E544,EIAwtransport!$I$2:$I$675,Program_data!T$2)</f>
        <v>0</v>
      </c>
      <c r="U544" s="97" t="str">
        <f t="shared" si="198"/>
        <v/>
      </c>
      <c r="V544" s="24" t="str">
        <f t="shared" si="207"/>
        <v/>
      </c>
      <c r="W544" s="24" t="str">
        <f t="shared" si="199"/>
        <v/>
      </c>
      <c r="X544" s="25" t="str">
        <f t="shared" si="200"/>
        <v/>
      </c>
      <c r="Y544" s="8" t="str">
        <f t="shared" si="201"/>
        <v/>
      </c>
      <c r="Z544" s="27" t="str">
        <f t="shared" si="202"/>
        <v/>
      </c>
      <c r="AA544" s="27"/>
      <c r="AB544" s="27"/>
      <c r="AC544" s="56" t="str">
        <f t="shared" si="204"/>
        <v/>
      </c>
      <c r="AE544" s="20">
        <f t="shared" si="205"/>
        <v>0</v>
      </c>
      <c r="AF544" s="20">
        <f t="shared" si="206"/>
        <v>0</v>
      </c>
      <c r="AG544">
        <f t="shared" si="195"/>
        <v>0</v>
      </c>
      <c r="AH544">
        <f t="shared" si="196"/>
        <v>0</v>
      </c>
      <c r="AI544">
        <f t="shared" si="197"/>
        <v>0</v>
      </c>
    </row>
    <row r="545" spans="1:37" x14ac:dyDescent="0.25">
      <c r="B545" s="4">
        <v>2025</v>
      </c>
      <c r="C545" s="4" t="s">
        <v>33</v>
      </c>
      <c r="D545" s="1" t="s">
        <v>81</v>
      </c>
      <c r="E545" s="4" t="str">
        <f>D545&amp;"-"&amp;C545</f>
        <v>FortisBC-CAN</v>
      </c>
      <c r="F545" s="4" t="s">
        <v>155</v>
      </c>
      <c r="G545" s="4"/>
      <c r="H545" s="11" t="s">
        <v>400</v>
      </c>
      <c r="I545" s="4"/>
      <c r="J545" s="4" t="s">
        <v>155</v>
      </c>
      <c r="K545" s="5">
        <v>0</v>
      </c>
      <c r="L545" s="38"/>
      <c r="M545" s="8">
        <v>259000</v>
      </c>
      <c r="N545" s="8">
        <v>0</v>
      </c>
      <c r="O545" s="8">
        <f>SUMIFS(EIAwtransport!$J$2:$J$675,EIAwtransport!$E$2:$E$675,Program_data!$E545,EIAwtransport!$H$2:$H$675,Program_data!$F545,EIAwtransport!$I$2:$I$675,Program_data!O$2)</f>
        <v>0</v>
      </c>
      <c r="P545" s="5">
        <f>SUMIFS(EIAwtransport!$J$2:$J$675,EIAwtransport!$E$2:$E$675,Program_data!$E545,EIAwtransport!$H$2:$H$675,Program_data!$F545,EIAwtransport!$I$2:$I$675,Program_data!P$2)</f>
        <v>0</v>
      </c>
      <c r="Q545" s="5">
        <f>SUMIFS(EIAwtransport!$J$2:$J$675,EIAwtransport!$E$2:$E$675,Program_data!$E545,EIAwtransport!$H$2:$H$675,Program_data!$F545,EIAwtransport!$I$2:$I$675,Program_data!Q$2)</f>
        <v>0</v>
      </c>
      <c r="R545" s="8">
        <f>SUMIFS(EIAwtransport!$J$2:$J$675,EIAwtransport!$E$2:$E$675,Program_data!$E545,EIAwtransport!$I$2:$I$675,Program_data!R$2)</f>
        <v>1429680000</v>
      </c>
      <c r="S545" s="5">
        <f>SUMIFS(EIAwtransport!$J$2:$J$675,EIAwtransport!$E$2:$E$675,Program_data!$E545,EIAwtransport!$I$2:$I$675,Program_data!S$2)</f>
        <v>158285451.98410821</v>
      </c>
      <c r="T545" s="5">
        <f>SUMIFS(EIAwtransport!$J$2:$J$675,EIAwtransport!$E$2:$E$675,Program_data!$E545,EIAwtransport!$I$2:$I$675,Program_data!T$2)</f>
        <v>1074614</v>
      </c>
      <c r="U545" s="24">
        <f t="shared" si="198"/>
        <v>0</v>
      </c>
      <c r="V545" s="24">
        <f t="shared" si="207"/>
        <v>0</v>
      </c>
      <c r="W545" s="24">
        <f t="shared" si="199"/>
        <v>1.8115942028985507E-4</v>
      </c>
      <c r="X545" s="25">
        <f t="shared" si="200"/>
        <v>1.5794249999999993E-4</v>
      </c>
      <c r="Y545" s="8" t="str">
        <f t="shared" si="201"/>
        <v/>
      </c>
      <c r="Z545" s="27">
        <f t="shared" si="202"/>
        <v>3.0781579644082735E-2</v>
      </c>
      <c r="AA545" s="27"/>
      <c r="AB545" s="27"/>
      <c r="AC545" s="56">
        <f t="shared" si="204"/>
        <v>0</v>
      </c>
      <c r="AE545" s="20">
        <f t="shared" si="205"/>
        <v>0</v>
      </c>
      <c r="AF545" s="20">
        <f t="shared" si="206"/>
        <v>1930068000.0000002</v>
      </c>
      <c r="AG545">
        <f t="shared" si="195"/>
        <v>0</v>
      </c>
      <c r="AH545">
        <f t="shared" si="196"/>
        <v>0</v>
      </c>
      <c r="AI545">
        <f t="shared" si="197"/>
        <v>16695949475.283735</v>
      </c>
    </row>
    <row r="546" spans="1:37" x14ac:dyDescent="0.25">
      <c r="B546" s="4">
        <v>2026</v>
      </c>
      <c r="C546" s="4" t="s">
        <v>33</v>
      </c>
      <c r="D546" s="1" t="s">
        <v>81</v>
      </c>
      <c r="E546" s="4" t="str">
        <f>D546&amp;"-"&amp;C546</f>
        <v>FortisBC-CAN</v>
      </c>
      <c r="F546" s="4" t="s">
        <v>155</v>
      </c>
      <c r="G546" s="4"/>
      <c r="H546" s="11" t="s">
        <v>400</v>
      </c>
      <c r="I546" s="4"/>
      <c r="J546" s="4" t="s">
        <v>155</v>
      </c>
      <c r="K546" s="5">
        <v>0</v>
      </c>
      <c r="L546" s="38"/>
      <c r="M546" s="8">
        <v>265660</v>
      </c>
      <c r="N546" s="8">
        <v>0</v>
      </c>
      <c r="O546" s="8">
        <f>SUMIFS(EIAwtransport!$J$2:$J$675,EIAwtransport!$E$2:$E$675,Program_data!$E546,EIAwtransport!$H$2:$H$675,Program_data!$F546,EIAwtransport!$I$2:$I$675,Program_data!O$2)</f>
        <v>0</v>
      </c>
      <c r="P546" s="5">
        <f>SUMIFS(EIAwtransport!$J$2:$J$675,EIAwtransport!$E$2:$E$675,Program_data!$E546,EIAwtransport!$H$2:$H$675,Program_data!$F546,EIAwtransport!$I$2:$I$675,Program_data!P$2)</f>
        <v>0</v>
      </c>
      <c r="Q546" s="5">
        <f>SUMIFS(EIAwtransport!$J$2:$J$675,EIAwtransport!$E$2:$E$675,Program_data!$E546,EIAwtransport!$H$2:$H$675,Program_data!$F546,EIAwtransport!$I$2:$I$675,Program_data!Q$2)</f>
        <v>0</v>
      </c>
      <c r="R546" s="8">
        <f>SUMIFS(EIAwtransport!$J$2:$J$675,EIAwtransport!$E$2:$E$675,Program_data!$E546,EIAwtransport!$I$2:$I$675,Program_data!R$2)</f>
        <v>1429680000</v>
      </c>
      <c r="S546" s="5">
        <f>SUMIFS(EIAwtransport!$J$2:$J$675,EIAwtransport!$E$2:$E$675,Program_data!$E546,EIAwtransport!$I$2:$I$675,Program_data!S$2)</f>
        <v>158285451.98410821</v>
      </c>
      <c r="T546" s="5">
        <f>SUMIFS(EIAwtransport!$J$2:$J$675,EIAwtransport!$E$2:$E$675,Program_data!$E546,EIAwtransport!$I$2:$I$675,Program_data!T$2)</f>
        <v>1074614</v>
      </c>
      <c r="U546" s="24">
        <f t="shared" si="198"/>
        <v>0</v>
      </c>
      <c r="V546" s="24">
        <f t="shared" si="207"/>
        <v>0</v>
      </c>
      <c r="W546" s="24">
        <f t="shared" si="199"/>
        <v>1.8581780538302276E-4</v>
      </c>
      <c r="X546" s="25">
        <f t="shared" si="200"/>
        <v>1.6200387857142853E-4</v>
      </c>
      <c r="Y546" s="8" t="str">
        <f t="shared" si="201"/>
        <v/>
      </c>
      <c r="Z546" s="27">
        <f t="shared" si="202"/>
        <v>2.7444029117178307E-2</v>
      </c>
      <c r="AA546" s="27"/>
      <c r="AB546" s="27"/>
      <c r="AC546" s="56">
        <f t="shared" si="204"/>
        <v>0</v>
      </c>
      <c r="AE546" s="20">
        <f t="shared" si="205"/>
        <v>0</v>
      </c>
      <c r="AF546" s="20">
        <f t="shared" si="206"/>
        <v>1930068000.0000002</v>
      </c>
      <c r="AG546">
        <f t="shared" si="195"/>
        <v>0</v>
      </c>
      <c r="AH546">
        <f t="shared" si="196"/>
        <v>0</v>
      </c>
      <c r="AI546">
        <f t="shared" si="197"/>
        <v>16695949475.283735</v>
      </c>
    </row>
    <row r="547" spans="1:37" x14ac:dyDescent="0.25">
      <c r="B547" s="4">
        <v>2027</v>
      </c>
      <c r="C547" s="4" t="s">
        <v>33</v>
      </c>
      <c r="D547" s="1" t="s">
        <v>81</v>
      </c>
      <c r="E547" s="4" t="str">
        <f>D547&amp;"-"&amp;C547</f>
        <v>FortisBC-CAN</v>
      </c>
      <c r="F547" s="4" t="s">
        <v>155</v>
      </c>
      <c r="G547" s="4"/>
      <c r="H547" s="11" t="s">
        <v>400</v>
      </c>
      <c r="I547" s="4"/>
      <c r="J547" s="4" t="s">
        <v>155</v>
      </c>
      <c r="K547" s="5">
        <v>0</v>
      </c>
      <c r="L547" s="38"/>
      <c r="M547" s="8">
        <v>259000</v>
      </c>
      <c r="N547" s="8">
        <v>0</v>
      </c>
      <c r="O547" s="8">
        <f>SUMIFS(EIAwtransport!$J$2:$J$675,EIAwtransport!$E$2:$E$675,Program_data!$E547,EIAwtransport!$H$2:$H$675,Program_data!$F547,EIAwtransport!$I$2:$I$675,Program_data!O$2)</f>
        <v>0</v>
      </c>
      <c r="P547" s="5">
        <f>SUMIFS(EIAwtransport!$J$2:$J$675,EIAwtransport!$E$2:$E$675,Program_data!$E547,EIAwtransport!$H$2:$H$675,Program_data!$F547,EIAwtransport!$I$2:$I$675,Program_data!P$2)</f>
        <v>0</v>
      </c>
      <c r="Q547" s="5">
        <f>SUMIFS(EIAwtransport!$J$2:$J$675,EIAwtransport!$E$2:$E$675,Program_data!$E547,EIAwtransport!$H$2:$H$675,Program_data!$F547,EIAwtransport!$I$2:$I$675,Program_data!Q$2)</f>
        <v>0</v>
      </c>
      <c r="R547" s="8">
        <f>SUMIFS(EIAwtransport!$J$2:$J$675,EIAwtransport!$E$2:$E$675,Program_data!$E547,EIAwtransport!$I$2:$I$675,Program_data!R$2)</f>
        <v>1429680000</v>
      </c>
      <c r="S547" s="5">
        <f>SUMIFS(EIAwtransport!$J$2:$J$675,EIAwtransport!$E$2:$E$675,Program_data!$E547,EIAwtransport!$I$2:$I$675,Program_data!S$2)</f>
        <v>158285451.98410821</v>
      </c>
      <c r="T547" s="5">
        <f>SUMIFS(EIAwtransport!$J$2:$J$675,EIAwtransport!$E$2:$E$675,Program_data!$E547,EIAwtransport!$I$2:$I$675,Program_data!T$2)</f>
        <v>1074614</v>
      </c>
      <c r="U547" s="24">
        <f t="shared" si="198"/>
        <v>0</v>
      </c>
      <c r="V547" s="24">
        <f t="shared" si="207"/>
        <v>0</v>
      </c>
      <c r="W547" s="24">
        <f t="shared" si="199"/>
        <v>1.8115942028985507E-4</v>
      </c>
      <c r="X547" s="25">
        <f t="shared" si="200"/>
        <v>1.5794249999999993E-4</v>
      </c>
      <c r="Y547" s="8" t="str">
        <f t="shared" si="201"/>
        <v/>
      </c>
      <c r="Z547" s="27">
        <f t="shared" si="202"/>
        <v>2.422781528848416E-2</v>
      </c>
      <c r="AA547" s="27"/>
      <c r="AB547" s="27"/>
      <c r="AC547" s="56">
        <f t="shared" si="204"/>
        <v>0</v>
      </c>
      <c r="AE547" s="20">
        <f t="shared" si="205"/>
        <v>0</v>
      </c>
      <c r="AF547" s="20">
        <f t="shared" si="206"/>
        <v>1930068000.0000002</v>
      </c>
      <c r="AG547">
        <f t="shared" si="195"/>
        <v>0</v>
      </c>
      <c r="AH547">
        <f t="shared" si="196"/>
        <v>0</v>
      </c>
      <c r="AI547">
        <f t="shared" si="197"/>
        <v>16695949475.283735</v>
      </c>
    </row>
    <row r="548" spans="1:37" x14ac:dyDescent="0.25">
      <c r="B548" s="4"/>
      <c r="C548" s="4"/>
      <c r="D548" s="1"/>
      <c r="E548" s="4"/>
      <c r="F548" s="4"/>
      <c r="G548" s="4"/>
      <c r="H548" s="11"/>
      <c r="I548" s="4"/>
      <c r="J548" s="4"/>
      <c r="K548" s="5"/>
      <c r="L548" s="5"/>
      <c r="M548" s="8"/>
      <c r="N548" s="8"/>
      <c r="O548" s="8">
        <f>SUMIFS(EIAwtransport!$J$2:$J$675,EIAwtransport!$E$2:$E$675,Program_data!$E548,EIAwtransport!$H$2:$H$675,Program_data!$F548,EIAwtransport!$I$2:$I$675,Program_data!O$2)</f>
        <v>0</v>
      </c>
      <c r="P548" s="5">
        <f>SUMIFS(EIAwtransport!$J$2:$J$675,EIAwtransport!$E$2:$E$675,Program_data!$E548,EIAwtransport!$H$2:$H$675,Program_data!$F548,EIAwtransport!$I$2:$I$675,Program_data!P$2)</f>
        <v>0</v>
      </c>
      <c r="Q548" s="5">
        <f>SUMIFS(EIAwtransport!$J$2:$J$675,EIAwtransport!$E$2:$E$675,Program_data!$E548,EIAwtransport!$H$2:$H$675,Program_data!$F548,EIAwtransport!$I$2:$I$675,Program_data!Q$2)</f>
        <v>0</v>
      </c>
      <c r="R548" s="8">
        <f>SUMIFS(EIAwtransport!$J$2:$J$675,EIAwtransport!$E$2:$E$675,Program_data!$E548,EIAwtransport!$I$2:$I$675,Program_data!R$2)</f>
        <v>0</v>
      </c>
      <c r="S548" s="5">
        <f>SUMIFS(EIAwtransport!$J$2:$J$675,EIAwtransport!$E$2:$E$675,Program_data!$E548,EIAwtransport!$I$2:$I$675,Program_data!S$2)</f>
        <v>0</v>
      </c>
      <c r="T548" s="5">
        <f>SUMIFS(EIAwtransport!$J$2:$J$675,EIAwtransport!$E$2:$E$675,Program_data!$E548,EIAwtransport!$I$2:$I$675,Program_data!T$2)</f>
        <v>0</v>
      </c>
      <c r="U548" s="97" t="str">
        <f t="shared" si="198"/>
        <v/>
      </c>
      <c r="V548" s="24" t="str">
        <f t="shared" si="207"/>
        <v/>
      </c>
      <c r="W548" s="24" t="str">
        <f t="shared" si="199"/>
        <v/>
      </c>
      <c r="X548" s="25" t="str">
        <f t="shared" si="200"/>
        <v/>
      </c>
      <c r="Y548" s="8" t="str">
        <f t="shared" si="201"/>
        <v/>
      </c>
      <c r="Z548" s="27" t="str">
        <f t="shared" si="202"/>
        <v/>
      </c>
      <c r="AA548" s="27"/>
      <c r="AB548" s="27"/>
      <c r="AC548" s="56" t="str">
        <f t="shared" si="204"/>
        <v/>
      </c>
      <c r="AE548" s="20">
        <f t="shared" si="205"/>
        <v>0</v>
      </c>
      <c r="AF548" s="20">
        <f t="shared" si="206"/>
        <v>0</v>
      </c>
      <c r="AG548">
        <f t="shared" si="195"/>
        <v>0</v>
      </c>
      <c r="AH548">
        <f t="shared" si="196"/>
        <v>0</v>
      </c>
      <c r="AI548">
        <f t="shared" si="197"/>
        <v>0</v>
      </c>
    </row>
    <row r="549" spans="1:37" x14ac:dyDescent="0.25">
      <c r="B549" s="4">
        <v>2025</v>
      </c>
      <c r="C549" s="4" t="s">
        <v>33</v>
      </c>
      <c r="D549" s="1" t="s">
        <v>81</v>
      </c>
      <c r="E549" s="4" t="str">
        <f t="shared" ref="E549:E557" si="208">D549&amp;"-"&amp;C549</f>
        <v>FortisBC-CAN</v>
      </c>
      <c r="F549" s="4" t="s">
        <v>155</v>
      </c>
      <c r="G549" s="4"/>
      <c r="H549" s="11" t="s">
        <v>401</v>
      </c>
      <c r="I549" s="4"/>
      <c r="J549" s="4" t="s">
        <v>155</v>
      </c>
      <c r="K549" s="5">
        <v>0</v>
      </c>
      <c r="L549" s="38"/>
      <c r="M549" s="8">
        <v>7400</v>
      </c>
      <c r="N549" s="8">
        <v>0</v>
      </c>
      <c r="O549" s="8">
        <f>SUMIFS(EIAwtransport!$J$2:$J$675,EIAwtransport!$E$2:$E$675,Program_data!$E549,EIAwtransport!$H$2:$H$675,Program_data!$F549,EIAwtransport!$I$2:$I$675,Program_data!O$2)</f>
        <v>0</v>
      </c>
      <c r="P549" s="5">
        <f>SUMIFS(EIAwtransport!$J$2:$J$675,EIAwtransport!$E$2:$E$675,Program_data!$E549,EIAwtransport!$H$2:$H$675,Program_data!$F549,EIAwtransport!$I$2:$I$675,Program_data!P$2)</f>
        <v>0</v>
      </c>
      <c r="Q549" s="5">
        <f>SUMIFS(EIAwtransport!$J$2:$J$675,EIAwtransport!$E$2:$E$675,Program_data!$E549,EIAwtransport!$H$2:$H$675,Program_data!$F549,EIAwtransport!$I$2:$I$675,Program_data!Q$2)</f>
        <v>0</v>
      </c>
      <c r="R549" s="8">
        <f>SUMIFS(EIAwtransport!$J$2:$J$675,EIAwtransport!$E$2:$E$675,Program_data!$E549,EIAwtransport!$I$2:$I$675,Program_data!R$2)</f>
        <v>1429680000</v>
      </c>
      <c r="S549" s="5">
        <f>SUMIFS(EIAwtransport!$J$2:$J$675,EIAwtransport!$E$2:$E$675,Program_data!$E549,EIAwtransport!$I$2:$I$675,Program_data!S$2)</f>
        <v>158285451.98410821</v>
      </c>
      <c r="T549" s="5">
        <f>SUMIFS(EIAwtransport!$J$2:$J$675,EIAwtransport!$E$2:$E$675,Program_data!$E549,EIAwtransport!$I$2:$I$675,Program_data!T$2)</f>
        <v>1074614</v>
      </c>
      <c r="U549" s="24">
        <f t="shared" si="198"/>
        <v>0</v>
      </c>
      <c r="V549" s="24">
        <f t="shared" si="207"/>
        <v>0</v>
      </c>
      <c r="W549" s="24">
        <f t="shared" si="199"/>
        <v>5.1759834368530017E-6</v>
      </c>
      <c r="X549" s="25">
        <f t="shared" si="200"/>
        <v>4.5126428571428552E-6</v>
      </c>
      <c r="Y549" s="8" t="str">
        <f t="shared" si="201"/>
        <v/>
      </c>
      <c r="Z549" s="27">
        <f t="shared" si="202"/>
        <v>8.7947370411664951E-4</v>
      </c>
      <c r="AA549" s="27"/>
      <c r="AB549" s="27"/>
      <c r="AC549" s="56">
        <f t="shared" si="204"/>
        <v>0</v>
      </c>
      <c r="AE549" s="20">
        <f t="shared" si="205"/>
        <v>0</v>
      </c>
      <c r="AF549" s="20">
        <f t="shared" si="206"/>
        <v>1930068000.0000002</v>
      </c>
      <c r="AG549">
        <f t="shared" si="195"/>
        <v>0</v>
      </c>
      <c r="AH549">
        <f t="shared" si="196"/>
        <v>0</v>
      </c>
      <c r="AI549">
        <f t="shared" si="197"/>
        <v>16695949475.283735</v>
      </c>
    </row>
    <row r="550" spans="1:37" x14ac:dyDescent="0.25">
      <c r="B550" s="4">
        <v>2026</v>
      </c>
      <c r="C550" s="4" t="s">
        <v>33</v>
      </c>
      <c r="D550" s="1" t="s">
        <v>81</v>
      </c>
      <c r="E550" s="4" t="str">
        <f t="shared" si="208"/>
        <v>FortisBC-CAN</v>
      </c>
      <c r="F550" s="4" t="s">
        <v>155</v>
      </c>
      <c r="G550" s="4"/>
      <c r="H550" s="11" t="s">
        <v>401</v>
      </c>
      <c r="I550" s="4"/>
      <c r="J550" s="4" t="s">
        <v>155</v>
      </c>
      <c r="K550" s="5">
        <v>0</v>
      </c>
      <c r="L550" s="38"/>
      <c r="M550" s="8">
        <v>7400</v>
      </c>
      <c r="N550" s="8">
        <v>0</v>
      </c>
      <c r="O550" s="8">
        <f>SUMIFS(EIAwtransport!$J$2:$J$675,EIAwtransport!$E$2:$E$675,Program_data!$E550,EIAwtransport!$H$2:$H$675,Program_data!$F550,EIAwtransport!$I$2:$I$675,Program_data!O$2)</f>
        <v>0</v>
      </c>
      <c r="P550" s="5">
        <f>SUMIFS(EIAwtransport!$J$2:$J$675,EIAwtransport!$E$2:$E$675,Program_data!$E550,EIAwtransport!$H$2:$H$675,Program_data!$F550,EIAwtransport!$I$2:$I$675,Program_data!P$2)</f>
        <v>0</v>
      </c>
      <c r="Q550" s="5">
        <f>SUMIFS(EIAwtransport!$J$2:$J$675,EIAwtransport!$E$2:$E$675,Program_data!$E550,EIAwtransport!$H$2:$H$675,Program_data!$F550,EIAwtransport!$I$2:$I$675,Program_data!Q$2)</f>
        <v>0</v>
      </c>
      <c r="R550" s="8">
        <f>SUMIFS(EIAwtransport!$J$2:$J$675,EIAwtransport!$E$2:$E$675,Program_data!$E550,EIAwtransport!$I$2:$I$675,Program_data!R$2)</f>
        <v>1429680000</v>
      </c>
      <c r="S550" s="5">
        <f>SUMIFS(EIAwtransport!$J$2:$J$675,EIAwtransport!$E$2:$E$675,Program_data!$E550,EIAwtransport!$I$2:$I$675,Program_data!S$2)</f>
        <v>158285451.98410821</v>
      </c>
      <c r="T550" s="5">
        <f>SUMIFS(EIAwtransport!$J$2:$J$675,EIAwtransport!$E$2:$E$675,Program_data!$E550,EIAwtransport!$I$2:$I$675,Program_data!T$2)</f>
        <v>1074614</v>
      </c>
      <c r="U550" s="24">
        <f t="shared" si="198"/>
        <v>0</v>
      </c>
      <c r="V550" s="24">
        <f t="shared" si="207"/>
        <v>0</v>
      </c>
      <c r="W550" s="24">
        <f t="shared" si="199"/>
        <v>5.1759834368530017E-6</v>
      </c>
      <c r="X550" s="25">
        <f t="shared" si="200"/>
        <v>4.5126428571428552E-6</v>
      </c>
      <c r="Y550" s="8" t="str">
        <f t="shared" si="201"/>
        <v/>
      </c>
      <c r="Z550" s="27">
        <f t="shared" si="202"/>
        <v>7.644576355759975E-4</v>
      </c>
      <c r="AA550" s="27"/>
      <c r="AB550" s="27"/>
      <c r="AC550" s="56">
        <f t="shared" si="204"/>
        <v>0</v>
      </c>
      <c r="AE550" s="20">
        <f t="shared" si="205"/>
        <v>0</v>
      </c>
      <c r="AF550" s="20">
        <f t="shared" si="206"/>
        <v>1930068000.0000002</v>
      </c>
      <c r="AG550">
        <f t="shared" si="195"/>
        <v>0</v>
      </c>
      <c r="AH550">
        <f t="shared" si="196"/>
        <v>0</v>
      </c>
      <c r="AI550">
        <f t="shared" si="197"/>
        <v>16695949475.283735</v>
      </c>
    </row>
    <row r="551" spans="1:37" x14ac:dyDescent="0.25">
      <c r="B551" s="4">
        <v>2027</v>
      </c>
      <c r="C551" s="4" t="s">
        <v>33</v>
      </c>
      <c r="D551" s="1" t="s">
        <v>81</v>
      </c>
      <c r="E551" s="4" t="str">
        <f t="shared" si="208"/>
        <v>FortisBC-CAN</v>
      </c>
      <c r="F551" s="4" t="s">
        <v>155</v>
      </c>
      <c r="G551" s="4"/>
      <c r="H551" s="11" t="s">
        <v>401</v>
      </c>
      <c r="I551" s="4"/>
      <c r="J551" s="4" t="s">
        <v>155</v>
      </c>
      <c r="K551" s="5">
        <v>0</v>
      </c>
      <c r="L551" s="38"/>
      <c r="M551" s="8">
        <v>7400</v>
      </c>
      <c r="N551" s="8">
        <v>0</v>
      </c>
      <c r="O551" s="8">
        <f>SUMIFS(EIAwtransport!$J$2:$J$675,EIAwtransport!$E$2:$E$675,Program_data!$E551,EIAwtransport!$H$2:$H$675,Program_data!$F551,EIAwtransport!$I$2:$I$675,Program_data!O$2)</f>
        <v>0</v>
      </c>
      <c r="P551" s="5">
        <f>SUMIFS(EIAwtransport!$J$2:$J$675,EIAwtransport!$E$2:$E$675,Program_data!$E551,EIAwtransport!$H$2:$H$675,Program_data!$F551,EIAwtransport!$I$2:$I$675,Program_data!P$2)</f>
        <v>0</v>
      </c>
      <c r="Q551" s="5">
        <f>SUMIFS(EIAwtransport!$J$2:$J$675,EIAwtransport!$E$2:$E$675,Program_data!$E551,EIAwtransport!$H$2:$H$675,Program_data!$F551,EIAwtransport!$I$2:$I$675,Program_data!Q$2)</f>
        <v>0</v>
      </c>
      <c r="R551" s="8">
        <f>SUMIFS(EIAwtransport!$J$2:$J$675,EIAwtransport!$E$2:$E$675,Program_data!$E551,EIAwtransport!$I$2:$I$675,Program_data!R$2)</f>
        <v>1429680000</v>
      </c>
      <c r="S551" s="5">
        <f>SUMIFS(EIAwtransport!$J$2:$J$675,EIAwtransport!$E$2:$E$675,Program_data!$E551,EIAwtransport!$I$2:$I$675,Program_data!S$2)</f>
        <v>158285451.98410821</v>
      </c>
      <c r="T551" s="5">
        <f>SUMIFS(EIAwtransport!$J$2:$J$675,EIAwtransport!$E$2:$E$675,Program_data!$E551,EIAwtransport!$I$2:$I$675,Program_data!T$2)</f>
        <v>1074614</v>
      </c>
      <c r="U551" s="24">
        <f t="shared" si="198"/>
        <v>0</v>
      </c>
      <c r="V551" s="24">
        <f t="shared" si="207"/>
        <v>0</v>
      </c>
      <c r="W551" s="24">
        <f t="shared" si="199"/>
        <v>5.1759834368530017E-6</v>
      </c>
      <c r="X551" s="25">
        <f t="shared" si="200"/>
        <v>4.5126428571428552E-6</v>
      </c>
      <c r="Y551" s="8" t="str">
        <f t="shared" si="201"/>
        <v/>
      </c>
      <c r="Z551" s="27">
        <f t="shared" si="202"/>
        <v>6.9222329395669021E-4</v>
      </c>
      <c r="AA551" s="27"/>
      <c r="AB551" s="27"/>
      <c r="AC551" s="56">
        <f t="shared" si="204"/>
        <v>0</v>
      </c>
      <c r="AE551" s="20">
        <f t="shared" si="205"/>
        <v>0</v>
      </c>
      <c r="AF551" s="20">
        <f t="shared" si="206"/>
        <v>1930068000.0000002</v>
      </c>
      <c r="AG551">
        <f t="shared" si="195"/>
        <v>0</v>
      </c>
      <c r="AH551">
        <f t="shared" si="196"/>
        <v>0</v>
      </c>
      <c r="AI551">
        <f t="shared" si="197"/>
        <v>16695949475.283735</v>
      </c>
    </row>
    <row r="552" spans="1:37" x14ac:dyDescent="0.25">
      <c r="A552" s="11"/>
      <c r="B552" s="4">
        <v>2024</v>
      </c>
      <c r="C552" s="4" t="s">
        <v>33</v>
      </c>
      <c r="D552" s="1" t="s">
        <v>81</v>
      </c>
      <c r="E552" s="4" t="str">
        <f t="shared" si="208"/>
        <v>FortisBC-CAN</v>
      </c>
      <c r="F552" s="4" t="s">
        <v>306</v>
      </c>
      <c r="G552" s="4"/>
      <c r="H552" s="11" t="s">
        <v>402</v>
      </c>
      <c r="I552" s="11"/>
      <c r="J552" s="11" t="s">
        <v>21</v>
      </c>
      <c r="K552" s="11">
        <v>0</v>
      </c>
      <c r="L552" s="11">
        <v>0</v>
      </c>
      <c r="M552" s="93">
        <f>14652000*0.74-M554</f>
        <v>6765080</v>
      </c>
      <c r="N552" s="8">
        <v>429940</v>
      </c>
      <c r="O552" s="8">
        <f>SUMIFS(EIAwtransport!$J$2:$J$675,EIAwtransport!$E$2:$E$675,Program_data!$E552,EIAwtransport!$H$2:$H$675,Program_data!$F552,EIAwtransport!$I$2:$I$675,Program_data!O$2)</f>
        <v>0</v>
      </c>
      <c r="P552" s="5">
        <f>SUMIFS(EIAwtransport!$J$2:$J$675,EIAwtransport!$E$2:$E$675,Program_data!$E552,EIAwtransport!$H$2:$H$675,Program_data!$F552,EIAwtransport!$I$2:$I$675,Program_data!P$2)</f>
        <v>0</v>
      </c>
      <c r="Q552" s="5">
        <f>SUMIFS(EIAwtransport!$J$2:$J$675,EIAwtransport!$E$2:$E$675,Program_data!$E552,EIAwtransport!$H$2:$H$675,Program_data!$F552,EIAwtransport!$I$2:$I$675,Program_data!Q$2)</f>
        <v>0</v>
      </c>
      <c r="R552" s="8">
        <f>SUMIFS(EIAwtransport!$J$2:$J$675,EIAwtransport!$E$2:$E$675,Program_data!$E552,EIAwtransport!$I$2:$I$675,Program_data!R$2)</f>
        <v>1429680000</v>
      </c>
      <c r="S552" s="5">
        <f>SUMIFS(EIAwtransport!$J$2:$J$675,EIAwtransport!$E$2:$E$675,Program_data!$E552,EIAwtransport!$I$2:$I$675,Program_data!S$2)</f>
        <v>158285451.98410821</v>
      </c>
      <c r="T552" s="5">
        <f>SUMIFS(EIAwtransport!$J$2:$J$675,EIAwtransport!$E$2:$E$675,Program_data!$E552,EIAwtransport!$I$2:$I$675,Program_data!T$2)</f>
        <v>1074614</v>
      </c>
      <c r="U552" s="24">
        <f t="shared" si="198"/>
        <v>0</v>
      </c>
      <c r="V552" s="24">
        <f t="shared" si="207"/>
        <v>0</v>
      </c>
      <c r="W552" s="24">
        <f t="shared" si="199"/>
        <v>4.7318840579710147E-3</v>
      </c>
      <c r="X552" s="25">
        <f t="shared" si="200"/>
        <v>4.1254580999999981E-3</v>
      </c>
      <c r="Y552" s="8" t="str">
        <f t="shared" si="201"/>
        <v/>
      </c>
      <c r="Z552" s="27">
        <f t="shared" si="202"/>
        <v>0.82983234863262378</v>
      </c>
      <c r="AA552" s="11"/>
      <c r="AB552" s="11"/>
      <c r="AC552" s="11">
        <f t="shared" si="204"/>
        <v>0</v>
      </c>
      <c r="AD552" s="11"/>
      <c r="AE552" s="20">
        <f>N552*1.35</f>
        <v>580419</v>
      </c>
      <c r="AF552" s="20">
        <f>R552*1.35</f>
        <v>1930068000.0000002</v>
      </c>
      <c r="AG552">
        <f>K552*105.48</f>
        <v>0</v>
      </c>
      <c r="AH552">
        <f>L552*105.48</f>
        <v>0</v>
      </c>
      <c r="AI552">
        <f>S552*105.48</f>
        <v>16695949475.283735</v>
      </c>
      <c r="AJ552" s="11"/>
      <c r="AK552" s="11"/>
    </row>
    <row r="553" spans="1:37" x14ac:dyDescent="0.25">
      <c r="B553" s="4">
        <v>2024</v>
      </c>
      <c r="C553" s="4" t="s">
        <v>33</v>
      </c>
      <c r="D553" s="1" t="s">
        <v>81</v>
      </c>
      <c r="E553" s="4" t="str">
        <f t="shared" si="208"/>
        <v>FortisBC-CAN</v>
      </c>
      <c r="F553" s="4" t="s">
        <v>306</v>
      </c>
      <c r="G553" s="4"/>
      <c r="H553" s="11" t="s">
        <v>155</v>
      </c>
      <c r="I553" s="11"/>
      <c r="J553" s="11" t="s">
        <v>21</v>
      </c>
      <c r="K553" s="11">
        <v>0</v>
      </c>
      <c r="L553" s="11">
        <v>0</v>
      </c>
      <c r="M553" s="93">
        <f>(35117000+15042000+362000)*0.74</f>
        <v>37385540</v>
      </c>
      <c r="N553" s="8">
        <v>429940</v>
      </c>
      <c r="O553" s="8">
        <f>SUMIFS(EIAwtransport!$J$2:$J$675,EIAwtransport!$E$2:$E$675,Program_data!$E553,EIAwtransport!$H$2:$H$675,Program_data!$F553,EIAwtransport!$I$2:$I$675,Program_data!O$2)</f>
        <v>0</v>
      </c>
      <c r="P553" s="5">
        <f>SUMIFS(EIAwtransport!$J$2:$J$675,EIAwtransport!$E$2:$E$675,Program_data!$E553,EIAwtransport!$H$2:$H$675,Program_data!$F553,EIAwtransport!$I$2:$I$675,Program_data!P$2)</f>
        <v>0</v>
      </c>
      <c r="Q553" s="5">
        <f>SUMIFS(EIAwtransport!$J$2:$J$675,EIAwtransport!$E$2:$E$675,Program_data!$E553,EIAwtransport!$H$2:$H$675,Program_data!$F553,EIAwtransport!$I$2:$I$675,Program_data!Q$2)</f>
        <v>0</v>
      </c>
      <c r="R553" s="8">
        <f>SUMIFS(EIAwtransport!$J$2:$J$675,EIAwtransport!$E$2:$E$675,Program_data!$E553,EIAwtransport!$I$2:$I$675,Program_data!R$2)</f>
        <v>1429680000</v>
      </c>
      <c r="S553" s="5">
        <f>SUMIFS(EIAwtransport!$J$2:$J$675,EIAwtransport!$E$2:$E$675,Program_data!$E553,EIAwtransport!$I$2:$I$675,Program_data!S$2)</f>
        <v>158285451.98410821</v>
      </c>
      <c r="T553" s="5">
        <f>SUMIFS(EIAwtransport!$J$2:$J$675,EIAwtransport!$E$2:$E$675,Program_data!$E553,EIAwtransport!$I$2:$I$675,Program_data!T$2)</f>
        <v>1074614</v>
      </c>
      <c r="U553" s="24">
        <f t="shared" si="198"/>
        <v>0</v>
      </c>
      <c r="V553" s="24">
        <f t="shared" si="207"/>
        <v>0</v>
      </c>
      <c r="W553" s="24">
        <f t="shared" si="199"/>
        <v>2.614958592132505E-2</v>
      </c>
      <c r="X553" s="25">
        <f t="shared" si="200"/>
        <v>2.2798322978571421E-2</v>
      </c>
      <c r="Y553" s="8" t="str">
        <f t="shared" si="201"/>
        <v/>
      </c>
      <c r="Z553" s="27">
        <f t="shared" si="202"/>
        <v>4.5858630589880534</v>
      </c>
      <c r="AC553" s="103">
        <f t="shared" si="204"/>
        <v>0</v>
      </c>
      <c r="AE553" s="20">
        <f>N553*1.35</f>
        <v>580419</v>
      </c>
      <c r="AF553" s="20">
        <f>R553*1.35</f>
        <v>1930068000.0000002</v>
      </c>
      <c r="AG553">
        <f>K553*105.48</f>
        <v>0</v>
      </c>
      <c r="AH553">
        <f>L553*105.48</f>
        <v>0</v>
      </c>
      <c r="AI553">
        <f>S553*105.48</f>
        <v>16695949475.283735</v>
      </c>
    </row>
    <row r="554" spans="1:37" x14ac:dyDescent="0.25">
      <c r="B554" s="4">
        <v>2024</v>
      </c>
      <c r="C554" s="4" t="s">
        <v>33</v>
      </c>
      <c r="D554" s="1" t="s">
        <v>81</v>
      </c>
      <c r="E554" s="4" t="str">
        <f t="shared" si="208"/>
        <v>FortisBC-CAN</v>
      </c>
      <c r="F554" s="4" t="s">
        <v>146</v>
      </c>
      <c r="G554" s="4"/>
      <c r="H554" s="11" t="s">
        <v>403</v>
      </c>
      <c r="I554" s="4"/>
      <c r="J554" s="4" t="s">
        <v>21</v>
      </c>
      <c r="K554" s="5">
        <v>189563.41999999998</v>
      </c>
      <c r="L554" s="5">
        <f>K554/_xlfn.XLOOKUP(C554,'Utility target list'!$K$2:$K$8,'Utility target list'!$L$2:$L$8,1,0,1)</f>
        <v>210626.02222222221</v>
      </c>
      <c r="M554" s="8">
        <v>4077400</v>
      </c>
      <c r="N554" s="8">
        <v>0</v>
      </c>
      <c r="O554" s="8">
        <f>SUMIFS(EIAwtransport!$J$2:$J$675,EIAwtransport!$E$2:$E$675,Program_data!$E554,EIAwtransport!$H$2:$H$675,Program_data!$F554,EIAwtransport!$I$2:$I$675,Program_data!O$2)</f>
        <v>555000000</v>
      </c>
      <c r="P554" s="5">
        <f>SUMIFS(EIAwtransport!$J$2:$J$675,EIAwtransport!$E$2:$E$675,Program_data!$E554,EIAwtransport!$H$2:$H$675,Program_data!$F554,EIAwtransport!$I$2:$I$675,Program_data!P$2)</f>
        <v>75825366.219932109</v>
      </c>
      <c r="Q554" s="5">
        <f>SUMIFS(EIAwtransport!$J$2:$J$675,EIAwtransport!$E$2:$E$675,Program_data!$E554,EIAwtransport!$H$2:$H$675,Program_data!$F554,EIAwtransport!$I$2:$I$675,Program_data!Q$2)</f>
        <v>98444</v>
      </c>
      <c r="R554" s="8">
        <f>SUMIFS(EIAwtransport!$J$2:$J$675,EIAwtransport!$E$2:$E$675,Program_data!$E554,EIAwtransport!$I$2:$I$675,Program_data!R$2)</f>
        <v>1429680000</v>
      </c>
      <c r="S554" s="5">
        <f>SUMIFS(EIAwtransport!$J$2:$J$675,EIAwtransport!$E$2:$E$675,Program_data!$E554,EIAwtransport!$I$2:$I$675,Program_data!S$2)</f>
        <v>158285451.98410821</v>
      </c>
      <c r="T554" s="5">
        <f>SUMIFS(EIAwtransport!$J$2:$J$675,EIAwtransport!$E$2:$E$675,Program_data!$E554,EIAwtransport!$I$2:$I$675,Program_data!T$2)</f>
        <v>1074614</v>
      </c>
      <c r="U554" s="24">
        <f t="shared" si="198"/>
        <v>1.1559892070791499E-4</v>
      </c>
      <c r="V554" s="24">
        <f t="shared" si="207"/>
        <v>1.2844324523101668E-4</v>
      </c>
      <c r="W554" s="24">
        <f t="shared" si="199"/>
        <v>2.8519668737060043E-3</v>
      </c>
      <c r="X554" s="25">
        <f t="shared" si="200"/>
        <v>2.4864662142857134E-3</v>
      </c>
      <c r="Y554" s="8">
        <f t="shared" si="201"/>
        <v>0.6896593132876776</v>
      </c>
      <c r="Z554" s="27">
        <f t="shared" si="202"/>
        <v>0.5001505404687987</v>
      </c>
      <c r="AA554" s="27"/>
      <c r="AB554" s="27"/>
      <c r="AC554" s="56">
        <f t="shared" si="204"/>
        <v>1.6610154372809747E-3</v>
      </c>
      <c r="AE554" s="20">
        <f t="shared" si="205"/>
        <v>0</v>
      </c>
      <c r="AF554" s="20">
        <f>R554*1.35</f>
        <v>1930068000.0000002</v>
      </c>
      <c r="AG554">
        <f t="shared" si="195"/>
        <v>19995149.5416</v>
      </c>
      <c r="AH554">
        <f t="shared" si="196"/>
        <v>22216832.824000001</v>
      </c>
      <c r="AI554">
        <f t="shared" si="197"/>
        <v>16695949475.283735</v>
      </c>
    </row>
    <row r="555" spans="1:37" x14ac:dyDescent="0.25">
      <c r="B555" s="4">
        <v>2025</v>
      </c>
      <c r="C555" s="4" t="s">
        <v>33</v>
      </c>
      <c r="D555" s="1" t="s">
        <v>81</v>
      </c>
      <c r="E555" s="4" t="str">
        <f t="shared" si="208"/>
        <v>FortisBC-CAN</v>
      </c>
      <c r="F555" s="4" t="s">
        <v>146</v>
      </c>
      <c r="G555" s="4"/>
      <c r="H555" s="11" t="s">
        <v>403</v>
      </c>
      <c r="I555" s="4"/>
      <c r="J555" s="4" t="s">
        <v>142</v>
      </c>
      <c r="K555" s="5">
        <v>284345.13</v>
      </c>
      <c r="L555" s="5">
        <f>K555/_xlfn.XLOOKUP(C555,'Utility target list'!$K$2:$K$8,'Utility target list'!$L$2:$L$8,1,0,1)</f>
        <v>315939.03333333333</v>
      </c>
      <c r="M555" s="8">
        <v>3448400</v>
      </c>
      <c r="N555" s="8">
        <v>0</v>
      </c>
      <c r="O555" s="8">
        <f>SUMIFS(EIAwtransport!$J$2:$J$675,EIAwtransport!$E$2:$E$675,Program_data!$E555,EIAwtransport!$H$2:$H$675,Program_data!$F555,EIAwtransport!$I$2:$I$675,Program_data!O$2)</f>
        <v>555000000</v>
      </c>
      <c r="P555" s="5">
        <f>SUMIFS(EIAwtransport!$J$2:$J$675,EIAwtransport!$E$2:$E$675,Program_data!$E555,EIAwtransport!$H$2:$H$675,Program_data!$F555,EIAwtransport!$I$2:$I$675,Program_data!P$2)</f>
        <v>75825366.219932109</v>
      </c>
      <c r="Q555" s="5">
        <f>SUMIFS(EIAwtransport!$J$2:$J$675,EIAwtransport!$E$2:$E$675,Program_data!$E555,EIAwtransport!$H$2:$H$675,Program_data!$F555,EIAwtransport!$I$2:$I$675,Program_data!Q$2)</f>
        <v>98444</v>
      </c>
      <c r="R555" s="8">
        <f>SUMIFS(EIAwtransport!$J$2:$J$675,EIAwtransport!$E$2:$E$675,Program_data!$E555,EIAwtransport!$I$2:$I$675,Program_data!R$2)</f>
        <v>1429680000</v>
      </c>
      <c r="S555" s="5">
        <f>SUMIFS(EIAwtransport!$J$2:$J$675,EIAwtransport!$E$2:$E$675,Program_data!$E555,EIAwtransport!$I$2:$I$675,Program_data!S$2)</f>
        <v>158285451.98410821</v>
      </c>
      <c r="T555" s="5">
        <f>SUMIFS(EIAwtransport!$J$2:$J$675,EIAwtransport!$E$2:$E$675,Program_data!$E555,EIAwtransport!$I$2:$I$675,Program_data!T$2)</f>
        <v>1074614</v>
      </c>
      <c r="U555" s="24">
        <f t="shared" si="198"/>
        <v>1.7339838106187252E-4</v>
      </c>
      <c r="V555" s="24">
        <f t="shared" si="207"/>
        <v>1.92664867846525E-4</v>
      </c>
      <c r="W555" s="24">
        <f t="shared" si="199"/>
        <v>2.4120082815734991E-3</v>
      </c>
      <c r="X555" s="25">
        <f t="shared" si="200"/>
        <v>2.1028915714285707E-3</v>
      </c>
      <c r="Y555" s="8">
        <f t="shared" si="201"/>
        <v>0.586106271469792</v>
      </c>
      <c r="Z555" s="27">
        <f t="shared" si="202"/>
        <v>0.40983474611835868</v>
      </c>
      <c r="AA555" s="27"/>
      <c r="AB555" s="27"/>
      <c r="AC555" s="56">
        <f t="shared" si="204"/>
        <v>3.1234256686009706E-3</v>
      </c>
      <c r="AE555" s="20">
        <f t="shared" si="205"/>
        <v>0</v>
      </c>
      <c r="AF555" s="20">
        <f t="shared" si="206"/>
        <v>1930068000.0000002</v>
      </c>
      <c r="AG555">
        <f t="shared" si="195"/>
        <v>29992724.312400002</v>
      </c>
      <c r="AH555">
        <f t="shared" si="196"/>
        <v>33325249.236000001</v>
      </c>
      <c r="AI555">
        <f t="shared" si="197"/>
        <v>16695949475.283735</v>
      </c>
    </row>
    <row r="556" spans="1:37" x14ac:dyDescent="0.25">
      <c r="B556" s="4">
        <v>2026</v>
      </c>
      <c r="C556" s="4" t="s">
        <v>33</v>
      </c>
      <c r="D556" s="1" t="s">
        <v>81</v>
      </c>
      <c r="E556" s="4" t="str">
        <f t="shared" si="208"/>
        <v>FortisBC-CAN</v>
      </c>
      <c r="F556" s="4" t="s">
        <v>146</v>
      </c>
      <c r="G556" s="4"/>
      <c r="H556" s="11" t="s">
        <v>403</v>
      </c>
      <c r="I556" s="4"/>
      <c r="J556" s="4" t="s">
        <v>142</v>
      </c>
      <c r="K556" s="5">
        <v>284345.13</v>
      </c>
      <c r="L556" s="5">
        <f>K556/_xlfn.XLOOKUP(C556,'Utility target list'!$K$2:$K$8,'Utility target list'!$L$2:$L$8,1,0,1)</f>
        <v>315939.03333333333</v>
      </c>
      <c r="M556" s="8">
        <v>3596400</v>
      </c>
      <c r="N556" s="8">
        <v>0</v>
      </c>
      <c r="O556" s="8">
        <f>SUMIFS(EIAwtransport!$J$2:$J$675,EIAwtransport!$E$2:$E$675,Program_data!$E556,EIAwtransport!$H$2:$H$675,Program_data!$F556,EIAwtransport!$I$2:$I$675,Program_data!O$2)</f>
        <v>555000000</v>
      </c>
      <c r="P556" s="5">
        <f>SUMIFS(EIAwtransport!$J$2:$J$675,EIAwtransport!$E$2:$E$675,Program_data!$E556,EIAwtransport!$H$2:$H$675,Program_data!$F556,EIAwtransport!$I$2:$I$675,Program_data!P$2)</f>
        <v>75825366.219932109</v>
      </c>
      <c r="Q556" s="5">
        <f>SUMIFS(EIAwtransport!$J$2:$J$675,EIAwtransport!$E$2:$E$675,Program_data!$E556,EIAwtransport!$H$2:$H$675,Program_data!$F556,EIAwtransport!$I$2:$I$675,Program_data!Q$2)</f>
        <v>98444</v>
      </c>
      <c r="R556" s="8">
        <f>SUMIFS(EIAwtransport!$J$2:$J$675,EIAwtransport!$E$2:$E$675,Program_data!$E556,EIAwtransport!$I$2:$I$675,Program_data!R$2)</f>
        <v>1429680000</v>
      </c>
      <c r="S556" s="5">
        <f>SUMIFS(EIAwtransport!$J$2:$J$675,EIAwtransport!$E$2:$E$675,Program_data!$E556,EIAwtransport!$I$2:$I$675,Program_data!S$2)</f>
        <v>158285451.98410821</v>
      </c>
      <c r="T556" s="5">
        <f>SUMIFS(EIAwtransport!$J$2:$J$675,EIAwtransport!$E$2:$E$675,Program_data!$E556,EIAwtransport!$I$2:$I$675,Program_data!T$2)</f>
        <v>1074614</v>
      </c>
      <c r="U556" s="24">
        <f t="shared" si="198"/>
        <v>1.7339838106187252E-4</v>
      </c>
      <c r="V556" s="24">
        <f t="shared" si="207"/>
        <v>1.92664867846525E-4</v>
      </c>
      <c r="W556" s="24">
        <f t="shared" si="199"/>
        <v>2.515527950310559E-3</v>
      </c>
      <c r="X556" s="25">
        <f t="shared" si="200"/>
        <v>2.1931444285714276E-3</v>
      </c>
      <c r="Y556" s="8">
        <f t="shared" si="201"/>
        <v>0.52645421343176091</v>
      </c>
      <c r="Z556" s="27">
        <f t="shared" si="202"/>
        <v>0.37152641088993477</v>
      </c>
      <c r="AA556" s="27"/>
      <c r="AB556" s="27"/>
      <c r="AC556" s="56">
        <f t="shared" si="204"/>
        <v>2.7420587422978026E-3</v>
      </c>
      <c r="AE556" s="20">
        <f t="shared" si="205"/>
        <v>0</v>
      </c>
      <c r="AF556" s="20">
        <f t="shared" si="206"/>
        <v>1930068000.0000002</v>
      </c>
      <c r="AG556">
        <f t="shared" si="195"/>
        <v>29992724.312400002</v>
      </c>
      <c r="AH556">
        <f t="shared" si="196"/>
        <v>33325249.236000001</v>
      </c>
      <c r="AI556">
        <f t="shared" si="197"/>
        <v>16695949475.283735</v>
      </c>
    </row>
    <row r="557" spans="1:37" x14ac:dyDescent="0.25">
      <c r="B557" s="4">
        <v>2027</v>
      </c>
      <c r="C557" s="4" t="s">
        <v>33</v>
      </c>
      <c r="D557" s="1" t="s">
        <v>81</v>
      </c>
      <c r="E557" s="4" t="str">
        <f t="shared" si="208"/>
        <v>FortisBC-CAN</v>
      </c>
      <c r="F557" s="4" t="s">
        <v>146</v>
      </c>
      <c r="G557" s="4"/>
      <c r="H557" s="11" t="s">
        <v>403</v>
      </c>
      <c r="I557" s="4"/>
      <c r="J557" s="4" t="s">
        <v>142</v>
      </c>
      <c r="K557" s="5">
        <v>284345.13</v>
      </c>
      <c r="L557" s="5">
        <f>K557/_xlfn.XLOOKUP(C557,'Utility target list'!$K$2:$K$8,'Utility target list'!$L$2:$L$8,1,0,1)</f>
        <v>315939.03333333333</v>
      </c>
      <c r="M557" s="8">
        <v>3670400</v>
      </c>
      <c r="N557" s="8">
        <v>0</v>
      </c>
      <c r="O557" s="8">
        <f>SUMIFS(EIAwtransport!$J$2:$J$675,EIAwtransport!$E$2:$E$675,Program_data!$E557,EIAwtransport!$H$2:$H$675,Program_data!$F557,EIAwtransport!$I$2:$I$675,Program_data!O$2)</f>
        <v>555000000</v>
      </c>
      <c r="P557" s="5">
        <f>SUMIFS(EIAwtransport!$J$2:$J$675,EIAwtransport!$E$2:$E$675,Program_data!$E557,EIAwtransport!$H$2:$H$675,Program_data!$F557,EIAwtransport!$I$2:$I$675,Program_data!P$2)</f>
        <v>75825366.219932109</v>
      </c>
      <c r="Q557" s="5">
        <f>SUMIFS(EIAwtransport!$J$2:$J$675,EIAwtransport!$E$2:$E$675,Program_data!$E557,EIAwtransport!$H$2:$H$675,Program_data!$F557,EIAwtransport!$I$2:$I$675,Program_data!Q$2)</f>
        <v>98444</v>
      </c>
      <c r="R557" s="8">
        <f>SUMIFS(EIAwtransport!$J$2:$J$675,EIAwtransport!$E$2:$E$675,Program_data!$E557,EIAwtransport!$I$2:$I$675,Program_data!R$2)</f>
        <v>1429680000</v>
      </c>
      <c r="S557" s="5">
        <f>SUMIFS(EIAwtransport!$J$2:$J$675,EIAwtransport!$E$2:$E$675,Program_data!$E557,EIAwtransport!$I$2:$I$675,Program_data!S$2)</f>
        <v>158285451.98410821</v>
      </c>
      <c r="T557" s="5">
        <f>SUMIFS(EIAwtransport!$J$2:$J$675,EIAwtransport!$E$2:$E$675,Program_data!$E557,EIAwtransport!$I$2:$I$675,Program_data!T$2)</f>
        <v>1074614</v>
      </c>
      <c r="U557" s="24">
        <f t="shared" si="198"/>
        <v>1.7339838106187252E-4</v>
      </c>
      <c r="V557" s="24">
        <f t="shared" si="207"/>
        <v>1.92664867846525E-4</v>
      </c>
      <c r="W557" s="24">
        <f t="shared" si="199"/>
        <v>2.5672877846790892E-3</v>
      </c>
      <c r="X557" s="25">
        <f t="shared" si="200"/>
        <v>2.2382708571428564E-3</v>
      </c>
      <c r="Y557" s="8">
        <f t="shared" si="201"/>
        <v>0.48989861466986573</v>
      </c>
      <c r="Z557" s="27">
        <f t="shared" si="202"/>
        <v>0.34334275380251839</v>
      </c>
      <c r="AA557" s="27"/>
      <c r="AB557" s="27"/>
      <c r="AC557" s="56">
        <f t="shared" si="204"/>
        <v>2.4720001523129398E-3</v>
      </c>
      <c r="AE557" s="20">
        <f t="shared" si="205"/>
        <v>0</v>
      </c>
      <c r="AF557" s="20">
        <f t="shared" si="206"/>
        <v>1930068000.0000002</v>
      </c>
      <c r="AG557">
        <f t="shared" si="195"/>
        <v>29992724.312400002</v>
      </c>
      <c r="AH557">
        <f t="shared" si="196"/>
        <v>33325249.236000001</v>
      </c>
      <c r="AI557">
        <f t="shared" si="197"/>
        <v>16695949475.283735</v>
      </c>
    </row>
    <row r="558" spans="1:37" x14ac:dyDescent="0.25">
      <c r="B558" s="4"/>
      <c r="C558" s="4"/>
      <c r="D558" s="1"/>
      <c r="E558" s="4"/>
      <c r="F558" s="4"/>
      <c r="G558" s="4"/>
      <c r="H558" s="11"/>
      <c r="I558" s="4"/>
      <c r="J558" s="4"/>
      <c r="K558" s="5"/>
      <c r="L558" s="5"/>
      <c r="M558" s="8"/>
      <c r="N558" s="8"/>
      <c r="O558" s="8">
        <f>SUMIFS(EIAwtransport!$J$2:$J$675,EIAwtransport!$E$2:$E$675,Program_data!$E558,EIAwtransport!$H$2:$H$675,Program_data!$F558,EIAwtransport!$I$2:$I$675,Program_data!O$2)</f>
        <v>0</v>
      </c>
      <c r="P558" s="5">
        <f>SUMIFS(EIAwtransport!$J$2:$J$675,EIAwtransport!$E$2:$E$675,Program_data!$E558,EIAwtransport!$H$2:$H$675,Program_data!$F558,EIAwtransport!$I$2:$I$675,Program_data!P$2)</f>
        <v>0</v>
      </c>
      <c r="Q558" s="5">
        <f>SUMIFS(EIAwtransport!$J$2:$J$675,EIAwtransport!$E$2:$E$675,Program_data!$E558,EIAwtransport!$H$2:$H$675,Program_data!$F558,EIAwtransport!$I$2:$I$675,Program_data!Q$2)</f>
        <v>0</v>
      </c>
      <c r="R558" s="8">
        <f>SUMIFS(EIAwtransport!$J$2:$J$675,EIAwtransport!$E$2:$E$675,Program_data!$E558,EIAwtransport!$I$2:$I$675,Program_data!R$2)</f>
        <v>0</v>
      </c>
      <c r="S558" s="5">
        <f>SUMIFS(EIAwtransport!$J$2:$J$675,EIAwtransport!$E$2:$E$675,Program_data!$E558,EIAwtransport!$I$2:$I$675,Program_data!S$2)</f>
        <v>0</v>
      </c>
      <c r="T558" s="5">
        <f>SUMIFS(EIAwtransport!$J$2:$J$675,EIAwtransport!$E$2:$E$675,Program_data!$E558,EIAwtransport!$I$2:$I$675,Program_data!T$2)</f>
        <v>0</v>
      </c>
      <c r="U558" s="97" t="str">
        <f t="shared" si="198"/>
        <v/>
      </c>
      <c r="V558" s="24" t="str">
        <f t="shared" si="207"/>
        <v/>
      </c>
      <c r="W558" s="24" t="str">
        <f t="shared" si="199"/>
        <v/>
      </c>
      <c r="X558" s="25" t="str">
        <f t="shared" si="200"/>
        <v/>
      </c>
      <c r="Y558" s="8" t="str">
        <f t="shared" si="201"/>
        <v/>
      </c>
      <c r="Z558" s="27" t="str">
        <f t="shared" si="202"/>
        <v/>
      </c>
      <c r="AA558" s="27"/>
      <c r="AB558" s="27"/>
      <c r="AC558" s="56" t="str">
        <f t="shared" si="204"/>
        <v/>
      </c>
      <c r="AE558" s="20">
        <f t="shared" si="205"/>
        <v>0</v>
      </c>
      <c r="AF558" s="20">
        <f t="shared" si="206"/>
        <v>0</v>
      </c>
      <c r="AG558">
        <f t="shared" si="195"/>
        <v>0</v>
      </c>
      <c r="AH558">
        <f t="shared" si="196"/>
        <v>0</v>
      </c>
      <c r="AI558">
        <f t="shared" si="197"/>
        <v>0</v>
      </c>
    </row>
    <row r="559" spans="1:37" x14ac:dyDescent="0.25">
      <c r="B559" s="4">
        <v>2025</v>
      </c>
      <c r="C559" s="4" t="s">
        <v>33</v>
      </c>
      <c r="D559" s="1" t="s">
        <v>81</v>
      </c>
      <c r="E559" s="4" t="str">
        <f>D559&amp;"-"&amp;C559</f>
        <v>FortisBC-CAN</v>
      </c>
      <c r="F559" s="4" t="s">
        <v>155</v>
      </c>
      <c r="G559" s="4"/>
      <c r="H559" s="11" t="s">
        <v>404</v>
      </c>
      <c r="I559" s="4"/>
      <c r="J559" s="4" t="s">
        <v>155</v>
      </c>
      <c r="K559" s="5">
        <v>0</v>
      </c>
      <c r="L559" s="38"/>
      <c r="M559" s="8">
        <v>2649200</v>
      </c>
      <c r="N559" s="8">
        <v>0</v>
      </c>
      <c r="O559" s="8">
        <f>SUMIFS(EIAwtransport!$J$2:$J$675,EIAwtransport!$E$2:$E$675,Program_data!$E559,EIAwtransport!$H$2:$H$675,Program_data!$F559,EIAwtransport!$I$2:$I$675,Program_data!O$2)</f>
        <v>0</v>
      </c>
      <c r="P559" s="5">
        <f>SUMIFS(EIAwtransport!$J$2:$J$675,EIAwtransport!$E$2:$E$675,Program_data!$E559,EIAwtransport!$H$2:$H$675,Program_data!$F559,EIAwtransport!$I$2:$I$675,Program_data!P$2)</f>
        <v>0</v>
      </c>
      <c r="Q559" s="5">
        <f>SUMIFS(EIAwtransport!$J$2:$J$675,EIAwtransport!$E$2:$E$675,Program_data!$E559,EIAwtransport!$H$2:$H$675,Program_data!$F559,EIAwtransport!$I$2:$I$675,Program_data!Q$2)</f>
        <v>0</v>
      </c>
      <c r="R559" s="8">
        <f>SUMIFS(EIAwtransport!$J$2:$J$675,EIAwtransport!$E$2:$E$675,Program_data!$E559,EIAwtransport!$I$2:$I$675,Program_data!R$2)</f>
        <v>1429680000</v>
      </c>
      <c r="S559" s="5">
        <f>SUMIFS(EIAwtransport!$J$2:$J$675,EIAwtransport!$E$2:$E$675,Program_data!$E559,EIAwtransport!$I$2:$I$675,Program_data!S$2)</f>
        <v>158285451.98410821</v>
      </c>
      <c r="T559" s="5">
        <f>SUMIFS(EIAwtransport!$J$2:$J$675,EIAwtransport!$E$2:$E$675,Program_data!$E559,EIAwtransport!$I$2:$I$675,Program_data!T$2)</f>
        <v>1074614</v>
      </c>
      <c r="U559" s="24">
        <f t="shared" si="198"/>
        <v>0</v>
      </c>
      <c r="V559" s="24">
        <f t="shared" si="207"/>
        <v>0</v>
      </c>
      <c r="W559" s="24">
        <f t="shared" si="199"/>
        <v>1.8530020703933748E-3</v>
      </c>
      <c r="X559" s="25">
        <f t="shared" si="200"/>
        <v>1.6155261428571423E-3</v>
      </c>
      <c r="Y559" s="8" t="str">
        <f t="shared" si="201"/>
        <v/>
      </c>
      <c r="Z559" s="27">
        <f t="shared" si="202"/>
        <v>0.31485158607376051</v>
      </c>
      <c r="AA559" s="27"/>
      <c r="AB559" s="27"/>
      <c r="AC559" s="56">
        <f t="shared" si="204"/>
        <v>0</v>
      </c>
      <c r="AE559" s="20">
        <f t="shared" si="205"/>
        <v>0</v>
      </c>
      <c r="AF559" s="20">
        <f t="shared" si="206"/>
        <v>1930068000.0000002</v>
      </c>
      <c r="AG559">
        <f t="shared" si="195"/>
        <v>0</v>
      </c>
      <c r="AH559">
        <f t="shared" si="196"/>
        <v>0</v>
      </c>
      <c r="AI559">
        <f t="shared" si="197"/>
        <v>16695949475.283735</v>
      </c>
    </row>
    <row r="560" spans="1:37" x14ac:dyDescent="0.25">
      <c r="B560" s="4">
        <v>2026</v>
      </c>
      <c r="C560" s="4" t="s">
        <v>33</v>
      </c>
      <c r="D560" s="1" t="s">
        <v>81</v>
      </c>
      <c r="E560" s="4" t="str">
        <f>D560&amp;"-"&amp;C560</f>
        <v>FortisBC-CAN</v>
      </c>
      <c r="F560" s="4" t="s">
        <v>155</v>
      </c>
      <c r="G560" s="4"/>
      <c r="H560" s="11" t="s">
        <v>404</v>
      </c>
      <c r="I560" s="4"/>
      <c r="J560" s="4" t="s">
        <v>155</v>
      </c>
      <c r="K560" s="5">
        <v>0</v>
      </c>
      <c r="L560" s="38"/>
      <c r="M560" s="8">
        <v>2678800</v>
      </c>
      <c r="N560" s="8">
        <v>0</v>
      </c>
      <c r="O560" s="8">
        <f>SUMIFS(EIAwtransport!$J$2:$J$675,EIAwtransport!$E$2:$E$675,Program_data!$E560,EIAwtransport!$H$2:$H$675,Program_data!$F560,EIAwtransport!$I$2:$I$675,Program_data!O$2)</f>
        <v>0</v>
      </c>
      <c r="P560" s="5">
        <f>SUMIFS(EIAwtransport!$J$2:$J$675,EIAwtransport!$E$2:$E$675,Program_data!$E560,EIAwtransport!$H$2:$H$675,Program_data!$F560,EIAwtransport!$I$2:$I$675,Program_data!P$2)</f>
        <v>0</v>
      </c>
      <c r="Q560" s="5">
        <f>SUMIFS(EIAwtransport!$J$2:$J$675,EIAwtransport!$E$2:$E$675,Program_data!$E560,EIAwtransport!$H$2:$H$675,Program_data!$F560,EIAwtransport!$I$2:$I$675,Program_data!Q$2)</f>
        <v>0</v>
      </c>
      <c r="R560" s="8">
        <f>SUMIFS(EIAwtransport!$J$2:$J$675,EIAwtransport!$E$2:$E$675,Program_data!$E560,EIAwtransport!$I$2:$I$675,Program_data!R$2)</f>
        <v>1429680000</v>
      </c>
      <c r="S560" s="5">
        <f>SUMIFS(EIAwtransport!$J$2:$J$675,EIAwtransport!$E$2:$E$675,Program_data!$E560,EIAwtransport!$I$2:$I$675,Program_data!S$2)</f>
        <v>158285451.98410821</v>
      </c>
      <c r="T560" s="5">
        <f>SUMIFS(EIAwtransport!$J$2:$J$675,EIAwtransport!$E$2:$E$675,Program_data!$E560,EIAwtransport!$I$2:$I$675,Program_data!T$2)</f>
        <v>1074614</v>
      </c>
      <c r="U560" s="24">
        <f t="shared" si="198"/>
        <v>0</v>
      </c>
      <c r="V560" s="24">
        <f t="shared" si="207"/>
        <v>0</v>
      </c>
      <c r="W560" s="24">
        <f t="shared" si="199"/>
        <v>1.8737060041407868E-3</v>
      </c>
      <c r="X560" s="25">
        <f t="shared" si="200"/>
        <v>1.6335767142857136E-3</v>
      </c>
      <c r="Y560" s="8" t="str">
        <f t="shared" si="201"/>
        <v/>
      </c>
      <c r="Z560" s="27">
        <f t="shared" si="202"/>
        <v>0.27673366407851108</v>
      </c>
      <c r="AA560" s="27"/>
      <c r="AB560" s="27"/>
      <c r="AC560" s="56">
        <f t="shared" si="204"/>
        <v>0</v>
      </c>
      <c r="AE560" s="20">
        <f t="shared" si="205"/>
        <v>0</v>
      </c>
      <c r="AF560" s="20">
        <f t="shared" si="206"/>
        <v>1930068000.0000002</v>
      </c>
      <c r="AG560">
        <f t="shared" si="195"/>
        <v>0</v>
      </c>
      <c r="AH560">
        <f t="shared" si="196"/>
        <v>0</v>
      </c>
      <c r="AI560">
        <f t="shared" si="197"/>
        <v>16695949475.283735</v>
      </c>
    </row>
    <row r="561" spans="2:35" x14ac:dyDescent="0.25">
      <c r="B561" s="4">
        <v>2027</v>
      </c>
      <c r="C561" s="4" t="s">
        <v>33</v>
      </c>
      <c r="D561" s="1" t="s">
        <v>81</v>
      </c>
      <c r="E561" s="4" t="str">
        <f>D561&amp;"-"&amp;C561</f>
        <v>FortisBC-CAN</v>
      </c>
      <c r="F561" s="4" t="s">
        <v>155</v>
      </c>
      <c r="G561" s="4"/>
      <c r="H561" s="11" t="s">
        <v>404</v>
      </c>
      <c r="I561" s="4"/>
      <c r="J561" s="4" t="s">
        <v>155</v>
      </c>
      <c r="K561" s="5">
        <v>0</v>
      </c>
      <c r="L561" s="38"/>
      <c r="M561" s="8">
        <v>2708400</v>
      </c>
      <c r="N561" s="8">
        <v>0</v>
      </c>
      <c r="O561" s="8">
        <f>SUMIFS(EIAwtransport!$J$2:$J$675,EIAwtransport!$E$2:$E$675,Program_data!$E561,EIAwtransport!$H$2:$H$675,Program_data!$F561,EIAwtransport!$I$2:$I$675,Program_data!O$2)</f>
        <v>0</v>
      </c>
      <c r="P561" s="5">
        <f>SUMIFS(EIAwtransport!$J$2:$J$675,EIAwtransport!$E$2:$E$675,Program_data!$E561,EIAwtransport!$H$2:$H$675,Program_data!$F561,EIAwtransport!$I$2:$I$675,Program_data!P$2)</f>
        <v>0</v>
      </c>
      <c r="Q561" s="5">
        <f>SUMIFS(EIAwtransport!$J$2:$J$675,EIAwtransport!$E$2:$E$675,Program_data!$E561,EIAwtransport!$H$2:$H$675,Program_data!$F561,EIAwtransport!$I$2:$I$675,Program_data!Q$2)</f>
        <v>0</v>
      </c>
      <c r="R561" s="8">
        <f>SUMIFS(EIAwtransport!$J$2:$J$675,EIAwtransport!$E$2:$E$675,Program_data!$E561,EIAwtransport!$I$2:$I$675,Program_data!R$2)</f>
        <v>1429680000</v>
      </c>
      <c r="S561" s="5">
        <f>SUMIFS(EIAwtransport!$J$2:$J$675,EIAwtransport!$E$2:$E$675,Program_data!$E561,EIAwtransport!$I$2:$I$675,Program_data!S$2)</f>
        <v>158285451.98410821</v>
      </c>
      <c r="T561" s="5">
        <f>SUMIFS(EIAwtransport!$J$2:$J$675,EIAwtransport!$E$2:$E$675,Program_data!$E561,EIAwtransport!$I$2:$I$675,Program_data!T$2)</f>
        <v>1074614</v>
      </c>
      <c r="U561" s="24">
        <f t="shared" si="198"/>
        <v>0</v>
      </c>
      <c r="V561" s="24">
        <f t="shared" si="207"/>
        <v>0</v>
      </c>
      <c r="W561" s="24">
        <f t="shared" si="199"/>
        <v>1.8944099378881989E-3</v>
      </c>
      <c r="X561" s="25">
        <f t="shared" si="200"/>
        <v>1.6516272857142853E-3</v>
      </c>
      <c r="Y561" s="8" t="str">
        <f t="shared" si="201"/>
        <v/>
      </c>
      <c r="Z561" s="27">
        <f t="shared" si="202"/>
        <v>0.25335372558814861</v>
      </c>
      <c r="AA561" s="27"/>
      <c r="AB561" s="27"/>
      <c r="AC561" s="56">
        <f t="shared" si="204"/>
        <v>0</v>
      </c>
      <c r="AE561" s="20">
        <f t="shared" si="205"/>
        <v>0</v>
      </c>
      <c r="AF561" s="20">
        <f t="shared" si="206"/>
        <v>1930068000.0000002</v>
      </c>
      <c r="AG561">
        <f t="shared" si="195"/>
        <v>0</v>
      </c>
      <c r="AH561">
        <f t="shared" si="196"/>
        <v>0</v>
      </c>
      <c r="AI561">
        <f t="shared" si="197"/>
        <v>16695949475.283735</v>
      </c>
    </row>
    <row r="562" spans="2:35" x14ac:dyDescent="0.25">
      <c r="B562" s="4"/>
      <c r="C562" s="4"/>
      <c r="D562" s="1"/>
      <c r="E562" s="4"/>
      <c r="F562" s="4"/>
      <c r="G562" s="4"/>
      <c r="H562" s="11"/>
      <c r="I562" s="4"/>
      <c r="J562" s="4"/>
      <c r="K562" s="5"/>
      <c r="L562" s="5"/>
      <c r="M562" s="8"/>
      <c r="N562" s="8"/>
      <c r="O562" s="8">
        <f>SUMIFS(EIAwtransport!$J$2:$J$675,EIAwtransport!$E$2:$E$675,Program_data!$E562,EIAwtransport!$H$2:$H$675,Program_data!$F562,EIAwtransport!$I$2:$I$675,Program_data!O$2)</f>
        <v>0</v>
      </c>
      <c r="P562" s="5">
        <f>SUMIFS(EIAwtransport!$J$2:$J$675,EIAwtransport!$E$2:$E$675,Program_data!$E562,EIAwtransport!$H$2:$H$675,Program_data!$F562,EIAwtransport!$I$2:$I$675,Program_data!P$2)</f>
        <v>0</v>
      </c>
      <c r="Q562" s="5">
        <f>SUMIFS(EIAwtransport!$J$2:$J$675,EIAwtransport!$E$2:$E$675,Program_data!$E562,EIAwtransport!$H$2:$H$675,Program_data!$F562,EIAwtransport!$I$2:$I$675,Program_data!Q$2)</f>
        <v>0</v>
      </c>
      <c r="R562" s="8">
        <f>SUMIFS(EIAwtransport!$J$2:$J$675,EIAwtransport!$E$2:$E$675,Program_data!$E562,EIAwtransport!$I$2:$I$675,Program_data!R$2)</f>
        <v>0</v>
      </c>
      <c r="S562" s="5">
        <f>SUMIFS(EIAwtransport!$J$2:$J$675,EIAwtransport!$E$2:$E$675,Program_data!$E562,EIAwtransport!$I$2:$I$675,Program_data!S$2)</f>
        <v>0</v>
      </c>
      <c r="T562" s="5">
        <f>SUMIFS(EIAwtransport!$J$2:$J$675,EIAwtransport!$E$2:$E$675,Program_data!$E562,EIAwtransport!$I$2:$I$675,Program_data!T$2)</f>
        <v>0</v>
      </c>
      <c r="U562" s="97" t="str">
        <f t="shared" si="198"/>
        <v/>
      </c>
      <c r="V562" s="24" t="str">
        <f t="shared" si="207"/>
        <v/>
      </c>
      <c r="W562" s="24" t="str">
        <f t="shared" si="199"/>
        <v/>
      </c>
      <c r="X562" s="25" t="str">
        <f t="shared" si="200"/>
        <v/>
      </c>
      <c r="Y562" s="8" t="str">
        <f t="shared" si="201"/>
        <v/>
      </c>
      <c r="Z562" s="27" t="str">
        <f t="shared" si="202"/>
        <v/>
      </c>
      <c r="AA562" s="27"/>
      <c r="AB562" s="27"/>
      <c r="AC562" s="56" t="str">
        <f t="shared" si="204"/>
        <v/>
      </c>
      <c r="AE562" s="20">
        <f t="shared" si="205"/>
        <v>0</v>
      </c>
      <c r="AF562" s="20">
        <f t="shared" si="206"/>
        <v>0</v>
      </c>
      <c r="AG562">
        <f t="shared" si="195"/>
        <v>0</v>
      </c>
      <c r="AH562">
        <f t="shared" si="196"/>
        <v>0</v>
      </c>
      <c r="AI562">
        <f t="shared" si="197"/>
        <v>0</v>
      </c>
    </row>
    <row r="563" spans="2:35" x14ac:dyDescent="0.25">
      <c r="B563" s="4">
        <v>2025</v>
      </c>
      <c r="C563" s="4" t="s">
        <v>33</v>
      </c>
      <c r="D563" s="1" t="s">
        <v>81</v>
      </c>
      <c r="E563" s="4" t="str">
        <f>D563&amp;"-"&amp;C563</f>
        <v>FortisBC-CAN</v>
      </c>
      <c r="F563" s="4" t="s">
        <v>155</v>
      </c>
      <c r="G563" s="4"/>
      <c r="H563" s="11" t="s">
        <v>405</v>
      </c>
      <c r="I563" s="4"/>
      <c r="J563" s="4" t="s">
        <v>155</v>
      </c>
      <c r="K563" s="5">
        <v>0</v>
      </c>
      <c r="L563" s="38"/>
      <c r="M563" s="8">
        <v>1224700</v>
      </c>
      <c r="N563" s="8">
        <v>0</v>
      </c>
      <c r="O563" s="8">
        <f>SUMIFS(EIAwtransport!$J$2:$J$675,EIAwtransport!$E$2:$E$675,Program_data!$E563,EIAwtransport!$H$2:$H$675,Program_data!$F563,EIAwtransport!$I$2:$I$675,Program_data!O$2)</f>
        <v>0</v>
      </c>
      <c r="P563" s="5">
        <f>SUMIFS(EIAwtransport!$J$2:$J$675,EIAwtransport!$E$2:$E$675,Program_data!$E563,EIAwtransport!$H$2:$H$675,Program_data!$F563,EIAwtransport!$I$2:$I$675,Program_data!P$2)</f>
        <v>0</v>
      </c>
      <c r="Q563" s="5">
        <f>SUMIFS(EIAwtransport!$J$2:$J$675,EIAwtransport!$E$2:$E$675,Program_data!$E563,EIAwtransport!$H$2:$H$675,Program_data!$F563,EIAwtransport!$I$2:$I$675,Program_data!Q$2)</f>
        <v>0</v>
      </c>
      <c r="R563" s="8">
        <f>SUMIFS(EIAwtransport!$J$2:$J$675,EIAwtransport!$E$2:$E$675,Program_data!$E563,EIAwtransport!$I$2:$I$675,Program_data!R$2)</f>
        <v>1429680000</v>
      </c>
      <c r="S563" s="5">
        <f>SUMIFS(EIAwtransport!$J$2:$J$675,EIAwtransport!$E$2:$E$675,Program_data!$E563,EIAwtransport!$I$2:$I$675,Program_data!S$2)</f>
        <v>158285451.98410821</v>
      </c>
      <c r="T563" s="5">
        <f>SUMIFS(EIAwtransport!$J$2:$J$675,EIAwtransport!$E$2:$E$675,Program_data!$E563,EIAwtransport!$I$2:$I$675,Program_data!T$2)</f>
        <v>1074614</v>
      </c>
      <c r="U563" s="24">
        <f t="shared" si="198"/>
        <v>0</v>
      </c>
      <c r="V563" s="24">
        <f t="shared" si="207"/>
        <v>0</v>
      </c>
      <c r="W563" s="24">
        <f t="shared" si="199"/>
        <v>8.5662525879917184E-4</v>
      </c>
      <c r="X563" s="25">
        <f t="shared" si="200"/>
        <v>7.468423928571426E-4</v>
      </c>
      <c r="Y563" s="8" t="str">
        <f t="shared" si="201"/>
        <v/>
      </c>
      <c r="Z563" s="27">
        <f t="shared" si="202"/>
        <v>0.1455528980313055</v>
      </c>
      <c r="AA563" s="27"/>
      <c r="AB563" s="27"/>
      <c r="AC563" s="56">
        <f t="shared" si="204"/>
        <v>0</v>
      </c>
      <c r="AE563" s="20">
        <f t="shared" si="205"/>
        <v>0</v>
      </c>
      <c r="AF563" s="20">
        <f t="shared" si="206"/>
        <v>1930068000.0000002</v>
      </c>
      <c r="AG563">
        <f t="shared" si="195"/>
        <v>0</v>
      </c>
      <c r="AH563">
        <f t="shared" si="196"/>
        <v>0</v>
      </c>
      <c r="AI563">
        <f t="shared" si="197"/>
        <v>16695949475.283735</v>
      </c>
    </row>
    <row r="564" spans="2:35" x14ac:dyDescent="0.25">
      <c r="B564" s="4">
        <v>2026</v>
      </c>
      <c r="C564" s="4" t="s">
        <v>33</v>
      </c>
      <c r="D564" s="1" t="s">
        <v>81</v>
      </c>
      <c r="E564" s="4" t="str">
        <f>D564&amp;"-"&amp;C564</f>
        <v>FortisBC-CAN</v>
      </c>
      <c r="F564" s="4" t="s">
        <v>155</v>
      </c>
      <c r="G564" s="4"/>
      <c r="H564" s="11" t="s">
        <v>405</v>
      </c>
      <c r="I564" s="4"/>
      <c r="J564" s="4" t="s">
        <v>155</v>
      </c>
      <c r="K564" s="5">
        <v>0</v>
      </c>
      <c r="L564" s="38"/>
      <c r="M564" s="8">
        <v>1261700</v>
      </c>
      <c r="N564" s="8">
        <v>0</v>
      </c>
      <c r="O564" s="8">
        <f>SUMIFS(EIAwtransport!$J$2:$J$675,EIAwtransport!$E$2:$E$675,Program_data!$E564,EIAwtransport!$H$2:$H$675,Program_data!$F564,EIAwtransport!$I$2:$I$675,Program_data!O$2)</f>
        <v>0</v>
      </c>
      <c r="P564" s="5">
        <f>SUMIFS(EIAwtransport!$J$2:$J$675,EIAwtransport!$E$2:$E$675,Program_data!$E564,EIAwtransport!$H$2:$H$675,Program_data!$F564,EIAwtransport!$I$2:$I$675,Program_data!P$2)</f>
        <v>0</v>
      </c>
      <c r="Q564" s="5">
        <f>SUMIFS(EIAwtransport!$J$2:$J$675,EIAwtransport!$E$2:$E$675,Program_data!$E564,EIAwtransport!$H$2:$H$675,Program_data!$F564,EIAwtransport!$I$2:$I$675,Program_data!Q$2)</f>
        <v>0</v>
      </c>
      <c r="R564" s="8">
        <f>SUMIFS(EIAwtransport!$J$2:$J$675,EIAwtransport!$E$2:$E$675,Program_data!$E564,EIAwtransport!$I$2:$I$675,Program_data!R$2)</f>
        <v>1429680000</v>
      </c>
      <c r="S564" s="5">
        <f>SUMIFS(EIAwtransport!$J$2:$J$675,EIAwtransport!$E$2:$E$675,Program_data!$E564,EIAwtransport!$I$2:$I$675,Program_data!S$2)</f>
        <v>158285451.98410821</v>
      </c>
      <c r="T564" s="5">
        <f>SUMIFS(EIAwtransport!$J$2:$J$675,EIAwtransport!$E$2:$E$675,Program_data!$E564,EIAwtransport!$I$2:$I$675,Program_data!T$2)</f>
        <v>1074614</v>
      </c>
      <c r="U564" s="24">
        <f t="shared" si="198"/>
        <v>0</v>
      </c>
      <c r="V564" s="24">
        <f t="shared" si="207"/>
        <v>0</v>
      </c>
      <c r="W564" s="24">
        <f t="shared" si="199"/>
        <v>8.8250517598343682E-4</v>
      </c>
      <c r="X564" s="25">
        <f t="shared" si="200"/>
        <v>7.6940560714285685E-4</v>
      </c>
      <c r="Y564" s="8" t="str">
        <f t="shared" si="201"/>
        <v/>
      </c>
      <c r="Z564" s="27">
        <f t="shared" si="202"/>
        <v>0.13034002686570756</v>
      </c>
      <c r="AA564" s="27"/>
      <c r="AB564" s="27"/>
      <c r="AC564" s="56">
        <f t="shared" si="204"/>
        <v>0</v>
      </c>
      <c r="AE564" s="20">
        <f t="shared" si="205"/>
        <v>0</v>
      </c>
      <c r="AF564" s="20">
        <f t="shared" si="206"/>
        <v>1930068000.0000002</v>
      </c>
      <c r="AG564">
        <f t="shared" si="195"/>
        <v>0</v>
      </c>
      <c r="AH564">
        <f t="shared" si="196"/>
        <v>0</v>
      </c>
      <c r="AI564">
        <f t="shared" si="197"/>
        <v>16695949475.283735</v>
      </c>
    </row>
    <row r="565" spans="2:35" x14ac:dyDescent="0.25">
      <c r="B565" s="4">
        <v>2027</v>
      </c>
      <c r="C565" s="4" t="s">
        <v>33</v>
      </c>
      <c r="D565" s="1" t="s">
        <v>81</v>
      </c>
      <c r="E565" s="4" t="str">
        <f>D565&amp;"-"&amp;C565</f>
        <v>FortisBC-CAN</v>
      </c>
      <c r="F565" s="4" t="s">
        <v>155</v>
      </c>
      <c r="G565" s="4"/>
      <c r="H565" s="11" t="s">
        <v>405</v>
      </c>
      <c r="I565" s="4"/>
      <c r="J565" s="4" t="s">
        <v>155</v>
      </c>
      <c r="K565" s="5">
        <v>0</v>
      </c>
      <c r="L565" s="38"/>
      <c r="M565" s="8">
        <v>1261700</v>
      </c>
      <c r="N565" s="8">
        <v>0</v>
      </c>
      <c r="O565" s="8">
        <f>SUMIFS(EIAwtransport!$J$2:$J$675,EIAwtransport!$E$2:$E$675,Program_data!$E565,EIAwtransport!$H$2:$H$675,Program_data!$F565,EIAwtransport!$I$2:$I$675,Program_data!O$2)</f>
        <v>0</v>
      </c>
      <c r="P565" s="5">
        <f>SUMIFS(EIAwtransport!$J$2:$J$675,EIAwtransport!$E$2:$E$675,Program_data!$E565,EIAwtransport!$H$2:$H$675,Program_data!$F565,EIAwtransport!$I$2:$I$675,Program_data!P$2)</f>
        <v>0</v>
      </c>
      <c r="Q565" s="5">
        <f>SUMIFS(EIAwtransport!$J$2:$J$675,EIAwtransport!$E$2:$E$675,Program_data!$E565,EIAwtransport!$H$2:$H$675,Program_data!$F565,EIAwtransport!$I$2:$I$675,Program_data!Q$2)</f>
        <v>0</v>
      </c>
      <c r="R565" s="8">
        <f>SUMIFS(EIAwtransport!$J$2:$J$675,EIAwtransport!$E$2:$E$675,Program_data!$E565,EIAwtransport!$I$2:$I$675,Program_data!R$2)</f>
        <v>1429680000</v>
      </c>
      <c r="S565" s="5">
        <f>SUMIFS(EIAwtransport!$J$2:$J$675,EIAwtransport!$E$2:$E$675,Program_data!$E565,EIAwtransport!$I$2:$I$675,Program_data!S$2)</f>
        <v>158285451.98410821</v>
      </c>
      <c r="T565" s="5">
        <f>SUMIFS(EIAwtransport!$J$2:$J$675,EIAwtransport!$E$2:$E$675,Program_data!$E565,EIAwtransport!$I$2:$I$675,Program_data!T$2)</f>
        <v>1074614</v>
      </c>
      <c r="U565" s="24">
        <f t="shared" si="198"/>
        <v>0</v>
      </c>
      <c r="V565" s="24">
        <f t="shared" si="207"/>
        <v>0</v>
      </c>
      <c r="W565" s="24">
        <f t="shared" si="199"/>
        <v>8.8250517598343682E-4</v>
      </c>
      <c r="X565" s="25">
        <f t="shared" si="200"/>
        <v>7.6940560714285685E-4</v>
      </c>
      <c r="Y565" s="8" t="str">
        <f t="shared" si="201"/>
        <v/>
      </c>
      <c r="Z565" s="27">
        <f t="shared" si="202"/>
        <v>0.11802407161961569</v>
      </c>
      <c r="AA565" s="27"/>
      <c r="AB565" s="27"/>
      <c r="AC565" s="56">
        <f t="shared" si="204"/>
        <v>0</v>
      </c>
      <c r="AE565" s="20">
        <f t="shared" si="205"/>
        <v>0</v>
      </c>
      <c r="AF565" s="20">
        <f t="shared" si="206"/>
        <v>1930068000.0000002</v>
      </c>
      <c r="AG565">
        <f t="shared" si="195"/>
        <v>0</v>
      </c>
      <c r="AH565">
        <f t="shared" si="196"/>
        <v>0</v>
      </c>
      <c r="AI565">
        <f t="shared" si="197"/>
        <v>16695949475.283735</v>
      </c>
    </row>
    <row r="566" spans="2:35" x14ac:dyDescent="0.25">
      <c r="B566" s="4"/>
      <c r="C566" s="4"/>
      <c r="D566" s="1"/>
      <c r="E566" s="4"/>
      <c r="F566" s="4"/>
      <c r="G566" s="4"/>
      <c r="H566" s="11"/>
      <c r="I566" s="4"/>
      <c r="J566" s="4"/>
      <c r="K566" s="5"/>
      <c r="L566" s="5"/>
      <c r="M566" s="8"/>
      <c r="N566" s="8"/>
      <c r="O566" s="8">
        <f>SUMIFS(EIAwtransport!$J$2:$J$675,EIAwtransport!$E$2:$E$675,Program_data!$E566,EIAwtransport!$H$2:$H$675,Program_data!$F566,EIAwtransport!$I$2:$I$675,Program_data!O$2)</f>
        <v>0</v>
      </c>
      <c r="P566" s="5">
        <f>SUMIFS(EIAwtransport!$J$2:$J$675,EIAwtransport!$E$2:$E$675,Program_data!$E566,EIAwtransport!$H$2:$H$675,Program_data!$F566,EIAwtransport!$I$2:$I$675,Program_data!P$2)</f>
        <v>0</v>
      </c>
      <c r="Q566" s="5">
        <f>SUMIFS(EIAwtransport!$J$2:$J$675,EIAwtransport!$E$2:$E$675,Program_data!$E566,EIAwtransport!$H$2:$H$675,Program_data!$F566,EIAwtransport!$I$2:$I$675,Program_data!Q$2)</f>
        <v>0</v>
      </c>
      <c r="R566" s="8">
        <f>SUMIFS(EIAwtransport!$J$2:$J$675,EIAwtransport!$E$2:$E$675,Program_data!$E566,EIAwtransport!$I$2:$I$675,Program_data!R$2)</f>
        <v>0</v>
      </c>
      <c r="S566" s="5">
        <f>SUMIFS(EIAwtransport!$J$2:$J$675,EIAwtransport!$E$2:$E$675,Program_data!$E566,EIAwtransport!$I$2:$I$675,Program_data!S$2)</f>
        <v>0</v>
      </c>
      <c r="T566" s="5">
        <f>SUMIFS(EIAwtransport!$J$2:$J$675,EIAwtransport!$E$2:$E$675,Program_data!$E566,EIAwtransport!$I$2:$I$675,Program_data!T$2)</f>
        <v>0</v>
      </c>
      <c r="U566" s="97" t="str">
        <f t="shared" si="198"/>
        <v/>
      </c>
      <c r="V566" s="24" t="str">
        <f t="shared" si="207"/>
        <v/>
      </c>
      <c r="W566" s="24" t="str">
        <f t="shared" si="199"/>
        <v/>
      </c>
      <c r="X566" s="25" t="str">
        <f t="shared" si="200"/>
        <v/>
      </c>
      <c r="Y566" s="8" t="str">
        <f t="shared" si="201"/>
        <v/>
      </c>
      <c r="Z566" s="27" t="str">
        <f t="shared" si="202"/>
        <v/>
      </c>
      <c r="AA566" s="27"/>
      <c r="AB566" s="27"/>
      <c r="AC566" s="56" t="str">
        <f t="shared" si="204"/>
        <v/>
      </c>
      <c r="AE566" s="20">
        <f t="shared" si="205"/>
        <v>0</v>
      </c>
      <c r="AF566" s="20">
        <f t="shared" si="206"/>
        <v>0</v>
      </c>
      <c r="AG566">
        <f t="shared" si="195"/>
        <v>0</v>
      </c>
      <c r="AH566">
        <f t="shared" si="196"/>
        <v>0</v>
      </c>
      <c r="AI566">
        <f t="shared" si="197"/>
        <v>0</v>
      </c>
    </row>
    <row r="567" spans="2:35" x14ac:dyDescent="0.25">
      <c r="B567" s="4">
        <v>2025</v>
      </c>
      <c r="C567" s="4" t="s">
        <v>33</v>
      </c>
      <c r="D567" s="1" t="s">
        <v>81</v>
      </c>
      <c r="E567" s="4" t="str">
        <f>D567&amp;"-"&amp;C567</f>
        <v>FortisBC-CAN</v>
      </c>
      <c r="F567" s="4" t="s">
        <v>155</v>
      </c>
      <c r="G567" s="4"/>
      <c r="H567" s="11" t="s">
        <v>406</v>
      </c>
      <c r="I567" s="4"/>
      <c r="J567" s="4" t="s">
        <v>155</v>
      </c>
      <c r="K567" s="5">
        <v>0</v>
      </c>
      <c r="L567" s="38"/>
      <c r="M567" s="8">
        <v>840640</v>
      </c>
      <c r="N567" s="8">
        <v>0</v>
      </c>
      <c r="O567" s="8">
        <f>SUMIFS(EIAwtransport!$J$2:$J$675,EIAwtransport!$E$2:$E$675,Program_data!$E567,EIAwtransport!$H$2:$H$675,Program_data!$F567,EIAwtransport!$I$2:$I$675,Program_data!O$2)</f>
        <v>0</v>
      </c>
      <c r="P567" s="5">
        <f>SUMIFS(EIAwtransport!$J$2:$J$675,EIAwtransport!$E$2:$E$675,Program_data!$E567,EIAwtransport!$H$2:$H$675,Program_data!$F567,EIAwtransport!$I$2:$I$675,Program_data!P$2)</f>
        <v>0</v>
      </c>
      <c r="Q567" s="5">
        <f>SUMIFS(EIAwtransport!$J$2:$J$675,EIAwtransport!$E$2:$E$675,Program_data!$E567,EIAwtransport!$H$2:$H$675,Program_data!$F567,EIAwtransport!$I$2:$I$675,Program_data!Q$2)</f>
        <v>0</v>
      </c>
      <c r="R567" s="8">
        <f>SUMIFS(EIAwtransport!$J$2:$J$675,EIAwtransport!$E$2:$E$675,Program_data!$E567,EIAwtransport!$I$2:$I$675,Program_data!R$2)</f>
        <v>1429680000</v>
      </c>
      <c r="S567" s="5">
        <f>SUMIFS(EIAwtransport!$J$2:$J$675,EIAwtransport!$E$2:$E$675,Program_data!$E567,EIAwtransport!$I$2:$I$675,Program_data!S$2)</f>
        <v>158285451.98410821</v>
      </c>
      <c r="T567" s="5">
        <f>SUMIFS(EIAwtransport!$J$2:$J$675,EIAwtransport!$E$2:$E$675,Program_data!$E567,EIAwtransport!$I$2:$I$675,Program_data!T$2)</f>
        <v>1074614</v>
      </c>
      <c r="U567" s="24">
        <f t="shared" si="198"/>
        <v>0</v>
      </c>
      <c r="V567" s="24">
        <f t="shared" si="207"/>
        <v>0</v>
      </c>
      <c r="W567" s="24">
        <f t="shared" si="199"/>
        <v>5.8799171842650107E-4</v>
      </c>
      <c r="X567" s="25">
        <f t="shared" si="200"/>
        <v>5.126362285714284E-4</v>
      </c>
      <c r="Y567" s="8" t="str">
        <f t="shared" si="201"/>
        <v/>
      </c>
      <c r="Z567" s="27">
        <f t="shared" si="202"/>
        <v>9.9908212787651385E-2</v>
      </c>
      <c r="AA567" s="27"/>
      <c r="AB567" s="27"/>
      <c r="AC567" s="56">
        <f t="shared" si="204"/>
        <v>0</v>
      </c>
      <c r="AE567" s="20">
        <f t="shared" si="205"/>
        <v>0</v>
      </c>
      <c r="AF567" s="20">
        <f t="shared" si="206"/>
        <v>1930068000.0000002</v>
      </c>
      <c r="AG567">
        <f t="shared" si="195"/>
        <v>0</v>
      </c>
      <c r="AH567">
        <f t="shared" si="196"/>
        <v>0</v>
      </c>
      <c r="AI567">
        <f t="shared" si="197"/>
        <v>16695949475.283735</v>
      </c>
    </row>
    <row r="568" spans="2:35" x14ac:dyDescent="0.25">
      <c r="B568" s="4">
        <v>2026</v>
      </c>
      <c r="C568" s="4" t="s">
        <v>33</v>
      </c>
      <c r="D568" s="1" t="s">
        <v>81</v>
      </c>
      <c r="E568" s="4" t="str">
        <f>D568&amp;"-"&amp;C568</f>
        <v>FortisBC-CAN</v>
      </c>
      <c r="F568" s="4" t="s">
        <v>155</v>
      </c>
      <c r="G568" s="4"/>
      <c r="H568" s="11" t="s">
        <v>406</v>
      </c>
      <c r="I568" s="4"/>
      <c r="J568" s="4" t="s">
        <v>155</v>
      </c>
      <c r="K568" s="5">
        <v>0</v>
      </c>
      <c r="L568" s="38"/>
      <c r="M568" s="8">
        <v>807340</v>
      </c>
      <c r="N568" s="8">
        <v>0</v>
      </c>
      <c r="O568" s="8">
        <f>SUMIFS(EIAwtransport!$J$2:$J$675,EIAwtransport!$E$2:$E$675,Program_data!$E568,EIAwtransport!$H$2:$H$675,Program_data!$F568,EIAwtransport!$I$2:$I$675,Program_data!O$2)</f>
        <v>0</v>
      </c>
      <c r="P568" s="5">
        <f>SUMIFS(EIAwtransport!$J$2:$J$675,EIAwtransport!$E$2:$E$675,Program_data!$E568,EIAwtransport!$H$2:$H$675,Program_data!$F568,EIAwtransport!$I$2:$I$675,Program_data!P$2)</f>
        <v>0</v>
      </c>
      <c r="Q568" s="5">
        <f>SUMIFS(EIAwtransport!$J$2:$J$675,EIAwtransport!$E$2:$E$675,Program_data!$E568,EIAwtransport!$H$2:$H$675,Program_data!$F568,EIAwtransport!$I$2:$I$675,Program_data!Q$2)</f>
        <v>0</v>
      </c>
      <c r="R568" s="8">
        <f>SUMIFS(EIAwtransport!$J$2:$J$675,EIAwtransport!$E$2:$E$675,Program_data!$E568,EIAwtransport!$I$2:$I$675,Program_data!R$2)</f>
        <v>1429680000</v>
      </c>
      <c r="S568" s="5">
        <f>SUMIFS(EIAwtransport!$J$2:$J$675,EIAwtransport!$E$2:$E$675,Program_data!$E568,EIAwtransport!$I$2:$I$675,Program_data!S$2)</f>
        <v>158285451.98410821</v>
      </c>
      <c r="T568" s="5">
        <f>SUMIFS(EIAwtransport!$J$2:$J$675,EIAwtransport!$E$2:$E$675,Program_data!$E568,EIAwtransport!$I$2:$I$675,Program_data!T$2)</f>
        <v>1074614</v>
      </c>
      <c r="U568" s="24">
        <f t="shared" si="198"/>
        <v>0</v>
      </c>
      <c r="V568" s="24">
        <f t="shared" si="207"/>
        <v>0</v>
      </c>
      <c r="W568" s="24">
        <f t="shared" si="199"/>
        <v>5.6469979296066251E-4</v>
      </c>
      <c r="X568" s="25">
        <f t="shared" si="200"/>
        <v>4.9232933571428548E-4</v>
      </c>
      <c r="Y568" s="8" t="str">
        <f t="shared" si="201"/>
        <v/>
      </c>
      <c r="Z568" s="27">
        <f t="shared" si="202"/>
        <v>8.3402328041341317E-2</v>
      </c>
      <c r="AA568" s="27"/>
      <c r="AB568" s="27"/>
      <c r="AC568" s="56">
        <f t="shared" si="204"/>
        <v>0</v>
      </c>
      <c r="AE568" s="20">
        <f t="shared" si="205"/>
        <v>0</v>
      </c>
      <c r="AF568" s="20">
        <f t="shared" si="206"/>
        <v>1930068000.0000002</v>
      </c>
      <c r="AG568">
        <f t="shared" si="195"/>
        <v>0</v>
      </c>
      <c r="AH568">
        <f t="shared" si="196"/>
        <v>0</v>
      </c>
      <c r="AI568">
        <f t="shared" si="197"/>
        <v>16695949475.283735</v>
      </c>
    </row>
    <row r="569" spans="2:35" x14ac:dyDescent="0.25">
      <c r="B569" s="4">
        <v>2027</v>
      </c>
      <c r="C569" s="4" t="s">
        <v>33</v>
      </c>
      <c r="D569" s="1" t="s">
        <v>81</v>
      </c>
      <c r="E569" s="4" t="str">
        <f>D569&amp;"-"&amp;C569</f>
        <v>FortisBC-CAN</v>
      </c>
      <c r="F569" s="4" t="s">
        <v>155</v>
      </c>
      <c r="G569" s="4"/>
      <c r="H569" s="11" t="s">
        <v>406</v>
      </c>
      <c r="I569" s="4"/>
      <c r="J569" s="4" t="s">
        <v>155</v>
      </c>
      <c r="K569" s="5">
        <v>0</v>
      </c>
      <c r="L569" s="38"/>
      <c r="M569" s="8">
        <v>807340</v>
      </c>
      <c r="N569" s="8">
        <v>0</v>
      </c>
      <c r="O569" s="8">
        <f>SUMIFS(EIAwtransport!$J$2:$J$675,EIAwtransport!$E$2:$E$675,Program_data!$E569,EIAwtransport!$H$2:$H$675,Program_data!$F569,EIAwtransport!$I$2:$I$675,Program_data!O$2)</f>
        <v>0</v>
      </c>
      <c r="P569" s="5">
        <f>SUMIFS(EIAwtransport!$J$2:$J$675,EIAwtransport!$E$2:$E$675,Program_data!$E569,EIAwtransport!$H$2:$H$675,Program_data!$F569,EIAwtransport!$I$2:$I$675,Program_data!P$2)</f>
        <v>0</v>
      </c>
      <c r="Q569" s="5">
        <f>SUMIFS(EIAwtransport!$J$2:$J$675,EIAwtransport!$E$2:$E$675,Program_data!$E569,EIAwtransport!$H$2:$H$675,Program_data!$F569,EIAwtransport!$I$2:$I$675,Program_data!Q$2)</f>
        <v>0</v>
      </c>
      <c r="R569" s="8">
        <f>SUMIFS(EIAwtransport!$J$2:$J$675,EIAwtransport!$E$2:$E$675,Program_data!$E569,EIAwtransport!$I$2:$I$675,Program_data!R$2)</f>
        <v>1429680000</v>
      </c>
      <c r="S569" s="5">
        <f>SUMIFS(EIAwtransport!$J$2:$J$675,EIAwtransport!$E$2:$E$675,Program_data!$E569,EIAwtransport!$I$2:$I$675,Program_data!S$2)</f>
        <v>158285451.98410821</v>
      </c>
      <c r="T569" s="5">
        <f>SUMIFS(EIAwtransport!$J$2:$J$675,EIAwtransport!$E$2:$E$675,Program_data!$E569,EIAwtransport!$I$2:$I$675,Program_data!T$2)</f>
        <v>1074614</v>
      </c>
      <c r="U569" s="24">
        <f t="shared" si="198"/>
        <v>0</v>
      </c>
      <c r="V569" s="24">
        <f t="shared" si="207"/>
        <v>0</v>
      </c>
      <c r="W569" s="24">
        <f t="shared" si="199"/>
        <v>5.6469979296066251E-4</v>
      </c>
      <c r="X569" s="25">
        <f t="shared" si="200"/>
        <v>4.9232933571428548E-4</v>
      </c>
      <c r="Y569" s="8" t="str">
        <f t="shared" si="201"/>
        <v/>
      </c>
      <c r="Z569" s="27">
        <f t="shared" si="202"/>
        <v>7.5521561370674908E-2</v>
      </c>
      <c r="AA569" s="27"/>
      <c r="AB569" s="27"/>
      <c r="AC569" s="56">
        <f t="shared" si="204"/>
        <v>0</v>
      </c>
      <c r="AE569" s="20">
        <f t="shared" si="205"/>
        <v>0</v>
      </c>
      <c r="AF569" s="20">
        <f t="shared" si="206"/>
        <v>1930068000.0000002</v>
      </c>
      <c r="AG569">
        <f t="shared" si="195"/>
        <v>0</v>
      </c>
      <c r="AH569">
        <f t="shared" si="196"/>
        <v>0</v>
      </c>
      <c r="AI569">
        <f t="shared" si="197"/>
        <v>16695949475.283735</v>
      </c>
    </row>
    <row r="570" spans="2:35" x14ac:dyDescent="0.25">
      <c r="B570" s="4"/>
      <c r="C570" s="4"/>
      <c r="D570" s="1"/>
      <c r="E570" s="4"/>
      <c r="F570" s="4"/>
      <c r="G570" s="4"/>
      <c r="H570" s="11"/>
      <c r="I570" s="4"/>
      <c r="J570" s="4"/>
      <c r="K570" s="5"/>
      <c r="L570" s="5"/>
      <c r="M570" s="8"/>
      <c r="N570" s="8"/>
      <c r="O570" s="8">
        <f>SUMIFS(EIAwtransport!$J$2:$J$675,EIAwtransport!$E$2:$E$675,Program_data!$E570,EIAwtransport!$H$2:$H$675,Program_data!$F570,EIAwtransport!$I$2:$I$675,Program_data!O$2)</f>
        <v>0</v>
      </c>
      <c r="P570" s="5">
        <f>SUMIFS(EIAwtransport!$J$2:$J$675,EIAwtransport!$E$2:$E$675,Program_data!$E570,EIAwtransport!$H$2:$H$675,Program_data!$F570,EIAwtransport!$I$2:$I$675,Program_data!P$2)</f>
        <v>0</v>
      </c>
      <c r="Q570" s="5">
        <f>SUMIFS(EIAwtransport!$J$2:$J$675,EIAwtransport!$E$2:$E$675,Program_data!$E570,EIAwtransport!$H$2:$H$675,Program_data!$F570,EIAwtransport!$I$2:$I$675,Program_data!Q$2)</f>
        <v>0</v>
      </c>
      <c r="R570" s="8">
        <f>SUMIFS(EIAwtransport!$J$2:$J$675,EIAwtransport!$E$2:$E$675,Program_data!$E570,EIAwtransport!$I$2:$I$675,Program_data!R$2)</f>
        <v>0</v>
      </c>
      <c r="S570" s="5">
        <f>SUMIFS(EIAwtransport!$J$2:$J$675,EIAwtransport!$E$2:$E$675,Program_data!$E570,EIAwtransport!$I$2:$I$675,Program_data!S$2)</f>
        <v>0</v>
      </c>
      <c r="T570" s="5">
        <f>SUMIFS(EIAwtransport!$J$2:$J$675,EIAwtransport!$E$2:$E$675,Program_data!$E570,EIAwtransport!$I$2:$I$675,Program_data!T$2)</f>
        <v>0</v>
      </c>
      <c r="U570" s="97" t="str">
        <f t="shared" si="198"/>
        <v/>
      </c>
      <c r="V570" s="24" t="str">
        <f t="shared" si="207"/>
        <v/>
      </c>
      <c r="W570" s="24" t="str">
        <f t="shared" si="199"/>
        <v/>
      </c>
      <c r="X570" s="25" t="str">
        <f t="shared" si="200"/>
        <v/>
      </c>
      <c r="Y570" s="8" t="str">
        <f t="shared" si="201"/>
        <v/>
      </c>
      <c r="Z570" s="27" t="str">
        <f t="shared" si="202"/>
        <v/>
      </c>
      <c r="AA570" s="27"/>
      <c r="AB570" s="27"/>
      <c r="AC570" s="56" t="str">
        <f t="shared" si="204"/>
        <v/>
      </c>
      <c r="AE570" s="20">
        <f t="shared" si="205"/>
        <v>0</v>
      </c>
      <c r="AF570" s="20">
        <f t="shared" si="206"/>
        <v>0</v>
      </c>
      <c r="AG570">
        <f t="shared" ref="AG570:AG633" si="209">K570*105.48</f>
        <v>0</v>
      </c>
      <c r="AH570">
        <f t="shared" ref="AH570:AH633" si="210">L570*105.48</f>
        <v>0</v>
      </c>
      <c r="AI570">
        <f t="shared" ref="AI570:AI633" si="211">S570*105.48</f>
        <v>0</v>
      </c>
    </row>
    <row r="571" spans="2:35" x14ac:dyDescent="0.25">
      <c r="B571" s="4">
        <v>2025</v>
      </c>
      <c r="C571" s="4" t="s">
        <v>33</v>
      </c>
      <c r="D571" s="1" t="s">
        <v>81</v>
      </c>
      <c r="E571" s="4" t="str">
        <f>D571&amp;"-"&amp;C571</f>
        <v>FortisBC-CAN</v>
      </c>
      <c r="F571" s="4" t="s">
        <v>155</v>
      </c>
      <c r="G571" s="4"/>
      <c r="H571" s="11" t="s">
        <v>407</v>
      </c>
      <c r="I571" s="4"/>
      <c r="J571" s="4" t="s">
        <v>155</v>
      </c>
      <c r="K571" s="5">
        <v>0</v>
      </c>
      <c r="L571" s="38"/>
      <c r="M571" s="8">
        <v>2264400</v>
      </c>
      <c r="N571" s="8">
        <v>0</v>
      </c>
      <c r="O571" s="8">
        <f>SUMIFS(EIAwtransport!$J$2:$J$675,EIAwtransport!$E$2:$E$675,Program_data!$E571,EIAwtransport!$H$2:$H$675,Program_data!$F571,EIAwtransport!$I$2:$I$675,Program_data!O$2)</f>
        <v>0</v>
      </c>
      <c r="P571" s="5">
        <f>SUMIFS(EIAwtransport!$J$2:$J$675,EIAwtransport!$E$2:$E$675,Program_data!$E571,EIAwtransport!$H$2:$H$675,Program_data!$F571,EIAwtransport!$I$2:$I$675,Program_data!P$2)</f>
        <v>0</v>
      </c>
      <c r="Q571" s="5">
        <f>SUMIFS(EIAwtransport!$J$2:$J$675,EIAwtransport!$E$2:$E$675,Program_data!$E571,EIAwtransport!$H$2:$H$675,Program_data!$F571,EIAwtransport!$I$2:$I$675,Program_data!Q$2)</f>
        <v>0</v>
      </c>
      <c r="R571" s="8">
        <f>SUMIFS(EIAwtransport!$J$2:$J$675,EIAwtransport!$E$2:$E$675,Program_data!$E571,EIAwtransport!$I$2:$I$675,Program_data!R$2)</f>
        <v>1429680000</v>
      </c>
      <c r="S571" s="5">
        <f>SUMIFS(EIAwtransport!$J$2:$J$675,EIAwtransport!$E$2:$E$675,Program_data!$E571,EIAwtransport!$I$2:$I$675,Program_data!S$2)</f>
        <v>158285451.98410821</v>
      </c>
      <c r="T571" s="5">
        <f>SUMIFS(EIAwtransport!$J$2:$J$675,EIAwtransport!$E$2:$E$675,Program_data!$E571,EIAwtransport!$I$2:$I$675,Program_data!T$2)</f>
        <v>1074614</v>
      </c>
      <c r="U571" s="24">
        <f t="shared" si="198"/>
        <v>0</v>
      </c>
      <c r="V571" s="24">
        <f t="shared" si="207"/>
        <v>0</v>
      </c>
      <c r="W571" s="24">
        <f t="shared" si="199"/>
        <v>1.5838509316770187E-3</v>
      </c>
      <c r="X571" s="25">
        <f t="shared" si="200"/>
        <v>1.3808687142857138E-3</v>
      </c>
      <c r="Y571" s="8" t="str">
        <f t="shared" si="201"/>
        <v/>
      </c>
      <c r="Z571" s="27">
        <f t="shared" si="202"/>
        <v>0.26911895345969478</v>
      </c>
      <c r="AA571" s="27"/>
      <c r="AB571" s="27"/>
      <c r="AC571" s="56">
        <f t="shared" si="204"/>
        <v>0</v>
      </c>
      <c r="AE571" s="20">
        <f t="shared" si="205"/>
        <v>0</v>
      </c>
      <c r="AF571" s="20">
        <f t="shared" si="206"/>
        <v>1930068000.0000002</v>
      </c>
      <c r="AG571">
        <f t="shared" si="209"/>
        <v>0</v>
      </c>
      <c r="AH571">
        <f t="shared" si="210"/>
        <v>0</v>
      </c>
      <c r="AI571">
        <f t="shared" si="211"/>
        <v>16695949475.283735</v>
      </c>
    </row>
    <row r="572" spans="2:35" x14ac:dyDescent="0.25">
      <c r="B572" s="4">
        <v>2026</v>
      </c>
      <c r="C572" s="4" t="s">
        <v>33</v>
      </c>
      <c r="D572" s="1" t="s">
        <v>81</v>
      </c>
      <c r="E572" s="4" t="str">
        <f>D572&amp;"-"&amp;C572</f>
        <v>FortisBC-CAN</v>
      </c>
      <c r="F572" s="4" t="s">
        <v>155</v>
      </c>
      <c r="G572" s="4"/>
      <c r="H572" s="11" t="s">
        <v>407</v>
      </c>
      <c r="I572" s="4"/>
      <c r="J572" s="4" t="s">
        <v>155</v>
      </c>
      <c r="K572" s="5">
        <v>0</v>
      </c>
      <c r="L572" s="38"/>
      <c r="M572" s="8">
        <v>2311760</v>
      </c>
      <c r="N572" s="8">
        <v>0</v>
      </c>
      <c r="O572" s="8">
        <f>SUMIFS(EIAwtransport!$J$2:$J$675,EIAwtransport!$E$2:$E$675,Program_data!$E572,EIAwtransport!$H$2:$H$675,Program_data!$F572,EIAwtransport!$I$2:$I$675,Program_data!O$2)</f>
        <v>0</v>
      </c>
      <c r="P572" s="5">
        <f>SUMIFS(EIAwtransport!$J$2:$J$675,EIAwtransport!$E$2:$E$675,Program_data!$E572,EIAwtransport!$H$2:$H$675,Program_data!$F572,EIAwtransport!$I$2:$I$675,Program_data!P$2)</f>
        <v>0</v>
      </c>
      <c r="Q572" s="5">
        <f>SUMIFS(EIAwtransport!$J$2:$J$675,EIAwtransport!$E$2:$E$675,Program_data!$E572,EIAwtransport!$H$2:$H$675,Program_data!$F572,EIAwtransport!$I$2:$I$675,Program_data!Q$2)</f>
        <v>0</v>
      </c>
      <c r="R572" s="8">
        <f>SUMIFS(EIAwtransport!$J$2:$J$675,EIAwtransport!$E$2:$E$675,Program_data!$E572,EIAwtransport!$I$2:$I$675,Program_data!R$2)</f>
        <v>1429680000</v>
      </c>
      <c r="S572" s="5">
        <f>SUMIFS(EIAwtransport!$J$2:$J$675,EIAwtransport!$E$2:$E$675,Program_data!$E572,EIAwtransport!$I$2:$I$675,Program_data!S$2)</f>
        <v>158285451.98410821</v>
      </c>
      <c r="T572" s="5">
        <f>SUMIFS(EIAwtransport!$J$2:$J$675,EIAwtransport!$E$2:$E$675,Program_data!$E572,EIAwtransport!$I$2:$I$675,Program_data!T$2)</f>
        <v>1074614</v>
      </c>
      <c r="U572" s="24">
        <f t="shared" si="198"/>
        <v>0</v>
      </c>
      <c r="V572" s="24">
        <f t="shared" si="207"/>
        <v>0</v>
      </c>
      <c r="W572" s="24">
        <f t="shared" si="199"/>
        <v>1.6169772256728779E-3</v>
      </c>
      <c r="X572" s="25">
        <f t="shared" si="200"/>
        <v>1.4097496285714281E-3</v>
      </c>
      <c r="Y572" s="8" t="str">
        <f t="shared" si="201"/>
        <v/>
      </c>
      <c r="Z572" s="27">
        <f t="shared" si="202"/>
        <v>0.23881656535394161</v>
      </c>
      <c r="AA572" s="27"/>
      <c r="AB572" s="27"/>
      <c r="AC572" s="56">
        <f t="shared" si="204"/>
        <v>0</v>
      </c>
      <c r="AE572" s="20">
        <f t="shared" si="205"/>
        <v>0</v>
      </c>
      <c r="AF572" s="20">
        <f t="shared" si="206"/>
        <v>1930068000.0000002</v>
      </c>
      <c r="AG572">
        <f t="shared" si="209"/>
        <v>0</v>
      </c>
      <c r="AH572">
        <f t="shared" si="210"/>
        <v>0</v>
      </c>
      <c r="AI572">
        <f t="shared" si="211"/>
        <v>16695949475.283735</v>
      </c>
    </row>
    <row r="573" spans="2:35" x14ac:dyDescent="0.25">
      <c r="B573" s="4">
        <v>2027</v>
      </c>
      <c r="C573" s="4" t="s">
        <v>33</v>
      </c>
      <c r="D573" s="1" t="s">
        <v>81</v>
      </c>
      <c r="E573" s="4" t="str">
        <f>D573&amp;"-"&amp;C573</f>
        <v>FortisBC-CAN</v>
      </c>
      <c r="F573" s="4" t="s">
        <v>155</v>
      </c>
      <c r="G573" s="4"/>
      <c r="H573" s="11" t="s">
        <v>407</v>
      </c>
      <c r="I573" s="4"/>
      <c r="J573" s="4" t="s">
        <v>155</v>
      </c>
      <c r="K573" s="5">
        <v>0</v>
      </c>
      <c r="L573" s="38"/>
      <c r="M573" s="8">
        <v>2359860</v>
      </c>
      <c r="N573" s="8">
        <v>0</v>
      </c>
      <c r="O573" s="8">
        <f>SUMIFS(EIAwtransport!$J$2:$J$675,EIAwtransport!$E$2:$E$675,Program_data!$E573,EIAwtransport!$H$2:$H$675,Program_data!$F573,EIAwtransport!$I$2:$I$675,Program_data!O$2)</f>
        <v>0</v>
      </c>
      <c r="P573" s="5">
        <f>SUMIFS(EIAwtransport!$J$2:$J$675,EIAwtransport!$E$2:$E$675,Program_data!$E573,EIAwtransport!$H$2:$H$675,Program_data!$F573,EIAwtransport!$I$2:$I$675,Program_data!P$2)</f>
        <v>0</v>
      </c>
      <c r="Q573" s="5">
        <f>SUMIFS(EIAwtransport!$J$2:$J$675,EIAwtransport!$E$2:$E$675,Program_data!$E573,EIAwtransport!$H$2:$H$675,Program_data!$F573,EIAwtransport!$I$2:$I$675,Program_data!Q$2)</f>
        <v>0</v>
      </c>
      <c r="R573" s="8">
        <f>SUMIFS(EIAwtransport!$J$2:$J$675,EIAwtransport!$E$2:$E$675,Program_data!$E573,EIAwtransport!$I$2:$I$675,Program_data!R$2)</f>
        <v>1429680000</v>
      </c>
      <c r="S573" s="5">
        <f>SUMIFS(EIAwtransport!$J$2:$J$675,EIAwtransport!$E$2:$E$675,Program_data!$E573,EIAwtransport!$I$2:$I$675,Program_data!S$2)</f>
        <v>158285451.98410821</v>
      </c>
      <c r="T573" s="5">
        <f>SUMIFS(EIAwtransport!$J$2:$J$675,EIAwtransport!$E$2:$E$675,Program_data!$E573,EIAwtransport!$I$2:$I$675,Program_data!T$2)</f>
        <v>1074614</v>
      </c>
      <c r="U573" s="24">
        <f t="shared" si="198"/>
        <v>0</v>
      </c>
      <c r="V573" s="24">
        <f t="shared" si="207"/>
        <v>0</v>
      </c>
      <c r="W573" s="24">
        <f t="shared" si="199"/>
        <v>1.6506211180124224E-3</v>
      </c>
      <c r="X573" s="25">
        <f t="shared" si="200"/>
        <v>1.4390818071428565E-3</v>
      </c>
      <c r="Y573" s="8" t="str">
        <f t="shared" si="201"/>
        <v/>
      </c>
      <c r="Z573" s="27">
        <f t="shared" si="202"/>
        <v>0.22075000844278853</v>
      </c>
      <c r="AA573" s="27"/>
      <c r="AB573" s="27"/>
      <c r="AC573" s="56">
        <f t="shared" si="204"/>
        <v>0</v>
      </c>
      <c r="AE573" s="20">
        <f t="shared" si="205"/>
        <v>0</v>
      </c>
      <c r="AF573" s="20">
        <f t="shared" si="206"/>
        <v>1930068000.0000002</v>
      </c>
      <c r="AG573">
        <f t="shared" si="209"/>
        <v>0</v>
      </c>
      <c r="AH573">
        <f t="shared" si="210"/>
        <v>0</v>
      </c>
      <c r="AI573">
        <f t="shared" si="211"/>
        <v>16695949475.283735</v>
      </c>
    </row>
    <row r="574" spans="2:35" x14ac:dyDescent="0.25">
      <c r="B574" s="4"/>
      <c r="C574" s="4"/>
      <c r="D574" s="1"/>
      <c r="E574" s="4"/>
      <c r="F574" s="4"/>
      <c r="G574" s="4"/>
      <c r="H574" s="11"/>
      <c r="I574" s="4"/>
      <c r="J574" s="4"/>
      <c r="K574" s="5"/>
      <c r="L574" s="5"/>
      <c r="M574" s="8"/>
      <c r="N574" s="8"/>
      <c r="O574" s="8">
        <f>SUMIFS(EIAwtransport!$J$2:$J$675,EIAwtransport!$E$2:$E$675,Program_data!$E574,EIAwtransport!$H$2:$H$675,Program_data!$F574,EIAwtransport!$I$2:$I$675,Program_data!O$2)</f>
        <v>0</v>
      </c>
      <c r="P574" s="5">
        <f>SUMIFS(EIAwtransport!$J$2:$J$675,EIAwtransport!$E$2:$E$675,Program_data!$E574,EIAwtransport!$H$2:$H$675,Program_data!$F574,EIAwtransport!$I$2:$I$675,Program_data!P$2)</f>
        <v>0</v>
      </c>
      <c r="Q574" s="5">
        <f>SUMIFS(EIAwtransport!$J$2:$J$675,EIAwtransport!$E$2:$E$675,Program_data!$E574,EIAwtransport!$H$2:$H$675,Program_data!$F574,EIAwtransport!$I$2:$I$675,Program_data!Q$2)</f>
        <v>0</v>
      </c>
      <c r="R574" s="8">
        <f>SUMIFS(EIAwtransport!$J$2:$J$675,EIAwtransport!$E$2:$E$675,Program_data!$E574,EIAwtransport!$I$2:$I$675,Program_data!R$2)</f>
        <v>0</v>
      </c>
      <c r="S574" s="5">
        <f>SUMIFS(EIAwtransport!$J$2:$J$675,EIAwtransport!$E$2:$E$675,Program_data!$E574,EIAwtransport!$I$2:$I$675,Program_data!S$2)</f>
        <v>0</v>
      </c>
      <c r="T574" s="5">
        <f>SUMIFS(EIAwtransport!$J$2:$J$675,EIAwtransport!$E$2:$E$675,Program_data!$E574,EIAwtransport!$I$2:$I$675,Program_data!T$2)</f>
        <v>0</v>
      </c>
      <c r="U574" s="97" t="str">
        <f t="shared" si="198"/>
        <v/>
      </c>
      <c r="V574" s="24" t="str">
        <f t="shared" si="207"/>
        <v/>
      </c>
      <c r="W574" s="24" t="str">
        <f t="shared" si="199"/>
        <v/>
      </c>
      <c r="X574" s="25" t="str">
        <f t="shared" si="200"/>
        <v/>
      </c>
      <c r="Y574" s="8" t="str">
        <f t="shared" si="201"/>
        <v/>
      </c>
      <c r="Z574" s="27" t="str">
        <f t="shared" si="202"/>
        <v/>
      </c>
      <c r="AA574" s="27"/>
      <c r="AB574" s="27"/>
      <c r="AC574" s="56" t="str">
        <f t="shared" si="204"/>
        <v/>
      </c>
      <c r="AE574" s="20">
        <f t="shared" si="205"/>
        <v>0</v>
      </c>
      <c r="AF574" s="20">
        <f t="shared" si="206"/>
        <v>0</v>
      </c>
      <c r="AG574">
        <f t="shared" si="209"/>
        <v>0</v>
      </c>
      <c r="AH574">
        <f t="shared" si="210"/>
        <v>0</v>
      </c>
      <c r="AI574">
        <f t="shared" si="211"/>
        <v>0</v>
      </c>
    </row>
    <row r="575" spans="2:35" x14ac:dyDescent="0.25">
      <c r="B575" s="4">
        <v>2025</v>
      </c>
      <c r="C575" s="4" t="s">
        <v>33</v>
      </c>
      <c r="D575" s="1" t="s">
        <v>81</v>
      </c>
      <c r="E575" s="4" t="str">
        <f>D575&amp;"-"&amp;C575</f>
        <v>FortisBC-CAN</v>
      </c>
      <c r="F575" s="4" t="s">
        <v>155</v>
      </c>
      <c r="G575" s="4"/>
      <c r="H575" s="11" t="s">
        <v>408</v>
      </c>
      <c r="I575" s="4"/>
      <c r="J575" s="4" t="s">
        <v>155</v>
      </c>
      <c r="K575" s="5">
        <v>0</v>
      </c>
      <c r="L575" s="38"/>
      <c r="M575" s="8">
        <v>37000</v>
      </c>
      <c r="N575" s="8">
        <v>0</v>
      </c>
      <c r="O575" s="8">
        <f>SUMIFS(EIAwtransport!$J$2:$J$675,EIAwtransport!$E$2:$E$675,Program_data!$E575,EIAwtransport!$H$2:$H$675,Program_data!$F575,EIAwtransport!$I$2:$I$675,Program_data!O$2)</f>
        <v>0</v>
      </c>
      <c r="P575" s="5">
        <f>SUMIFS(EIAwtransport!$J$2:$J$675,EIAwtransport!$E$2:$E$675,Program_data!$E575,EIAwtransport!$H$2:$H$675,Program_data!$F575,EIAwtransport!$I$2:$I$675,Program_data!P$2)</f>
        <v>0</v>
      </c>
      <c r="Q575" s="5">
        <f>SUMIFS(EIAwtransport!$J$2:$J$675,EIAwtransport!$E$2:$E$675,Program_data!$E575,EIAwtransport!$H$2:$H$675,Program_data!$F575,EIAwtransport!$I$2:$I$675,Program_data!Q$2)</f>
        <v>0</v>
      </c>
      <c r="R575" s="8">
        <f>SUMIFS(EIAwtransport!$J$2:$J$675,EIAwtransport!$E$2:$E$675,Program_data!$E575,EIAwtransport!$I$2:$I$675,Program_data!R$2)</f>
        <v>1429680000</v>
      </c>
      <c r="S575" s="5">
        <f>SUMIFS(EIAwtransport!$J$2:$J$675,EIAwtransport!$E$2:$E$675,Program_data!$E575,EIAwtransport!$I$2:$I$675,Program_data!S$2)</f>
        <v>158285451.98410821</v>
      </c>
      <c r="T575" s="5">
        <f>SUMIFS(EIAwtransport!$J$2:$J$675,EIAwtransport!$E$2:$E$675,Program_data!$E575,EIAwtransport!$I$2:$I$675,Program_data!T$2)</f>
        <v>1074614</v>
      </c>
      <c r="U575" s="24">
        <f t="shared" si="198"/>
        <v>0</v>
      </c>
      <c r="V575" s="24">
        <f t="shared" si="207"/>
        <v>0</v>
      </c>
      <c r="W575" s="24">
        <f t="shared" si="199"/>
        <v>2.587991718426501E-5</v>
      </c>
      <c r="X575" s="25">
        <f t="shared" si="200"/>
        <v>2.2563214285714279E-5</v>
      </c>
      <c r="Y575" s="8" t="str">
        <f t="shared" si="201"/>
        <v/>
      </c>
      <c r="Z575" s="27">
        <f t="shared" si="202"/>
        <v>4.397368520583248E-3</v>
      </c>
      <c r="AA575" s="27"/>
      <c r="AB575" s="27"/>
      <c r="AC575" s="56">
        <f t="shared" si="204"/>
        <v>0</v>
      </c>
      <c r="AE575" s="20">
        <f t="shared" si="205"/>
        <v>0</v>
      </c>
      <c r="AF575" s="20">
        <f t="shared" si="206"/>
        <v>1930068000.0000002</v>
      </c>
      <c r="AG575">
        <f t="shared" si="209"/>
        <v>0</v>
      </c>
      <c r="AH575">
        <f t="shared" si="210"/>
        <v>0</v>
      </c>
      <c r="AI575">
        <f t="shared" si="211"/>
        <v>16695949475.283735</v>
      </c>
    </row>
    <row r="576" spans="2:35" x14ac:dyDescent="0.25">
      <c r="B576" s="4">
        <v>2026</v>
      </c>
      <c r="C576" s="4" t="s">
        <v>33</v>
      </c>
      <c r="D576" s="1" t="s">
        <v>81</v>
      </c>
      <c r="E576" s="4" t="str">
        <f>D576&amp;"-"&amp;C576</f>
        <v>FortisBC-CAN</v>
      </c>
      <c r="F576" s="4" t="s">
        <v>155</v>
      </c>
      <c r="G576" s="4"/>
      <c r="H576" s="11" t="s">
        <v>408</v>
      </c>
      <c r="I576" s="4"/>
      <c r="J576" s="4" t="s">
        <v>155</v>
      </c>
      <c r="K576" s="5">
        <v>0</v>
      </c>
      <c r="L576" s="38"/>
      <c r="M576" s="8">
        <v>37000</v>
      </c>
      <c r="N576" s="8">
        <v>0</v>
      </c>
      <c r="O576" s="8">
        <f>SUMIFS(EIAwtransport!$J$2:$J$675,EIAwtransport!$E$2:$E$675,Program_data!$E576,EIAwtransport!$H$2:$H$675,Program_data!$F576,EIAwtransport!$I$2:$I$675,Program_data!O$2)</f>
        <v>0</v>
      </c>
      <c r="P576" s="5">
        <f>SUMIFS(EIAwtransport!$J$2:$J$675,EIAwtransport!$E$2:$E$675,Program_data!$E576,EIAwtransport!$H$2:$H$675,Program_data!$F576,EIAwtransport!$I$2:$I$675,Program_data!P$2)</f>
        <v>0</v>
      </c>
      <c r="Q576" s="5">
        <f>SUMIFS(EIAwtransport!$J$2:$J$675,EIAwtransport!$E$2:$E$675,Program_data!$E576,EIAwtransport!$H$2:$H$675,Program_data!$F576,EIAwtransport!$I$2:$I$675,Program_data!Q$2)</f>
        <v>0</v>
      </c>
      <c r="R576" s="8">
        <f>SUMIFS(EIAwtransport!$J$2:$J$675,EIAwtransport!$E$2:$E$675,Program_data!$E576,EIAwtransport!$I$2:$I$675,Program_data!R$2)</f>
        <v>1429680000</v>
      </c>
      <c r="S576" s="5">
        <f>SUMIFS(EIAwtransport!$J$2:$J$675,EIAwtransport!$E$2:$E$675,Program_data!$E576,EIAwtransport!$I$2:$I$675,Program_data!S$2)</f>
        <v>158285451.98410821</v>
      </c>
      <c r="T576" s="5">
        <f>SUMIFS(EIAwtransport!$J$2:$J$675,EIAwtransport!$E$2:$E$675,Program_data!$E576,EIAwtransport!$I$2:$I$675,Program_data!T$2)</f>
        <v>1074614</v>
      </c>
      <c r="U576" s="24">
        <f t="shared" ref="U576:U639" si="212">IFERROR(K576/10.36/S576,"")</f>
        <v>0</v>
      </c>
      <c r="V576" s="24">
        <f t="shared" si="207"/>
        <v>0</v>
      </c>
      <c r="W576" s="24">
        <f t="shared" ref="W576:W639" si="213">IFERROR(M576/R576,"")</f>
        <v>2.587991718426501E-5</v>
      </c>
      <c r="X576" s="25">
        <f t="shared" ref="X576:X639" si="214">IFERROR(M576/S576/10.36,"")</f>
        <v>2.2563214285714279E-5</v>
      </c>
      <c r="Y576" s="8" t="str">
        <f t="shared" si="201"/>
        <v/>
      </c>
      <c r="Z576" s="27">
        <f t="shared" si="202"/>
        <v>3.8222881778799873E-3</v>
      </c>
      <c r="AA576" s="27"/>
      <c r="AB576" s="27"/>
      <c r="AC576" s="56">
        <f t="shared" si="204"/>
        <v>0</v>
      </c>
      <c r="AE576" s="20">
        <f t="shared" si="205"/>
        <v>0</v>
      </c>
      <c r="AF576" s="20">
        <f t="shared" si="206"/>
        <v>1930068000.0000002</v>
      </c>
      <c r="AG576">
        <f t="shared" si="209"/>
        <v>0</v>
      </c>
      <c r="AH576">
        <f t="shared" si="210"/>
        <v>0</v>
      </c>
      <c r="AI576">
        <f t="shared" si="211"/>
        <v>16695949475.283735</v>
      </c>
    </row>
    <row r="577" spans="2:35" x14ac:dyDescent="0.25">
      <c r="B577" s="4">
        <v>2027</v>
      </c>
      <c r="C577" s="4" t="s">
        <v>33</v>
      </c>
      <c r="D577" s="1" t="s">
        <v>81</v>
      </c>
      <c r="E577" s="4" t="str">
        <f>D577&amp;"-"&amp;C577</f>
        <v>FortisBC-CAN</v>
      </c>
      <c r="F577" s="4" t="s">
        <v>155</v>
      </c>
      <c r="G577" s="4"/>
      <c r="H577" s="11" t="s">
        <v>408</v>
      </c>
      <c r="I577" s="4"/>
      <c r="J577" s="4" t="s">
        <v>155</v>
      </c>
      <c r="K577" s="5">
        <v>0</v>
      </c>
      <c r="L577" s="38"/>
      <c r="M577" s="8">
        <v>37000</v>
      </c>
      <c r="N577" s="8">
        <v>0</v>
      </c>
      <c r="O577" s="8">
        <f>SUMIFS(EIAwtransport!$J$2:$J$675,EIAwtransport!$E$2:$E$675,Program_data!$E577,EIAwtransport!$H$2:$H$675,Program_data!$F577,EIAwtransport!$I$2:$I$675,Program_data!O$2)</f>
        <v>0</v>
      </c>
      <c r="P577" s="5">
        <f>SUMIFS(EIAwtransport!$J$2:$J$675,EIAwtransport!$E$2:$E$675,Program_data!$E577,EIAwtransport!$H$2:$H$675,Program_data!$F577,EIAwtransport!$I$2:$I$675,Program_data!P$2)</f>
        <v>0</v>
      </c>
      <c r="Q577" s="5">
        <f>SUMIFS(EIAwtransport!$J$2:$J$675,EIAwtransport!$E$2:$E$675,Program_data!$E577,EIAwtransport!$H$2:$H$675,Program_data!$F577,EIAwtransport!$I$2:$I$675,Program_data!Q$2)</f>
        <v>0</v>
      </c>
      <c r="R577" s="8">
        <f>SUMIFS(EIAwtransport!$J$2:$J$675,EIAwtransport!$E$2:$E$675,Program_data!$E577,EIAwtransport!$I$2:$I$675,Program_data!R$2)</f>
        <v>1429680000</v>
      </c>
      <c r="S577" s="5">
        <f>SUMIFS(EIAwtransport!$J$2:$J$675,EIAwtransport!$E$2:$E$675,Program_data!$E577,EIAwtransport!$I$2:$I$675,Program_data!S$2)</f>
        <v>158285451.98410821</v>
      </c>
      <c r="T577" s="5">
        <f>SUMIFS(EIAwtransport!$J$2:$J$675,EIAwtransport!$E$2:$E$675,Program_data!$E577,EIAwtransport!$I$2:$I$675,Program_data!T$2)</f>
        <v>1074614</v>
      </c>
      <c r="U577" s="24">
        <f t="shared" si="212"/>
        <v>0</v>
      </c>
      <c r="V577" s="24">
        <f t="shared" si="207"/>
        <v>0</v>
      </c>
      <c r="W577" s="24">
        <f t="shared" si="213"/>
        <v>2.587991718426501E-5</v>
      </c>
      <c r="X577" s="25">
        <f t="shared" si="214"/>
        <v>2.2563214285714279E-5</v>
      </c>
      <c r="Y577" s="8" t="str">
        <f t="shared" si="201"/>
        <v/>
      </c>
      <c r="Z577" s="27">
        <f t="shared" si="202"/>
        <v>3.461116469783451E-3</v>
      </c>
      <c r="AA577" s="27"/>
      <c r="AB577" s="27"/>
      <c r="AC577" s="56">
        <f t="shared" si="204"/>
        <v>0</v>
      </c>
      <c r="AE577" s="20">
        <f t="shared" si="205"/>
        <v>0</v>
      </c>
      <c r="AF577" s="20">
        <f t="shared" si="206"/>
        <v>1930068000.0000002</v>
      </c>
      <c r="AG577">
        <f t="shared" si="209"/>
        <v>0</v>
      </c>
      <c r="AH577">
        <f t="shared" si="210"/>
        <v>0</v>
      </c>
      <c r="AI577">
        <f t="shared" si="211"/>
        <v>16695949475.283735</v>
      </c>
    </row>
    <row r="578" spans="2:35" x14ac:dyDescent="0.25">
      <c r="B578" s="4"/>
      <c r="C578" s="4"/>
      <c r="D578" s="1"/>
      <c r="E578" s="4"/>
      <c r="F578" s="4"/>
      <c r="G578" s="4"/>
      <c r="H578" s="11"/>
      <c r="I578" s="4"/>
      <c r="J578" s="4"/>
      <c r="K578" s="5"/>
      <c r="L578" s="5"/>
      <c r="M578" s="8"/>
      <c r="N578" s="8"/>
      <c r="O578" s="8">
        <f>SUMIFS(EIAwtransport!$J$2:$J$675,EIAwtransport!$E$2:$E$675,Program_data!$E578,EIAwtransport!$H$2:$H$675,Program_data!$F578,EIAwtransport!$I$2:$I$675,Program_data!O$2)</f>
        <v>0</v>
      </c>
      <c r="P578" s="5">
        <f>SUMIFS(EIAwtransport!$J$2:$J$675,EIAwtransport!$E$2:$E$675,Program_data!$E578,EIAwtransport!$H$2:$H$675,Program_data!$F578,EIAwtransport!$I$2:$I$675,Program_data!P$2)</f>
        <v>0</v>
      </c>
      <c r="Q578" s="5">
        <f>SUMIFS(EIAwtransport!$J$2:$J$675,EIAwtransport!$E$2:$E$675,Program_data!$E578,EIAwtransport!$H$2:$H$675,Program_data!$F578,EIAwtransport!$I$2:$I$675,Program_data!Q$2)</f>
        <v>0</v>
      </c>
      <c r="R578" s="8">
        <f>SUMIFS(EIAwtransport!$J$2:$J$675,EIAwtransport!$E$2:$E$675,Program_data!$E578,EIAwtransport!$I$2:$I$675,Program_data!R$2)</f>
        <v>0</v>
      </c>
      <c r="S578" s="5">
        <f>SUMIFS(EIAwtransport!$J$2:$J$675,EIAwtransport!$E$2:$E$675,Program_data!$E578,EIAwtransport!$I$2:$I$675,Program_data!S$2)</f>
        <v>0</v>
      </c>
      <c r="T578" s="5">
        <f>SUMIFS(EIAwtransport!$J$2:$J$675,EIAwtransport!$E$2:$E$675,Program_data!$E578,EIAwtransport!$I$2:$I$675,Program_data!T$2)</f>
        <v>0</v>
      </c>
      <c r="U578" s="97" t="str">
        <f t="shared" si="212"/>
        <v/>
      </c>
      <c r="V578" s="24" t="str">
        <f t="shared" si="207"/>
        <v/>
      </c>
      <c r="W578" s="24" t="str">
        <f t="shared" si="213"/>
        <v/>
      </c>
      <c r="X578" s="25" t="str">
        <f t="shared" si="214"/>
        <v/>
      </c>
      <c r="Y578" s="8" t="str">
        <f t="shared" si="201"/>
        <v/>
      </c>
      <c r="Z578" s="27" t="str">
        <f t="shared" si="202"/>
        <v/>
      </c>
      <c r="AA578" s="27"/>
      <c r="AB578" s="27"/>
      <c r="AC578" s="56" t="str">
        <f t="shared" si="204"/>
        <v/>
      </c>
      <c r="AE578" s="20">
        <f t="shared" si="205"/>
        <v>0</v>
      </c>
      <c r="AF578" s="20">
        <f t="shared" si="206"/>
        <v>0</v>
      </c>
      <c r="AG578">
        <f t="shared" si="209"/>
        <v>0</v>
      </c>
      <c r="AH578">
        <f t="shared" si="210"/>
        <v>0</v>
      </c>
      <c r="AI578">
        <f t="shared" si="211"/>
        <v>0</v>
      </c>
    </row>
    <row r="579" spans="2:35" x14ac:dyDescent="0.25">
      <c r="B579" s="4">
        <v>2025</v>
      </c>
      <c r="C579" s="4" t="s">
        <v>33</v>
      </c>
      <c r="D579" s="1" t="s">
        <v>81</v>
      </c>
      <c r="E579" s="4" t="str">
        <f>D579&amp;"-"&amp;C579</f>
        <v>FortisBC-CAN</v>
      </c>
      <c r="F579" s="4" t="s">
        <v>155</v>
      </c>
      <c r="G579" s="4"/>
      <c r="H579" s="11" t="s">
        <v>409</v>
      </c>
      <c r="I579" s="4"/>
      <c r="J579" s="4" t="s">
        <v>155</v>
      </c>
      <c r="K579" s="5">
        <v>0</v>
      </c>
      <c r="L579" s="38"/>
      <c r="M579" s="8">
        <v>592000</v>
      </c>
      <c r="N579" s="8">
        <v>222000</v>
      </c>
      <c r="O579" s="8">
        <f>SUMIFS(EIAwtransport!$J$2:$J$675,EIAwtransport!$E$2:$E$675,Program_data!$E579,EIAwtransport!$H$2:$H$675,Program_data!$F579,EIAwtransport!$I$2:$I$675,Program_data!O$2)</f>
        <v>0</v>
      </c>
      <c r="P579" s="5">
        <f>SUMIFS(EIAwtransport!$J$2:$J$675,EIAwtransport!$E$2:$E$675,Program_data!$E579,EIAwtransport!$H$2:$H$675,Program_data!$F579,EIAwtransport!$I$2:$I$675,Program_data!P$2)</f>
        <v>0</v>
      </c>
      <c r="Q579" s="5">
        <f>SUMIFS(EIAwtransport!$J$2:$J$675,EIAwtransport!$E$2:$E$675,Program_data!$E579,EIAwtransport!$H$2:$H$675,Program_data!$F579,EIAwtransport!$I$2:$I$675,Program_data!Q$2)</f>
        <v>0</v>
      </c>
      <c r="R579" s="8">
        <f>SUMIFS(EIAwtransport!$J$2:$J$675,EIAwtransport!$E$2:$E$675,Program_data!$E579,EIAwtransport!$I$2:$I$675,Program_data!R$2)</f>
        <v>1429680000</v>
      </c>
      <c r="S579" s="5">
        <f>SUMIFS(EIAwtransport!$J$2:$J$675,EIAwtransport!$E$2:$E$675,Program_data!$E579,EIAwtransport!$I$2:$I$675,Program_data!S$2)</f>
        <v>158285451.98410821</v>
      </c>
      <c r="T579" s="5">
        <f>SUMIFS(EIAwtransport!$J$2:$J$675,EIAwtransport!$E$2:$E$675,Program_data!$E579,EIAwtransport!$I$2:$I$675,Program_data!T$2)</f>
        <v>1074614</v>
      </c>
      <c r="U579" s="24">
        <f t="shared" si="212"/>
        <v>0</v>
      </c>
      <c r="V579" s="24">
        <f t="shared" si="207"/>
        <v>0</v>
      </c>
      <c r="W579" s="24">
        <f t="shared" si="213"/>
        <v>4.1407867494824016E-4</v>
      </c>
      <c r="X579" s="25">
        <f t="shared" si="214"/>
        <v>3.6101142857142846E-4</v>
      </c>
      <c r="Y579" s="8" t="str">
        <f t="shared" si="201"/>
        <v/>
      </c>
      <c r="Z579" s="27">
        <f t="shared" si="202"/>
        <v>7.0357896329331968E-2</v>
      </c>
      <c r="AA579" s="27"/>
      <c r="AB579" s="27"/>
      <c r="AC579" s="56">
        <f t="shared" si="204"/>
        <v>0</v>
      </c>
      <c r="AE579" s="20">
        <f t="shared" si="205"/>
        <v>299700</v>
      </c>
      <c r="AF579" s="20">
        <f t="shared" si="206"/>
        <v>1930068000.0000002</v>
      </c>
      <c r="AG579">
        <f t="shared" si="209"/>
        <v>0</v>
      </c>
      <c r="AH579">
        <f t="shared" si="210"/>
        <v>0</v>
      </c>
      <c r="AI579">
        <f t="shared" si="211"/>
        <v>16695949475.283735</v>
      </c>
    </row>
    <row r="580" spans="2:35" x14ac:dyDescent="0.25">
      <c r="B580" s="4">
        <v>2026</v>
      </c>
      <c r="C580" s="4" t="s">
        <v>33</v>
      </c>
      <c r="D580" s="1" t="s">
        <v>81</v>
      </c>
      <c r="E580" s="4" t="str">
        <f>D580&amp;"-"&amp;C580</f>
        <v>FortisBC-CAN</v>
      </c>
      <c r="F580" s="4" t="s">
        <v>155</v>
      </c>
      <c r="G580" s="4"/>
      <c r="H580" s="11" t="s">
        <v>409</v>
      </c>
      <c r="I580" s="4"/>
      <c r="J580" s="4" t="s">
        <v>155</v>
      </c>
      <c r="K580" s="5">
        <v>0</v>
      </c>
      <c r="L580" s="38"/>
      <c r="M580" s="8">
        <v>592000</v>
      </c>
      <c r="N580" s="8">
        <v>222000</v>
      </c>
      <c r="O580" s="8">
        <f>SUMIFS(EIAwtransport!$J$2:$J$675,EIAwtransport!$E$2:$E$675,Program_data!$E580,EIAwtransport!$H$2:$H$675,Program_data!$F580,EIAwtransport!$I$2:$I$675,Program_data!O$2)</f>
        <v>0</v>
      </c>
      <c r="P580" s="5">
        <f>SUMIFS(EIAwtransport!$J$2:$J$675,EIAwtransport!$E$2:$E$675,Program_data!$E580,EIAwtransport!$H$2:$H$675,Program_data!$F580,EIAwtransport!$I$2:$I$675,Program_data!P$2)</f>
        <v>0</v>
      </c>
      <c r="Q580" s="5">
        <f>SUMIFS(EIAwtransport!$J$2:$J$675,EIAwtransport!$E$2:$E$675,Program_data!$E580,EIAwtransport!$H$2:$H$675,Program_data!$F580,EIAwtransport!$I$2:$I$675,Program_data!Q$2)</f>
        <v>0</v>
      </c>
      <c r="R580" s="8">
        <f>SUMIFS(EIAwtransport!$J$2:$J$675,EIAwtransport!$E$2:$E$675,Program_data!$E580,EIAwtransport!$I$2:$I$675,Program_data!R$2)</f>
        <v>1429680000</v>
      </c>
      <c r="S580" s="5">
        <f>SUMIFS(EIAwtransport!$J$2:$J$675,EIAwtransport!$E$2:$E$675,Program_data!$E580,EIAwtransport!$I$2:$I$675,Program_data!S$2)</f>
        <v>158285451.98410821</v>
      </c>
      <c r="T580" s="5">
        <f>SUMIFS(EIAwtransport!$J$2:$J$675,EIAwtransport!$E$2:$E$675,Program_data!$E580,EIAwtransport!$I$2:$I$675,Program_data!T$2)</f>
        <v>1074614</v>
      </c>
      <c r="U580" s="24">
        <f t="shared" si="212"/>
        <v>0</v>
      </c>
      <c r="V580" s="24">
        <f t="shared" si="207"/>
        <v>0</v>
      </c>
      <c r="W580" s="24">
        <f t="shared" si="213"/>
        <v>4.1407867494824016E-4</v>
      </c>
      <c r="X580" s="25">
        <f t="shared" si="214"/>
        <v>3.6101142857142846E-4</v>
      </c>
      <c r="Y580" s="8" t="str">
        <f t="shared" ref="Y580:Y643" si="215">IFERROR(M580/SUMIFS($K$3:$K$1492,$E$3:$E$1492,E580,$B$3:$B$1492,B580,$F$3:$F$1492,F580,$A$3:$A$1492,""),"")</f>
        <v/>
      </c>
      <c r="Z580" s="27">
        <f t="shared" ref="Z580:Z643" si="216">IFERROR(M580/SUMIFS($K$3:$K$1492,$E$3:$E$1492,E580,$B$3:$B$1492,B580,$A$3:$A$1492,""),"")</f>
        <v>6.1156610846079797E-2</v>
      </c>
      <c r="AA580" s="27"/>
      <c r="AB580" s="27"/>
      <c r="AC580" s="56">
        <f t="shared" si="204"/>
        <v>0</v>
      </c>
      <c r="AE580" s="20">
        <f t="shared" si="205"/>
        <v>299700</v>
      </c>
      <c r="AF580" s="20">
        <f t="shared" si="206"/>
        <v>1930068000.0000002</v>
      </c>
      <c r="AG580">
        <f t="shared" si="209"/>
        <v>0</v>
      </c>
      <c r="AH580">
        <f t="shared" si="210"/>
        <v>0</v>
      </c>
      <c r="AI580">
        <f t="shared" si="211"/>
        <v>16695949475.283735</v>
      </c>
    </row>
    <row r="581" spans="2:35" x14ac:dyDescent="0.25">
      <c r="B581" s="4">
        <v>2027</v>
      </c>
      <c r="C581" s="4" t="s">
        <v>33</v>
      </c>
      <c r="D581" s="1" t="s">
        <v>81</v>
      </c>
      <c r="E581" s="4" t="str">
        <f>D581&amp;"-"&amp;C581</f>
        <v>FortisBC-CAN</v>
      </c>
      <c r="F581" s="4" t="s">
        <v>155</v>
      </c>
      <c r="G581" s="4"/>
      <c r="H581" s="11" t="s">
        <v>409</v>
      </c>
      <c r="I581" s="4"/>
      <c r="J581" s="4" t="s">
        <v>155</v>
      </c>
      <c r="K581" s="5">
        <v>0</v>
      </c>
      <c r="L581" s="38"/>
      <c r="M581" s="8">
        <v>592000</v>
      </c>
      <c r="N581" s="8">
        <v>222000</v>
      </c>
      <c r="O581" s="8">
        <f>SUMIFS(EIAwtransport!$J$2:$J$675,EIAwtransport!$E$2:$E$675,Program_data!$E581,EIAwtransport!$H$2:$H$675,Program_data!$F581,EIAwtransport!$I$2:$I$675,Program_data!O$2)</f>
        <v>0</v>
      </c>
      <c r="P581" s="5">
        <f>SUMIFS(EIAwtransport!$J$2:$J$675,EIAwtransport!$E$2:$E$675,Program_data!$E581,EIAwtransport!$H$2:$H$675,Program_data!$F581,EIAwtransport!$I$2:$I$675,Program_data!P$2)</f>
        <v>0</v>
      </c>
      <c r="Q581" s="5">
        <f>SUMIFS(EIAwtransport!$J$2:$J$675,EIAwtransport!$E$2:$E$675,Program_data!$E581,EIAwtransport!$H$2:$H$675,Program_data!$F581,EIAwtransport!$I$2:$I$675,Program_data!Q$2)</f>
        <v>0</v>
      </c>
      <c r="R581" s="8">
        <f>SUMIFS(EIAwtransport!$J$2:$J$675,EIAwtransport!$E$2:$E$675,Program_data!$E581,EIAwtransport!$I$2:$I$675,Program_data!R$2)</f>
        <v>1429680000</v>
      </c>
      <c r="S581" s="5">
        <f>SUMIFS(EIAwtransport!$J$2:$J$675,EIAwtransport!$E$2:$E$675,Program_data!$E581,EIAwtransport!$I$2:$I$675,Program_data!S$2)</f>
        <v>158285451.98410821</v>
      </c>
      <c r="T581" s="5">
        <f>SUMIFS(EIAwtransport!$J$2:$J$675,EIAwtransport!$E$2:$E$675,Program_data!$E581,EIAwtransport!$I$2:$I$675,Program_data!T$2)</f>
        <v>1074614</v>
      </c>
      <c r="U581" s="24">
        <f t="shared" si="212"/>
        <v>0</v>
      </c>
      <c r="V581" s="24">
        <f t="shared" si="207"/>
        <v>0</v>
      </c>
      <c r="W581" s="24">
        <f t="shared" si="213"/>
        <v>4.1407867494824016E-4</v>
      </c>
      <c r="X581" s="25">
        <f t="shared" si="214"/>
        <v>3.6101142857142846E-4</v>
      </c>
      <c r="Y581" s="8" t="str">
        <f t="shared" si="215"/>
        <v/>
      </c>
      <c r="Z581" s="27">
        <f t="shared" si="216"/>
        <v>5.5377863516535217E-2</v>
      </c>
      <c r="AA581" s="27"/>
      <c r="AB581" s="27"/>
      <c r="AC581" s="56">
        <f t="shared" si="204"/>
        <v>0</v>
      </c>
      <c r="AE581" s="20">
        <f t="shared" si="205"/>
        <v>299700</v>
      </c>
      <c r="AF581" s="20">
        <f t="shared" si="206"/>
        <v>1930068000.0000002</v>
      </c>
      <c r="AG581">
        <f t="shared" si="209"/>
        <v>0</v>
      </c>
      <c r="AH581">
        <f t="shared" si="210"/>
        <v>0</v>
      </c>
      <c r="AI581">
        <f t="shared" si="211"/>
        <v>16695949475.283735</v>
      </c>
    </row>
    <row r="582" spans="2:35" x14ac:dyDescent="0.25">
      <c r="B582" s="4"/>
      <c r="C582" s="4"/>
      <c r="D582" s="1"/>
      <c r="E582" s="4"/>
      <c r="F582" s="4"/>
      <c r="G582" s="4"/>
      <c r="H582" s="11"/>
      <c r="I582" s="4"/>
      <c r="J582" s="4"/>
      <c r="K582" s="5"/>
      <c r="L582" s="5"/>
      <c r="M582" s="8"/>
      <c r="N582" s="8"/>
      <c r="O582" s="8">
        <f>SUMIFS(EIAwtransport!$J$2:$J$675,EIAwtransport!$E$2:$E$675,Program_data!$E582,EIAwtransport!$H$2:$H$675,Program_data!$F582,EIAwtransport!$I$2:$I$675,Program_data!O$2)</f>
        <v>0</v>
      </c>
      <c r="P582" s="5">
        <f>SUMIFS(EIAwtransport!$J$2:$J$675,EIAwtransport!$E$2:$E$675,Program_data!$E582,EIAwtransport!$H$2:$H$675,Program_data!$F582,EIAwtransport!$I$2:$I$675,Program_data!P$2)</f>
        <v>0</v>
      </c>
      <c r="Q582" s="5">
        <f>SUMIFS(EIAwtransport!$J$2:$J$675,EIAwtransport!$E$2:$E$675,Program_data!$E582,EIAwtransport!$H$2:$H$675,Program_data!$F582,EIAwtransport!$I$2:$I$675,Program_data!Q$2)</f>
        <v>0</v>
      </c>
      <c r="R582" s="8">
        <f>SUMIFS(EIAwtransport!$J$2:$J$675,EIAwtransport!$E$2:$E$675,Program_data!$E582,EIAwtransport!$I$2:$I$675,Program_data!R$2)</f>
        <v>0</v>
      </c>
      <c r="S582" s="5">
        <f>SUMIFS(EIAwtransport!$J$2:$J$675,EIAwtransport!$E$2:$E$675,Program_data!$E582,EIAwtransport!$I$2:$I$675,Program_data!S$2)</f>
        <v>0</v>
      </c>
      <c r="T582" s="5">
        <f>SUMIFS(EIAwtransport!$J$2:$J$675,EIAwtransport!$E$2:$E$675,Program_data!$E582,EIAwtransport!$I$2:$I$675,Program_data!T$2)</f>
        <v>0</v>
      </c>
      <c r="U582" s="97" t="str">
        <f t="shared" si="212"/>
        <v/>
      </c>
      <c r="V582" s="24" t="str">
        <f t="shared" si="207"/>
        <v/>
      </c>
      <c r="W582" s="24" t="str">
        <f t="shared" si="213"/>
        <v/>
      </c>
      <c r="X582" s="25" t="str">
        <f t="shared" si="214"/>
        <v/>
      </c>
      <c r="Y582" s="8" t="str">
        <f t="shared" si="215"/>
        <v/>
      </c>
      <c r="Z582" s="27" t="str">
        <f t="shared" si="216"/>
        <v/>
      </c>
      <c r="AA582" s="27"/>
      <c r="AB582" s="27"/>
      <c r="AC582" s="56" t="str">
        <f t="shared" si="204"/>
        <v/>
      </c>
      <c r="AE582" s="20">
        <f t="shared" si="205"/>
        <v>0</v>
      </c>
      <c r="AF582" s="20">
        <f t="shared" si="206"/>
        <v>0</v>
      </c>
      <c r="AG582">
        <f t="shared" si="209"/>
        <v>0</v>
      </c>
      <c r="AH582">
        <f t="shared" si="210"/>
        <v>0</v>
      </c>
      <c r="AI582">
        <f t="shared" si="211"/>
        <v>0</v>
      </c>
    </row>
    <row r="583" spans="2:35" x14ac:dyDescent="0.25">
      <c r="B583" s="4">
        <v>2025</v>
      </c>
      <c r="C583" s="4" t="s">
        <v>33</v>
      </c>
      <c r="D583" s="1" t="s">
        <v>81</v>
      </c>
      <c r="E583" s="4" t="str">
        <f>D583&amp;"-"&amp;C583</f>
        <v>FortisBC-CAN</v>
      </c>
      <c r="F583" s="4" t="s">
        <v>155</v>
      </c>
      <c r="G583" s="4"/>
      <c r="H583" s="11" t="s">
        <v>410</v>
      </c>
      <c r="I583" s="4"/>
      <c r="J583" s="4" t="s">
        <v>155</v>
      </c>
      <c r="K583" s="5">
        <v>0</v>
      </c>
      <c r="L583" s="38"/>
      <c r="M583" s="8">
        <v>4588000</v>
      </c>
      <c r="N583" s="8">
        <v>4403000</v>
      </c>
      <c r="O583" s="8">
        <f>SUMIFS(EIAwtransport!$J$2:$J$675,EIAwtransport!$E$2:$E$675,Program_data!$E583,EIAwtransport!$H$2:$H$675,Program_data!$F583,EIAwtransport!$I$2:$I$675,Program_data!O$2)</f>
        <v>0</v>
      </c>
      <c r="P583" s="5">
        <f>SUMIFS(EIAwtransport!$J$2:$J$675,EIAwtransport!$E$2:$E$675,Program_data!$E583,EIAwtransport!$H$2:$H$675,Program_data!$F583,EIAwtransport!$I$2:$I$675,Program_data!P$2)</f>
        <v>0</v>
      </c>
      <c r="Q583" s="5">
        <f>SUMIFS(EIAwtransport!$J$2:$J$675,EIAwtransport!$E$2:$E$675,Program_data!$E583,EIAwtransport!$H$2:$H$675,Program_data!$F583,EIAwtransport!$I$2:$I$675,Program_data!Q$2)</f>
        <v>0</v>
      </c>
      <c r="R583" s="8">
        <f>SUMIFS(EIAwtransport!$J$2:$J$675,EIAwtransport!$E$2:$E$675,Program_data!$E583,EIAwtransport!$I$2:$I$675,Program_data!R$2)</f>
        <v>1429680000</v>
      </c>
      <c r="S583" s="5">
        <f>SUMIFS(EIAwtransport!$J$2:$J$675,EIAwtransport!$E$2:$E$675,Program_data!$E583,EIAwtransport!$I$2:$I$675,Program_data!S$2)</f>
        <v>158285451.98410821</v>
      </c>
      <c r="T583" s="5">
        <f>SUMIFS(EIAwtransport!$J$2:$J$675,EIAwtransport!$E$2:$E$675,Program_data!$E583,EIAwtransport!$I$2:$I$675,Program_data!T$2)</f>
        <v>1074614</v>
      </c>
      <c r="U583" s="24">
        <f t="shared" si="212"/>
        <v>0</v>
      </c>
      <c r="V583" s="24">
        <f t="shared" si="207"/>
        <v>0</v>
      </c>
      <c r="W583" s="24">
        <f t="shared" si="213"/>
        <v>3.2091097308488614E-3</v>
      </c>
      <c r="X583" s="25">
        <f t="shared" si="214"/>
        <v>2.7978385714285702E-3</v>
      </c>
      <c r="Y583" s="8" t="str">
        <f t="shared" si="215"/>
        <v/>
      </c>
      <c r="Z583" s="27">
        <f t="shared" si="216"/>
        <v>0.54527369655232272</v>
      </c>
      <c r="AA583" s="27"/>
      <c r="AB583" s="27"/>
      <c r="AC583" s="56">
        <f t="shared" si="204"/>
        <v>0</v>
      </c>
      <c r="AE583" s="20">
        <f t="shared" si="205"/>
        <v>5944050</v>
      </c>
      <c r="AF583" s="20">
        <f t="shared" si="206"/>
        <v>1930068000.0000002</v>
      </c>
      <c r="AG583">
        <f t="shared" si="209"/>
        <v>0</v>
      </c>
      <c r="AH583">
        <f t="shared" si="210"/>
        <v>0</v>
      </c>
      <c r="AI583">
        <f t="shared" si="211"/>
        <v>16695949475.283735</v>
      </c>
    </row>
    <row r="584" spans="2:35" x14ac:dyDescent="0.25">
      <c r="B584" s="4">
        <v>2026</v>
      </c>
      <c r="C584" s="4" t="s">
        <v>33</v>
      </c>
      <c r="D584" s="1" t="s">
        <v>81</v>
      </c>
      <c r="E584" s="4" t="str">
        <f>D584&amp;"-"&amp;C584</f>
        <v>FortisBC-CAN</v>
      </c>
      <c r="F584" s="4" t="s">
        <v>155</v>
      </c>
      <c r="G584" s="4"/>
      <c r="H584" s="11" t="s">
        <v>410</v>
      </c>
      <c r="I584" s="4"/>
      <c r="J584" s="4" t="s">
        <v>155</v>
      </c>
      <c r="K584" s="5">
        <v>0</v>
      </c>
      <c r="L584" s="38"/>
      <c r="M584" s="8">
        <v>4521400</v>
      </c>
      <c r="N584" s="8">
        <v>4329000</v>
      </c>
      <c r="O584" s="8">
        <f>SUMIFS(EIAwtransport!$J$2:$J$675,EIAwtransport!$E$2:$E$675,Program_data!$E584,EIAwtransport!$H$2:$H$675,Program_data!$F584,EIAwtransport!$I$2:$I$675,Program_data!O$2)</f>
        <v>0</v>
      </c>
      <c r="P584" s="5">
        <f>SUMIFS(EIAwtransport!$J$2:$J$675,EIAwtransport!$E$2:$E$675,Program_data!$E584,EIAwtransport!$H$2:$H$675,Program_data!$F584,EIAwtransport!$I$2:$I$675,Program_data!P$2)</f>
        <v>0</v>
      </c>
      <c r="Q584" s="5">
        <f>SUMIFS(EIAwtransport!$J$2:$J$675,EIAwtransport!$E$2:$E$675,Program_data!$E584,EIAwtransport!$H$2:$H$675,Program_data!$F584,EIAwtransport!$I$2:$I$675,Program_data!Q$2)</f>
        <v>0</v>
      </c>
      <c r="R584" s="8">
        <f>SUMIFS(EIAwtransport!$J$2:$J$675,EIAwtransport!$E$2:$E$675,Program_data!$E584,EIAwtransport!$I$2:$I$675,Program_data!R$2)</f>
        <v>1429680000</v>
      </c>
      <c r="S584" s="5">
        <f>SUMIFS(EIAwtransport!$J$2:$J$675,EIAwtransport!$E$2:$E$675,Program_data!$E584,EIAwtransport!$I$2:$I$675,Program_data!S$2)</f>
        <v>158285451.98410821</v>
      </c>
      <c r="T584" s="5">
        <f>SUMIFS(EIAwtransport!$J$2:$J$675,EIAwtransport!$E$2:$E$675,Program_data!$E584,EIAwtransport!$I$2:$I$675,Program_data!T$2)</f>
        <v>1074614</v>
      </c>
      <c r="U584" s="24">
        <f t="shared" si="212"/>
        <v>0</v>
      </c>
      <c r="V584" s="24">
        <f t="shared" si="207"/>
        <v>0</v>
      </c>
      <c r="W584" s="24">
        <f t="shared" si="213"/>
        <v>3.1625258799171841E-3</v>
      </c>
      <c r="X584" s="25">
        <f t="shared" si="214"/>
        <v>2.7572247857142848E-3</v>
      </c>
      <c r="Y584" s="8" t="str">
        <f t="shared" si="215"/>
        <v/>
      </c>
      <c r="Z584" s="27">
        <f t="shared" si="216"/>
        <v>0.46708361533693443</v>
      </c>
      <c r="AA584" s="27"/>
      <c r="AB584" s="27"/>
      <c r="AC584" s="56">
        <f t="shared" si="204"/>
        <v>0</v>
      </c>
      <c r="AE584" s="20">
        <f t="shared" si="205"/>
        <v>5844150</v>
      </c>
      <c r="AF584" s="20">
        <f t="shared" si="206"/>
        <v>1930068000.0000002</v>
      </c>
      <c r="AG584">
        <f t="shared" si="209"/>
        <v>0</v>
      </c>
      <c r="AH584">
        <f t="shared" si="210"/>
        <v>0</v>
      </c>
      <c r="AI584">
        <f t="shared" si="211"/>
        <v>16695949475.283735</v>
      </c>
    </row>
    <row r="585" spans="2:35" x14ac:dyDescent="0.25">
      <c r="B585" s="4">
        <v>2027</v>
      </c>
      <c r="C585" s="4" t="s">
        <v>33</v>
      </c>
      <c r="D585" s="1" t="s">
        <v>81</v>
      </c>
      <c r="E585" s="4" t="str">
        <f>D585&amp;"-"&amp;C585</f>
        <v>FortisBC-CAN</v>
      </c>
      <c r="F585" s="4" t="s">
        <v>155</v>
      </c>
      <c r="G585" s="4"/>
      <c r="H585" s="11" t="s">
        <v>410</v>
      </c>
      <c r="I585" s="4"/>
      <c r="J585" s="4" t="s">
        <v>155</v>
      </c>
      <c r="K585" s="5">
        <v>0</v>
      </c>
      <c r="L585" s="38"/>
      <c r="M585" s="8">
        <v>5094900</v>
      </c>
      <c r="N585" s="8">
        <v>4884000</v>
      </c>
      <c r="O585" s="8">
        <f>SUMIFS(EIAwtransport!$J$2:$J$675,EIAwtransport!$E$2:$E$675,Program_data!$E585,EIAwtransport!$H$2:$H$675,Program_data!$F585,EIAwtransport!$I$2:$I$675,Program_data!O$2)</f>
        <v>0</v>
      </c>
      <c r="P585" s="5">
        <f>SUMIFS(EIAwtransport!$J$2:$J$675,EIAwtransport!$E$2:$E$675,Program_data!$E585,EIAwtransport!$H$2:$H$675,Program_data!$F585,EIAwtransport!$I$2:$I$675,Program_data!P$2)</f>
        <v>0</v>
      </c>
      <c r="Q585" s="5">
        <f>SUMIFS(EIAwtransport!$J$2:$J$675,EIAwtransport!$E$2:$E$675,Program_data!$E585,EIAwtransport!$H$2:$H$675,Program_data!$F585,EIAwtransport!$I$2:$I$675,Program_data!Q$2)</f>
        <v>0</v>
      </c>
      <c r="R585" s="8">
        <f>SUMIFS(EIAwtransport!$J$2:$J$675,EIAwtransport!$E$2:$E$675,Program_data!$E585,EIAwtransport!$I$2:$I$675,Program_data!R$2)</f>
        <v>1429680000</v>
      </c>
      <c r="S585" s="5">
        <f>SUMIFS(EIAwtransport!$J$2:$J$675,EIAwtransport!$E$2:$E$675,Program_data!$E585,EIAwtransport!$I$2:$I$675,Program_data!S$2)</f>
        <v>158285451.98410821</v>
      </c>
      <c r="T585" s="5">
        <f>SUMIFS(EIAwtransport!$J$2:$J$675,EIAwtransport!$E$2:$E$675,Program_data!$E585,EIAwtransport!$I$2:$I$675,Program_data!T$2)</f>
        <v>1074614</v>
      </c>
      <c r="U585" s="24">
        <f t="shared" si="212"/>
        <v>0</v>
      </c>
      <c r="V585" s="24">
        <f t="shared" si="207"/>
        <v>0</v>
      </c>
      <c r="W585" s="24">
        <f t="shared" si="213"/>
        <v>3.5636645962732918E-3</v>
      </c>
      <c r="X585" s="25">
        <f t="shared" si="214"/>
        <v>3.1069546071428563E-3</v>
      </c>
      <c r="Y585" s="8" t="str">
        <f t="shared" si="215"/>
        <v/>
      </c>
      <c r="Z585" s="27">
        <f t="shared" si="216"/>
        <v>0.47659573788918125</v>
      </c>
      <c r="AA585" s="27"/>
      <c r="AB585" s="27"/>
      <c r="AC585" s="56">
        <f t="shared" si="204"/>
        <v>0</v>
      </c>
      <c r="AE585" s="20">
        <f t="shared" si="205"/>
        <v>6593400</v>
      </c>
      <c r="AF585" s="20">
        <f t="shared" si="206"/>
        <v>1930068000.0000002</v>
      </c>
      <c r="AG585">
        <f t="shared" si="209"/>
        <v>0</v>
      </c>
      <c r="AH585">
        <f t="shared" si="210"/>
        <v>0</v>
      </c>
      <c r="AI585">
        <f t="shared" si="211"/>
        <v>16695949475.283735</v>
      </c>
    </row>
    <row r="586" spans="2:35" x14ac:dyDescent="0.25">
      <c r="B586" s="4"/>
      <c r="C586" s="4"/>
      <c r="D586" s="1"/>
      <c r="E586" s="4"/>
      <c r="F586" s="4"/>
      <c r="G586" s="4"/>
      <c r="H586" s="11"/>
      <c r="I586" s="4"/>
      <c r="J586" s="4"/>
      <c r="K586" s="5"/>
      <c r="L586" s="5"/>
      <c r="M586" s="8"/>
      <c r="N586" s="8"/>
      <c r="O586" s="8">
        <f>SUMIFS(EIAwtransport!$J$2:$J$675,EIAwtransport!$E$2:$E$675,Program_data!$E586,EIAwtransport!$H$2:$H$675,Program_data!$F586,EIAwtransport!$I$2:$I$675,Program_data!O$2)</f>
        <v>0</v>
      </c>
      <c r="P586" s="5">
        <f>SUMIFS(EIAwtransport!$J$2:$J$675,EIAwtransport!$E$2:$E$675,Program_data!$E586,EIAwtransport!$H$2:$H$675,Program_data!$F586,EIAwtransport!$I$2:$I$675,Program_data!P$2)</f>
        <v>0</v>
      </c>
      <c r="Q586" s="5">
        <f>SUMIFS(EIAwtransport!$J$2:$J$675,EIAwtransport!$E$2:$E$675,Program_data!$E586,EIAwtransport!$H$2:$H$675,Program_data!$F586,EIAwtransport!$I$2:$I$675,Program_data!Q$2)</f>
        <v>0</v>
      </c>
      <c r="R586" s="8">
        <f>SUMIFS(EIAwtransport!$J$2:$J$675,EIAwtransport!$E$2:$E$675,Program_data!$E586,EIAwtransport!$I$2:$I$675,Program_data!R$2)</f>
        <v>0</v>
      </c>
      <c r="S586" s="5">
        <f>SUMIFS(EIAwtransport!$J$2:$J$675,EIAwtransport!$E$2:$E$675,Program_data!$E586,EIAwtransport!$I$2:$I$675,Program_data!S$2)</f>
        <v>0</v>
      </c>
      <c r="T586" s="5">
        <f>SUMIFS(EIAwtransport!$J$2:$J$675,EIAwtransport!$E$2:$E$675,Program_data!$E586,EIAwtransport!$I$2:$I$675,Program_data!T$2)</f>
        <v>0</v>
      </c>
      <c r="U586" s="97" t="str">
        <f t="shared" si="212"/>
        <v/>
      </c>
      <c r="V586" s="24" t="str">
        <f t="shared" si="207"/>
        <v/>
      </c>
      <c r="W586" s="24" t="str">
        <f t="shared" si="213"/>
        <v/>
      </c>
      <c r="X586" s="25" t="str">
        <f t="shared" si="214"/>
        <v/>
      </c>
      <c r="Y586" s="8" t="str">
        <f t="shared" si="215"/>
        <v/>
      </c>
      <c r="Z586" s="27" t="str">
        <f t="shared" si="216"/>
        <v/>
      </c>
      <c r="AA586" s="27"/>
      <c r="AB586" s="27"/>
      <c r="AC586" s="56" t="str">
        <f t="shared" si="204"/>
        <v/>
      </c>
      <c r="AE586" s="20">
        <f t="shared" si="205"/>
        <v>0</v>
      </c>
      <c r="AF586" s="20">
        <f t="shared" si="206"/>
        <v>0</v>
      </c>
      <c r="AG586">
        <f t="shared" si="209"/>
        <v>0</v>
      </c>
      <c r="AH586">
        <f t="shared" si="210"/>
        <v>0</v>
      </c>
      <c r="AI586">
        <f t="shared" si="211"/>
        <v>0</v>
      </c>
    </row>
    <row r="587" spans="2:35" x14ac:dyDescent="0.25">
      <c r="B587" s="4">
        <v>2025</v>
      </c>
      <c r="C587" s="4" t="s">
        <v>33</v>
      </c>
      <c r="D587" s="1" t="s">
        <v>81</v>
      </c>
      <c r="E587" s="4" t="str">
        <f>D587&amp;"-"&amp;C587</f>
        <v>FortisBC-CAN</v>
      </c>
      <c r="F587" s="4" t="s">
        <v>155</v>
      </c>
      <c r="G587" s="4"/>
      <c r="H587" s="11" t="s">
        <v>411</v>
      </c>
      <c r="I587" s="4"/>
      <c r="J587" s="4" t="s">
        <v>155</v>
      </c>
      <c r="K587" s="5">
        <v>0</v>
      </c>
      <c r="L587" s="38"/>
      <c r="M587" s="8">
        <v>8255440</v>
      </c>
      <c r="N587" s="8">
        <v>7520620</v>
      </c>
      <c r="O587" s="8">
        <f>SUMIFS(EIAwtransport!$J$2:$J$675,EIAwtransport!$E$2:$E$675,Program_data!$E587,EIAwtransport!$H$2:$H$675,Program_data!$F587,EIAwtransport!$I$2:$I$675,Program_data!O$2)</f>
        <v>0</v>
      </c>
      <c r="P587" s="5">
        <f>SUMIFS(EIAwtransport!$J$2:$J$675,EIAwtransport!$E$2:$E$675,Program_data!$E587,EIAwtransport!$H$2:$H$675,Program_data!$F587,EIAwtransport!$I$2:$I$675,Program_data!P$2)</f>
        <v>0</v>
      </c>
      <c r="Q587" s="5">
        <f>SUMIFS(EIAwtransport!$J$2:$J$675,EIAwtransport!$E$2:$E$675,Program_data!$E587,EIAwtransport!$H$2:$H$675,Program_data!$F587,EIAwtransport!$I$2:$I$675,Program_data!Q$2)</f>
        <v>0</v>
      </c>
      <c r="R587" s="8">
        <f>SUMIFS(EIAwtransport!$J$2:$J$675,EIAwtransport!$E$2:$E$675,Program_data!$E587,EIAwtransport!$I$2:$I$675,Program_data!R$2)</f>
        <v>1429680000</v>
      </c>
      <c r="S587" s="5">
        <f>SUMIFS(EIAwtransport!$J$2:$J$675,EIAwtransport!$E$2:$E$675,Program_data!$E587,EIAwtransport!$I$2:$I$675,Program_data!S$2)</f>
        <v>158285451.98410821</v>
      </c>
      <c r="T587" s="5">
        <f>SUMIFS(EIAwtransport!$J$2:$J$675,EIAwtransport!$E$2:$E$675,Program_data!$E587,EIAwtransport!$I$2:$I$675,Program_data!T$2)</f>
        <v>1074614</v>
      </c>
      <c r="U587" s="24">
        <f t="shared" si="212"/>
        <v>0</v>
      </c>
      <c r="V587" s="24">
        <f t="shared" si="207"/>
        <v>0</v>
      </c>
      <c r="W587" s="24">
        <f t="shared" si="213"/>
        <v>5.7743271221532095E-3</v>
      </c>
      <c r="X587" s="25">
        <f t="shared" si="214"/>
        <v>5.0343043714285701E-3</v>
      </c>
      <c r="Y587" s="8" t="str">
        <f t="shared" si="215"/>
        <v/>
      </c>
      <c r="Z587" s="27">
        <f t="shared" si="216"/>
        <v>0.98114086431253422</v>
      </c>
      <c r="AA587" s="27"/>
      <c r="AB587" s="27"/>
      <c r="AC587" s="56">
        <f t="shared" si="204"/>
        <v>0</v>
      </c>
      <c r="AE587" s="20">
        <f t="shared" si="205"/>
        <v>10152837</v>
      </c>
      <c r="AF587" s="20">
        <f t="shared" si="206"/>
        <v>1930068000.0000002</v>
      </c>
      <c r="AG587">
        <f t="shared" si="209"/>
        <v>0</v>
      </c>
      <c r="AH587">
        <f t="shared" si="210"/>
        <v>0</v>
      </c>
      <c r="AI587">
        <f t="shared" si="211"/>
        <v>16695949475.283735</v>
      </c>
    </row>
    <row r="588" spans="2:35" x14ac:dyDescent="0.25">
      <c r="B588" s="4">
        <v>2026</v>
      </c>
      <c r="C588" s="4" t="s">
        <v>33</v>
      </c>
      <c r="D588" s="1" t="s">
        <v>81</v>
      </c>
      <c r="E588" s="4" t="str">
        <f>D588&amp;"-"&amp;C588</f>
        <v>FortisBC-CAN</v>
      </c>
      <c r="F588" s="4" t="s">
        <v>155</v>
      </c>
      <c r="G588" s="4"/>
      <c r="H588" s="11" t="s">
        <v>411</v>
      </c>
      <c r="I588" s="4"/>
      <c r="J588" s="4" t="s">
        <v>155</v>
      </c>
      <c r="K588" s="5">
        <v>0</v>
      </c>
      <c r="L588" s="38"/>
      <c r="M588" s="8">
        <v>4092940</v>
      </c>
      <c r="N588" s="8">
        <v>3006620</v>
      </c>
      <c r="O588" s="8">
        <f>SUMIFS(EIAwtransport!$J$2:$J$675,EIAwtransport!$E$2:$E$675,Program_data!$E588,EIAwtransport!$H$2:$H$675,Program_data!$F588,EIAwtransport!$I$2:$I$675,Program_data!O$2)</f>
        <v>0</v>
      </c>
      <c r="P588" s="5">
        <f>SUMIFS(EIAwtransport!$J$2:$J$675,EIAwtransport!$E$2:$E$675,Program_data!$E588,EIAwtransport!$H$2:$H$675,Program_data!$F588,EIAwtransport!$I$2:$I$675,Program_data!P$2)</f>
        <v>0</v>
      </c>
      <c r="Q588" s="5">
        <f>SUMIFS(EIAwtransport!$J$2:$J$675,EIAwtransport!$E$2:$E$675,Program_data!$E588,EIAwtransport!$H$2:$H$675,Program_data!$F588,EIAwtransport!$I$2:$I$675,Program_data!Q$2)</f>
        <v>0</v>
      </c>
      <c r="R588" s="8">
        <f>SUMIFS(EIAwtransport!$J$2:$J$675,EIAwtransport!$E$2:$E$675,Program_data!$E588,EIAwtransport!$I$2:$I$675,Program_data!R$2)</f>
        <v>1429680000</v>
      </c>
      <c r="S588" s="5">
        <f>SUMIFS(EIAwtransport!$J$2:$J$675,EIAwtransport!$E$2:$E$675,Program_data!$E588,EIAwtransport!$I$2:$I$675,Program_data!S$2)</f>
        <v>158285451.98410821</v>
      </c>
      <c r="T588" s="5">
        <f>SUMIFS(EIAwtransport!$J$2:$J$675,EIAwtransport!$E$2:$E$675,Program_data!$E588,EIAwtransport!$I$2:$I$675,Program_data!T$2)</f>
        <v>1074614</v>
      </c>
      <c r="U588" s="24">
        <f t="shared" si="212"/>
        <v>0</v>
      </c>
      <c r="V588" s="24">
        <f t="shared" si="207"/>
        <v>0</v>
      </c>
      <c r="W588" s="24">
        <f t="shared" si="213"/>
        <v>2.8628364389233956E-3</v>
      </c>
      <c r="X588" s="25">
        <f t="shared" si="214"/>
        <v>2.4959427642857134E-3</v>
      </c>
      <c r="Y588" s="8" t="str">
        <f t="shared" si="215"/>
        <v/>
      </c>
      <c r="Z588" s="27">
        <f t="shared" si="216"/>
        <v>0.42282151823708419</v>
      </c>
      <c r="AA588" s="27"/>
      <c r="AB588" s="27"/>
      <c r="AC588" s="56">
        <f t="shared" si="204"/>
        <v>0</v>
      </c>
      <c r="AE588" s="20">
        <f t="shared" si="205"/>
        <v>4058937.0000000005</v>
      </c>
      <c r="AF588" s="20">
        <f t="shared" si="206"/>
        <v>1930068000.0000002</v>
      </c>
      <c r="AG588">
        <f t="shared" si="209"/>
        <v>0</v>
      </c>
      <c r="AH588">
        <f t="shared" si="210"/>
        <v>0</v>
      </c>
      <c r="AI588">
        <f t="shared" si="211"/>
        <v>16695949475.283735</v>
      </c>
    </row>
    <row r="589" spans="2:35" x14ac:dyDescent="0.25">
      <c r="B589" s="4">
        <v>2027</v>
      </c>
      <c r="C589" s="4" t="s">
        <v>33</v>
      </c>
      <c r="D589" s="1" t="s">
        <v>81</v>
      </c>
      <c r="E589" s="4" t="str">
        <f>D589&amp;"-"&amp;C589</f>
        <v>FortisBC-CAN</v>
      </c>
      <c r="F589" s="4" t="s">
        <v>155</v>
      </c>
      <c r="G589" s="4"/>
      <c r="H589" s="11" t="s">
        <v>411</v>
      </c>
      <c r="I589" s="4"/>
      <c r="J589" s="4" t="s">
        <v>155</v>
      </c>
      <c r="K589" s="5">
        <v>0</v>
      </c>
      <c r="L589" s="38"/>
      <c r="M589" s="8">
        <v>5517440</v>
      </c>
      <c r="N589" s="8">
        <v>4394120</v>
      </c>
      <c r="O589" s="8">
        <f>SUMIFS(EIAwtransport!$J$2:$J$675,EIAwtransport!$E$2:$E$675,Program_data!$E589,EIAwtransport!$H$2:$H$675,Program_data!$F589,EIAwtransport!$I$2:$I$675,Program_data!O$2)</f>
        <v>0</v>
      </c>
      <c r="P589" s="5">
        <f>SUMIFS(EIAwtransport!$J$2:$J$675,EIAwtransport!$E$2:$E$675,Program_data!$E589,EIAwtransport!$H$2:$H$675,Program_data!$F589,EIAwtransport!$I$2:$I$675,Program_data!P$2)</f>
        <v>0</v>
      </c>
      <c r="Q589" s="5">
        <f>SUMIFS(EIAwtransport!$J$2:$J$675,EIAwtransport!$E$2:$E$675,Program_data!$E589,EIAwtransport!$H$2:$H$675,Program_data!$F589,EIAwtransport!$I$2:$I$675,Program_data!Q$2)</f>
        <v>0</v>
      </c>
      <c r="R589" s="8">
        <f>SUMIFS(EIAwtransport!$J$2:$J$675,EIAwtransport!$E$2:$E$675,Program_data!$E589,EIAwtransport!$I$2:$I$675,Program_data!R$2)</f>
        <v>1429680000</v>
      </c>
      <c r="S589" s="5">
        <f>SUMIFS(EIAwtransport!$J$2:$J$675,EIAwtransport!$E$2:$E$675,Program_data!$E589,EIAwtransport!$I$2:$I$675,Program_data!S$2)</f>
        <v>158285451.98410821</v>
      </c>
      <c r="T589" s="5">
        <f>SUMIFS(EIAwtransport!$J$2:$J$675,EIAwtransport!$E$2:$E$675,Program_data!$E589,EIAwtransport!$I$2:$I$675,Program_data!T$2)</f>
        <v>1074614</v>
      </c>
      <c r="U589" s="24">
        <f t="shared" si="212"/>
        <v>0</v>
      </c>
      <c r="V589" s="24">
        <f t="shared" si="207"/>
        <v>0</v>
      </c>
      <c r="W589" s="24">
        <f t="shared" si="213"/>
        <v>3.8592132505175982E-3</v>
      </c>
      <c r="X589" s="25">
        <f t="shared" si="214"/>
        <v>3.3646265142857133E-3</v>
      </c>
      <c r="Y589" s="8" t="str">
        <f t="shared" si="215"/>
        <v/>
      </c>
      <c r="Z589" s="27">
        <f t="shared" si="216"/>
        <v>0.51612168797410829</v>
      </c>
      <c r="AA589" s="27"/>
      <c r="AB589" s="27"/>
      <c r="AC589" s="56">
        <f t="shared" si="204"/>
        <v>0</v>
      </c>
      <c r="AE589" s="20">
        <f t="shared" si="205"/>
        <v>5932062</v>
      </c>
      <c r="AF589" s="20">
        <f t="shared" si="206"/>
        <v>1930068000.0000002</v>
      </c>
      <c r="AG589">
        <f t="shared" si="209"/>
        <v>0</v>
      </c>
      <c r="AH589">
        <f t="shared" si="210"/>
        <v>0</v>
      </c>
      <c r="AI589">
        <f t="shared" si="211"/>
        <v>16695949475.283735</v>
      </c>
    </row>
    <row r="590" spans="2:35" x14ac:dyDescent="0.25">
      <c r="B590" s="4"/>
      <c r="C590" s="4"/>
      <c r="D590" s="1"/>
      <c r="E590" s="4"/>
      <c r="F590" s="4"/>
      <c r="G590" s="4"/>
      <c r="H590" s="11"/>
      <c r="I590" s="4"/>
      <c r="J590" s="4"/>
      <c r="K590" s="5"/>
      <c r="L590" s="5"/>
      <c r="M590" s="8"/>
      <c r="N590" s="8"/>
      <c r="O590" s="8">
        <f>SUMIFS(EIAwtransport!$J$2:$J$675,EIAwtransport!$E$2:$E$675,Program_data!$E590,EIAwtransport!$H$2:$H$675,Program_data!$F590,EIAwtransport!$I$2:$I$675,Program_data!O$2)</f>
        <v>0</v>
      </c>
      <c r="P590" s="5">
        <f>SUMIFS(EIAwtransport!$J$2:$J$675,EIAwtransport!$E$2:$E$675,Program_data!$E590,EIAwtransport!$H$2:$H$675,Program_data!$F590,EIAwtransport!$I$2:$I$675,Program_data!P$2)</f>
        <v>0</v>
      </c>
      <c r="Q590" s="5">
        <f>SUMIFS(EIAwtransport!$J$2:$J$675,EIAwtransport!$E$2:$E$675,Program_data!$E590,EIAwtransport!$H$2:$H$675,Program_data!$F590,EIAwtransport!$I$2:$I$675,Program_data!Q$2)</f>
        <v>0</v>
      </c>
      <c r="R590" s="8">
        <f>SUMIFS(EIAwtransport!$J$2:$J$675,EIAwtransport!$E$2:$E$675,Program_data!$E590,EIAwtransport!$I$2:$I$675,Program_data!R$2)</f>
        <v>0</v>
      </c>
      <c r="S590" s="5">
        <f>SUMIFS(EIAwtransport!$J$2:$J$675,EIAwtransport!$E$2:$E$675,Program_data!$E590,EIAwtransport!$I$2:$I$675,Program_data!S$2)</f>
        <v>0</v>
      </c>
      <c r="T590" s="5">
        <f>SUMIFS(EIAwtransport!$J$2:$J$675,EIAwtransport!$E$2:$E$675,Program_data!$E590,EIAwtransport!$I$2:$I$675,Program_data!T$2)</f>
        <v>0</v>
      </c>
      <c r="U590" s="97" t="str">
        <f t="shared" si="212"/>
        <v/>
      </c>
      <c r="V590" s="24" t="str">
        <f t="shared" si="207"/>
        <v/>
      </c>
      <c r="W590" s="24" t="str">
        <f t="shared" si="213"/>
        <v/>
      </c>
      <c r="X590" s="25" t="str">
        <f t="shared" si="214"/>
        <v/>
      </c>
      <c r="Y590" s="8" t="str">
        <f t="shared" si="215"/>
        <v/>
      </c>
      <c r="Z590" s="27" t="str">
        <f t="shared" si="216"/>
        <v/>
      </c>
      <c r="AA590" s="27"/>
      <c r="AB590" s="27"/>
      <c r="AC590" s="56" t="str">
        <f t="shared" si="204"/>
        <v/>
      </c>
      <c r="AE590" s="20">
        <f t="shared" si="205"/>
        <v>0</v>
      </c>
      <c r="AF590" s="20">
        <f t="shared" si="206"/>
        <v>0</v>
      </c>
      <c r="AG590">
        <f t="shared" si="209"/>
        <v>0</v>
      </c>
      <c r="AH590">
        <f t="shared" si="210"/>
        <v>0</v>
      </c>
      <c r="AI590">
        <f t="shared" si="211"/>
        <v>0</v>
      </c>
    </row>
    <row r="591" spans="2:35" x14ac:dyDescent="0.25">
      <c r="B591" s="4">
        <v>2025</v>
      </c>
      <c r="C591" s="4" t="s">
        <v>33</v>
      </c>
      <c r="D591" s="1" t="s">
        <v>81</v>
      </c>
      <c r="E591" s="4" t="str">
        <f>D591&amp;"-"&amp;C591</f>
        <v>FortisBC-CAN</v>
      </c>
      <c r="F591" s="4" t="s">
        <v>155</v>
      </c>
      <c r="G591" s="4"/>
      <c r="H591" s="11" t="s">
        <v>412</v>
      </c>
      <c r="I591" s="4"/>
      <c r="J591" s="4" t="s">
        <v>155</v>
      </c>
      <c r="K591" s="5">
        <v>0</v>
      </c>
      <c r="L591" s="38"/>
      <c r="M591" s="8">
        <v>1411180</v>
      </c>
      <c r="N591" s="8">
        <v>0</v>
      </c>
      <c r="O591" s="8">
        <f>SUMIFS(EIAwtransport!$J$2:$J$675,EIAwtransport!$E$2:$E$675,Program_data!$E591,EIAwtransport!$H$2:$H$675,Program_data!$F591,EIAwtransport!$I$2:$I$675,Program_data!O$2)</f>
        <v>0</v>
      </c>
      <c r="P591" s="5">
        <f>SUMIFS(EIAwtransport!$J$2:$J$675,EIAwtransport!$E$2:$E$675,Program_data!$E591,EIAwtransport!$H$2:$H$675,Program_data!$F591,EIAwtransport!$I$2:$I$675,Program_data!P$2)</f>
        <v>0</v>
      </c>
      <c r="Q591" s="5">
        <f>SUMIFS(EIAwtransport!$J$2:$J$675,EIAwtransport!$E$2:$E$675,Program_data!$E591,EIAwtransport!$H$2:$H$675,Program_data!$F591,EIAwtransport!$I$2:$I$675,Program_data!Q$2)</f>
        <v>0</v>
      </c>
      <c r="R591" s="8">
        <f>SUMIFS(EIAwtransport!$J$2:$J$675,EIAwtransport!$E$2:$E$675,Program_data!$E591,EIAwtransport!$I$2:$I$675,Program_data!R$2)</f>
        <v>1429680000</v>
      </c>
      <c r="S591" s="5">
        <f>SUMIFS(EIAwtransport!$J$2:$J$675,EIAwtransport!$E$2:$E$675,Program_data!$E591,EIAwtransport!$I$2:$I$675,Program_data!S$2)</f>
        <v>158285451.98410821</v>
      </c>
      <c r="T591" s="5">
        <f>SUMIFS(EIAwtransport!$J$2:$J$675,EIAwtransport!$E$2:$E$675,Program_data!$E591,EIAwtransport!$I$2:$I$675,Program_data!T$2)</f>
        <v>1074614</v>
      </c>
      <c r="U591" s="24">
        <f t="shared" si="212"/>
        <v>0</v>
      </c>
      <c r="V591" s="24">
        <f t="shared" si="207"/>
        <v>0</v>
      </c>
      <c r="W591" s="24">
        <f t="shared" si="213"/>
        <v>9.8706004140786748E-4</v>
      </c>
      <c r="X591" s="25">
        <f t="shared" si="214"/>
        <v>8.6056099285714244E-4</v>
      </c>
      <c r="Y591" s="8" t="str">
        <f t="shared" si="215"/>
        <v/>
      </c>
      <c r="Z591" s="27">
        <f t="shared" si="216"/>
        <v>0.16771563537504508</v>
      </c>
      <c r="AA591" s="27"/>
      <c r="AB591" s="27"/>
      <c r="AC591" s="56">
        <f t="shared" si="204"/>
        <v>0</v>
      </c>
      <c r="AE591" s="20">
        <f t="shared" si="205"/>
        <v>0</v>
      </c>
      <c r="AF591" s="20">
        <f t="shared" si="206"/>
        <v>1930068000.0000002</v>
      </c>
      <c r="AG591">
        <f t="shared" si="209"/>
        <v>0</v>
      </c>
      <c r="AH591">
        <f t="shared" si="210"/>
        <v>0</v>
      </c>
      <c r="AI591">
        <f t="shared" si="211"/>
        <v>16695949475.283735</v>
      </c>
    </row>
    <row r="592" spans="2:35" x14ac:dyDescent="0.25">
      <c r="B592" s="4">
        <v>2026</v>
      </c>
      <c r="C592" s="4" t="s">
        <v>33</v>
      </c>
      <c r="D592" s="1" t="s">
        <v>81</v>
      </c>
      <c r="E592" s="4" t="str">
        <f>D592&amp;"-"&amp;C592</f>
        <v>FortisBC-CAN</v>
      </c>
      <c r="F592" s="4" t="s">
        <v>155</v>
      </c>
      <c r="G592" s="4"/>
      <c r="H592" s="11" t="s">
        <v>412</v>
      </c>
      <c r="I592" s="4"/>
      <c r="J592" s="4" t="s">
        <v>155</v>
      </c>
      <c r="K592" s="5">
        <v>0</v>
      </c>
      <c r="L592" s="38"/>
      <c r="M592" s="8">
        <v>1410440</v>
      </c>
      <c r="N592" s="8">
        <v>0</v>
      </c>
      <c r="O592" s="8">
        <f>SUMIFS(EIAwtransport!$J$2:$J$675,EIAwtransport!$E$2:$E$675,Program_data!$E592,EIAwtransport!$H$2:$H$675,Program_data!$F592,EIAwtransport!$I$2:$I$675,Program_data!O$2)</f>
        <v>0</v>
      </c>
      <c r="P592" s="5">
        <f>SUMIFS(EIAwtransport!$J$2:$J$675,EIAwtransport!$E$2:$E$675,Program_data!$E592,EIAwtransport!$H$2:$H$675,Program_data!$F592,EIAwtransport!$I$2:$I$675,Program_data!P$2)</f>
        <v>0</v>
      </c>
      <c r="Q592" s="5">
        <f>SUMIFS(EIAwtransport!$J$2:$J$675,EIAwtransport!$E$2:$E$675,Program_data!$E592,EIAwtransport!$H$2:$H$675,Program_data!$F592,EIAwtransport!$I$2:$I$675,Program_data!Q$2)</f>
        <v>0</v>
      </c>
      <c r="R592" s="8">
        <f>SUMIFS(EIAwtransport!$J$2:$J$675,EIAwtransport!$E$2:$E$675,Program_data!$E592,EIAwtransport!$I$2:$I$675,Program_data!R$2)</f>
        <v>1429680000</v>
      </c>
      <c r="S592" s="5">
        <f>SUMIFS(EIAwtransport!$J$2:$J$675,EIAwtransport!$E$2:$E$675,Program_data!$E592,EIAwtransport!$I$2:$I$675,Program_data!S$2)</f>
        <v>158285451.98410821</v>
      </c>
      <c r="T592" s="5">
        <f>SUMIFS(EIAwtransport!$J$2:$J$675,EIAwtransport!$E$2:$E$675,Program_data!$E592,EIAwtransport!$I$2:$I$675,Program_data!T$2)</f>
        <v>1074614</v>
      </c>
      <c r="U592" s="24">
        <f t="shared" si="212"/>
        <v>0</v>
      </c>
      <c r="V592" s="24">
        <f t="shared" si="207"/>
        <v>0</v>
      </c>
      <c r="W592" s="24">
        <f t="shared" si="213"/>
        <v>9.8654244306418211E-4</v>
      </c>
      <c r="X592" s="25">
        <f t="shared" si="214"/>
        <v>8.6010972857142819E-4</v>
      </c>
      <c r="Y592" s="8" t="str">
        <f t="shared" si="215"/>
        <v/>
      </c>
      <c r="Z592" s="27">
        <f t="shared" si="216"/>
        <v>0.1457056253407851</v>
      </c>
      <c r="AA592" s="27"/>
      <c r="AB592" s="27"/>
      <c r="AC592" s="56">
        <f t="shared" si="204"/>
        <v>0</v>
      </c>
      <c r="AE592" s="20">
        <f t="shared" si="205"/>
        <v>0</v>
      </c>
      <c r="AF592" s="20">
        <f t="shared" si="206"/>
        <v>1930068000.0000002</v>
      </c>
      <c r="AG592">
        <f t="shared" si="209"/>
        <v>0</v>
      </c>
      <c r="AH592">
        <f t="shared" si="210"/>
        <v>0</v>
      </c>
      <c r="AI592">
        <f t="shared" si="211"/>
        <v>16695949475.283735</v>
      </c>
    </row>
    <row r="593" spans="2:35" x14ac:dyDescent="0.25">
      <c r="B593" s="4">
        <v>2027</v>
      </c>
      <c r="C593" s="4" t="s">
        <v>33</v>
      </c>
      <c r="D593" s="1" t="s">
        <v>81</v>
      </c>
      <c r="E593" s="4" t="str">
        <f>D593&amp;"-"&amp;C593</f>
        <v>FortisBC-CAN</v>
      </c>
      <c r="F593" s="4" t="s">
        <v>155</v>
      </c>
      <c r="G593" s="4"/>
      <c r="H593" s="11" t="s">
        <v>412</v>
      </c>
      <c r="I593" s="4"/>
      <c r="J593" s="4" t="s">
        <v>155</v>
      </c>
      <c r="K593" s="5">
        <v>0</v>
      </c>
      <c r="L593" s="38"/>
      <c r="M593" s="8">
        <v>1411180</v>
      </c>
      <c r="N593" s="8">
        <v>0</v>
      </c>
      <c r="O593" s="8">
        <f>SUMIFS(EIAwtransport!$J$2:$J$675,EIAwtransport!$E$2:$E$675,Program_data!$E593,EIAwtransport!$H$2:$H$675,Program_data!$F593,EIAwtransport!$I$2:$I$675,Program_data!O$2)</f>
        <v>0</v>
      </c>
      <c r="P593" s="5">
        <f>SUMIFS(EIAwtransport!$J$2:$J$675,EIAwtransport!$E$2:$E$675,Program_data!$E593,EIAwtransport!$H$2:$H$675,Program_data!$F593,EIAwtransport!$I$2:$I$675,Program_data!P$2)</f>
        <v>0</v>
      </c>
      <c r="Q593" s="5">
        <f>SUMIFS(EIAwtransport!$J$2:$J$675,EIAwtransport!$E$2:$E$675,Program_data!$E593,EIAwtransport!$H$2:$H$675,Program_data!$F593,EIAwtransport!$I$2:$I$675,Program_data!Q$2)</f>
        <v>0</v>
      </c>
      <c r="R593" s="8">
        <f>SUMIFS(EIAwtransport!$J$2:$J$675,EIAwtransport!$E$2:$E$675,Program_data!$E593,EIAwtransport!$I$2:$I$675,Program_data!R$2)</f>
        <v>1429680000</v>
      </c>
      <c r="S593" s="5">
        <f>SUMIFS(EIAwtransport!$J$2:$J$675,EIAwtransport!$E$2:$E$675,Program_data!$E593,EIAwtransport!$I$2:$I$675,Program_data!S$2)</f>
        <v>158285451.98410821</v>
      </c>
      <c r="T593" s="5">
        <f>SUMIFS(EIAwtransport!$J$2:$J$675,EIAwtransport!$E$2:$E$675,Program_data!$E593,EIAwtransport!$I$2:$I$675,Program_data!T$2)</f>
        <v>1074614</v>
      </c>
      <c r="U593" s="24">
        <f t="shared" si="212"/>
        <v>0</v>
      </c>
      <c r="V593" s="24">
        <f t="shared" si="207"/>
        <v>0</v>
      </c>
      <c r="W593" s="24">
        <f t="shared" si="213"/>
        <v>9.8706004140786748E-4</v>
      </c>
      <c r="X593" s="25">
        <f t="shared" si="214"/>
        <v>8.6056099285714244E-4</v>
      </c>
      <c r="Y593" s="8" t="str">
        <f t="shared" si="215"/>
        <v/>
      </c>
      <c r="Z593" s="27">
        <f t="shared" si="216"/>
        <v>0.13200698215754084</v>
      </c>
      <c r="AA593" s="27"/>
      <c r="AB593" s="27"/>
      <c r="AC593" s="56">
        <f t="shared" si="204"/>
        <v>0</v>
      </c>
      <c r="AE593" s="20">
        <f t="shared" si="205"/>
        <v>0</v>
      </c>
      <c r="AF593" s="20">
        <f t="shared" si="206"/>
        <v>1930068000.0000002</v>
      </c>
      <c r="AG593">
        <f t="shared" si="209"/>
        <v>0</v>
      </c>
      <c r="AH593">
        <f t="shared" si="210"/>
        <v>0</v>
      </c>
      <c r="AI593">
        <f t="shared" si="211"/>
        <v>16695949475.283735</v>
      </c>
    </row>
    <row r="594" spans="2:35" x14ac:dyDescent="0.25">
      <c r="B594" s="4"/>
      <c r="C594" s="4"/>
      <c r="D594" s="1"/>
      <c r="E594" s="4"/>
      <c r="F594" s="4"/>
      <c r="G594" s="4"/>
      <c r="H594" s="11"/>
      <c r="I594" s="4"/>
      <c r="J594" s="4"/>
      <c r="K594" s="5"/>
      <c r="L594" s="5"/>
      <c r="M594" s="8"/>
      <c r="N594" s="8"/>
      <c r="O594" s="8">
        <f>SUMIFS(EIAwtransport!$J$2:$J$675,EIAwtransport!$E$2:$E$675,Program_data!$E594,EIAwtransport!$H$2:$H$675,Program_data!$F594,EIAwtransport!$I$2:$I$675,Program_data!O$2)</f>
        <v>0</v>
      </c>
      <c r="P594" s="5">
        <f>SUMIFS(EIAwtransport!$J$2:$J$675,EIAwtransport!$E$2:$E$675,Program_data!$E594,EIAwtransport!$H$2:$H$675,Program_data!$F594,EIAwtransport!$I$2:$I$675,Program_data!P$2)</f>
        <v>0</v>
      </c>
      <c r="Q594" s="5">
        <f>SUMIFS(EIAwtransport!$J$2:$J$675,EIAwtransport!$E$2:$E$675,Program_data!$E594,EIAwtransport!$H$2:$H$675,Program_data!$F594,EIAwtransport!$I$2:$I$675,Program_data!Q$2)</f>
        <v>0</v>
      </c>
      <c r="R594" s="8">
        <f>SUMIFS(EIAwtransport!$J$2:$J$675,EIAwtransport!$E$2:$E$675,Program_data!$E594,EIAwtransport!$I$2:$I$675,Program_data!R$2)</f>
        <v>0</v>
      </c>
      <c r="S594" s="5">
        <f>SUMIFS(EIAwtransport!$J$2:$J$675,EIAwtransport!$E$2:$E$675,Program_data!$E594,EIAwtransport!$I$2:$I$675,Program_data!S$2)</f>
        <v>0</v>
      </c>
      <c r="T594" s="5">
        <f>SUMIFS(EIAwtransport!$J$2:$J$675,EIAwtransport!$E$2:$E$675,Program_data!$E594,EIAwtransport!$I$2:$I$675,Program_data!T$2)</f>
        <v>0</v>
      </c>
      <c r="U594" s="97" t="str">
        <f t="shared" si="212"/>
        <v/>
      </c>
      <c r="V594" s="24" t="str">
        <f t="shared" si="207"/>
        <v/>
      </c>
      <c r="W594" s="24" t="str">
        <f t="shared" si="213"/>
        <v/>
      </c>
      <c r="X594" s="25" t="str">
        <f t="shared" si="214"/>
        <v/>
      </c>
      <c r="Y594" s="8" t="str">
        <f t="shared" si="215"/>
        <v/>
      </c>
      <c r="Z594" s="27" t="str">
        <f t="shared" si="216"/>
        <v/>
      </c>
      <c r="AA594" s="27"/>
      <c r="AB594" s="27"/>
      <c r="AC594" s="56" t="str">
        <f t="shared" si="204"/>
        <v/>
      </c>
      <c r="AE594" s="20">
        <f t="shared" si="205"/>
        <v>0</v>
      </c>
      <c r="AF594" s="20">
        <f t="shared" si="206"/>
        <v>0</v>
      </c>
      <c r="AG594">
        <f t="shared" si="209"/>
        <v>0</v>
      </c>
      <c r="AH594">
        <f t="shared" si="210"/>
        <v>0</v>
      </c>
      <c r="AI594">
        <f t="shared" si="211"/>
        <v>0</v>
      </c>
    </row>
    <row r="595" spans="2:35" x14ac:dyDescent="0.25">
      <c r="B595" s="4">
        <v>2025</v>
      </c>
      <c r="C595" s="4" t="s">
        <v>33</v>
      </c>
      <c r="D595" s="1" t="s">
        <v>81</v>
      </c>
      <c r="E595" s="4" t="str">
        <f>D595&amp;"-"&amp;C595</f>
        <v>FortisBC-CAN</v>
      </c>
      <c r="F595" s="4" t="s">
        <v>155</v>
      </c>
      <c r="G595" s="4"/>
      <c r="H595" s="11" t="s">
        <v>413</v>
      </c>
      <c r="I595" s="4"/>
      <c r="J595" s="4" t="s">
        <v>155</v>
      </c>
      <c r="K595" s="5">
        <v>0</v>
      </c>
      <c r="L595" s="38"/>
      <c r="M595" s="8">
        <v>388500</v>
      </c>
      <c r="N595" s="8">
        <v>0</v>
      </c>
      <c r="O595" s="8">
        <f>SUMIFS(EIAwtransport!$J$2:$J$675,EIAwtransport!$E$2:$E$675,Program_data!$E595,EIAwtransport!$H$2:$H$675,Program_data!$F595,EIAwtransport!$I$2:$I$675,Program_data!O$2)</f>
        <v>0</v>
      </c>
      <c r="P595" s="5">
        <f>SUMIFS(EIAwtransport!$J$2:$J$675,EIAwtransport!$E$2:$E$675,Program_data!$E595,EIAwtransport!$H$2:$H$675,Program_data!$F595,EIAwtransport!$I$2:$I$675,Program_data!P$2)</f>
        <v>0</v>
      </c>
      <c r="Q595" s="5">
        <f>SUMIFS(EIAwtransport!$J$2:$J$675,EIAwtransport!$E$2:$E$675,Program_data!$E595,EIAwtransport!$H$2:$H$675,Program_data!$F595,EIAwtransport!$I$2:$I$675,Program_data!Q$2)</f>
        <v>0</v>
      </c>
      <c r="R595" s="8">
        <f>SUMIFS(EIAwtransport!$J$2:$J$675,EIAwtransport!$E$2:$E$675,Program_data!$E595,EIAwtransport!$I$2:$I$675,Program_data!R$2)</f>
        <v>1429680000</v>
      </c>
      <c r="S595" s="5">
        <f>SUMIFS(EIAwtransport!$J$2:$J$675,EIAwtransport!$E$2:$E$675,Program_data!$E595,EIAwtransport!$I$2:$I$675,Program_data!S$2)</f>
        <v>158285451.98410821</v>
      </c>
      <c r="T595" s="5">
        <f>SUMIFS(EIAwtransport!$J$2:$J$675,EIAwtransport!$E$2:$E$675,Program_data!$E595,EIAwtransport!$I$2:$I$675,Program_data!T$2)</f>
        <v>1074614</v>
      </c>
      <c r="U595" s="24">
        <f t="shared" si="212"/>
        <v>0</v>
      </c>
      <c r="V595" s="24">
        <f t="shared" si="207"/>
        <v>0</v>
      </c>
      <c r="W595" s="24">
        <f t="shared" si="213"/>
        <v>2.7173913043478261E-4</v>
      </c>
      <c r="X595" s="25">
        <f t="shared" si="214"/>
        <v>2.3691374999999993E-4</v>
      </c>
      <c r="Y595" s="8" t="str">
        <f t="shared" si="215"/>
        <v/>
      </c>
      <c r="Z595" s="27">
        <f t="shared" si="216"/>
        <v>4.6172369466124102E-2</v>
      </c>
      <c r="AA595" s="27"/>
      <c r="AB595" s="27"/>
      <c r="AC595" s="56">
        <f t="shared" si="204"/>
        <v>0</v>
      </c>
      <c r="AE595" s="20">
        <f t="shared" si="205"/>
        <v>0</v>
      </c>
      <c r="AF595" s="20">
        <f t="shared" si="206"/>
        <v>1930068000.0000002</v>
      </c>
      <c r="AG595">
        <f t="shared" si="209"/>
        <v>0</v>
      </c>
      <c r="AH595">
        <f t="shared" si="210"/>
        <v>0</v>
      </c>
      <c r="AI595">
        <f t="shared" si="211"/>
        <v>16695949475.283735</v>
      </c>
    </row>
    <row r="596" spans="2:35" x14ac:dyDescent="0.25">
      <c r="B596" s="4">
        <v>2026</v>
      </c>
      <c r="C596" s="4" t="s">
        <v>33</v>
      </c>
      <c r="D596" s="1" t="s">
        <v>81</v>
      </c>
      <c r="E596" s="4" t="str">
        <f>D596&amp;"-"&amp;C596</f>
        <v>FortisBC-CAN</v>
      </c>
      <c r="F596" s="4" t="s">
        <v>155</v>
      </c>
      <c r="G596" s="4"/>
      <c r="H596" s="11" t="s">
        <v>413</v>
      </c>
      <c r="I596" s="4"/>
      <c r="J596" s="4" t="s">
        <v>155</v>
      </c>
      <c r="K596" s="5">
        <v>0</v>
      </c>
      <c r="L596" s="38"/>
      <c r="M596" s="8">
        <v>403300</v>
      </c>
      <c r="N596" s="8">
        <v>0</v>
      </c>
      <c r="O596" s="8">
        <f>SUMIFS(EIAwtransport!$J$2:$J$675,EIAwtransport!$E$2:$E$675,Program_data!$E596,EIAwtransport!$H$2:$H$675,Program_data!$F596,EIAwtransport!$I$2:$I$675,Program_data!O$2)</f>
        <v>0</v>
      </c>
      <c r="P596" s="5">
        <f>SUMIFS(EIAwtransport!$J$2:$J$675,EIAwtransport!$E$2:$E$675,Program_data!$E596,EIAwtransport!$H$2:$H$675,Program_data!$F596,EIAwtransport!$I$2:$I$675,Program_data!P$2)</f>
        <v>0</v>
      </c>
      <c r="Q596" s="5">
        <f>SUMIFS(EIAwtransport!$J$2:$J$675,EIAwtransport!$E$2:$E$675,Program_data!$E596,EIAwtransport!$H$2:$H$675,Program_data!$F596,EIAwtransport!$I$2:$I$675,Program_data!Q$2)</f>
        <v>0</v>
      </c>
      <c r="R596" s="8">
        <f>SUMIFS(EIAwtransport!$J$2:$J$675,EIAwtransport!$E$2:$E$675,Program_data!$E596,EIAwtransport!$I$2:$I$675,Program_data!R$2)</f>
        <v>1429680000</v>
      </c>
      <c r="S596" s="5">
        <f>SUMIFS(EIAwtransport!$J$2:$J$675,EIAwtransport!$E$2:$E$675,Program_data!$E596,EIAwtransport!$I$2:$I$675,Program_data!S$2)</f>
        <v>158285451.98410821</v>
      </c>
      <c r="T596" s="5">
        <f>SUMIFS(EIAwtransport!$J$2:$J$675,EIAwtransport!$E$2:$E$675,Program_data!$E596,EIAwtransport!$I$2:$I$675,Program_data!T$2)</f>
        <v>1074614</v>
      </c>
      <c r="U596" s="24">
        <f t="shared" si="212"/>
        <v>0</v>
      </c>
      <c r="V596" s="24">
        <f t="shared" si="207"/>
        <v>0</v>
      </c>
      <c r="W596" s="24">
        <f t="shared" si="213"/>
        <v>2.8209109730848863E-4</v>
      </c>
      <c r="X596" s="25">
        <f t="shared" si="214"/>
        <v>2.4593903571428562E-4</v>
      </c>
      <c r="Y596" s="8" t="str">
        <f t="shared" si="215"/>
        <v/>
      </c>
      <c r="Z596" s="27">
        <f t="shared" si="216"/>
        <v>4.1662941138891858E-2</v>
      </c>
      <c r="AA596" s="27"/>
      <c r="AB596" s="27"/>
      <c r="AC596" s="56">
        <f t="shared" si="204"/>
        <v>0</v>
      </c>
      <c r="AE596" s="20">
        <f t="shared" si="205"/>
        <v>0</v>
      </c>
      <c r="AF596" s="20">
        <f t="shared" si="206"/>
        <v>1930068000.0000002</v>
      </c>
      <c r="AG596">
        <f t="shared" si="209"/>
        <v>0</v>
      </c>
      <c r="AH596">
        <f t="shared" si="210"/>
        <v>0</v>
      </c>
      <c r="AI596">
        <f t="shared" si="211"/>
        <v>16695949475.283735</v>
      </c>
    </row>
    <row r="597" spans="2:35" x14ac:dyDescent="0.25">
      <c r="B597" s="4">
        <v>2027</v>
      </c>
      <c r="C597" s="4" t="s">
        <v>33</v>
      </c>
      <c r="D597" s="1" t="s">
        <v>81</v>
      </c>
      <c r="E597" s="4" t="str">
        <f>D597&amp;"-"&amp;C597</f>
        <v>FortisBC-CAN</v>
      </c>
      <c r="F597" s="4" t="s">
        <v>155</v>
      </c>
      <c r="G597" s="4"/>
      <c r="H597" s="11" t="s">
        <v>413</v>
      </c>
      <c r="I597" s="4"/>
      <c r="J597" s="4" t="s">
        <v>155</v>
      </c>
      <c r="K597" s="5">
        <v>0</v>
      </c>
      <c r="L597" s="38"/>
      <c r="M597" s="8">
        <v>403300</v>
      </c>
      <c r="N597" s="8">
        <v>0</v>
      </c>
      <c r="O597" s="8">
        <f>SUMIFS(EIAwtransport!$J$2:$J$675,EIAwtransport!$E$2:$E$675,Program_data!$E597,EIAwtransport!$H$2:$H$675,Program_data!$F597,EIAwtransport!$I$2:$I$675,Program_data!O$2)</f>
        <v>0</v>
      </c>
      <c r="P597" s="5">
        <f>SUMIFS(EIAwtransport!$J$2:$J$675,EIAwtransport!$E$2:$E$675,Program_data!$E597,EIAwtransport!$H$2:$H$675,Program_data!$F597,EIAwtransport!$I$2:$I$675,Program_data!P$2)</f>
        <v>0</v>
      </c>
      <c r="Q597" s="5">
        <f>SUMIFS(EIAwtransport!$J$2:$J$675,EIAwtransport!$E$2:$E$675,Program_data!$E597,EIAwtransport!$H$2:$H$675,Program_data!$F597,EIAwtransport!$I$2:$I$675,Program_data!Q$2)</f>
        <v>0</v>
      </c>
      <c r="R597" s="8">
        <f>SUMIFS(EIAwtransport!$J$2:$J$675,EIAwtransport!$E$2:$E$675,Program_data!$E597,EIAwtransport!$I$2:$I$675,Program_data!R$2)</f>
        <v>1429680000</v>
      </c>
      <c r="S597" s="5">
        <f>SUMIFS(EIAwtransport!$J$2:$J$675,EIAwtransport!$E$2:$E$675,Program_data!$E597,EIAwtransport!$I$2:$I$675,Program_data!S$2)</f>
        <v>158285451.98410821</v>
      </c>
      <c r="T597" s="5">
        <f>SUMIFS(EIAwtransport!$J$2:$J$675,EIAwtransport!$E$2:$E$675,Program_data!$E597,EIAwtransport!$I$2:$I$675,Program_data!T$2)</f>
        <v>1074614</v>
      </c>
      <c r="U597" s="24">
        <f t="shared" si="212"/>
        <v>0</v>
      </c>
      <c r="V597" s="24">
        <f t="shared" si="207"/>
        <v>0</v>
      </c>
      <c r="W597" s="24">
        <f t="shared" si="213"/>
        <v>2.8209109730848863E-4</v>
      </c>
      <c r="X597" s="25">
        <f t="shared" si="214"/>
        <v>2.4593903571428562E-4</v>
      </c>
      <c r="Y597" s="8" t="str">
        <f t="shared" si="215"/>
        <v/>
      </c>
      <c r="Z597" s="27">
        <f t="shared" si="216"/>
        <v>3.7726169520639619E-2</v>
      </c>
      <c r="AA597" s="27"/>
      <c r="AB597" s="27"/>
      <c r="AC597" s="56">
        <f t="shared" si="204"/>
        <v>0</v>
      </c>
      <c r="AE597" s="20">
        <f t="shared" si="205"/>
        <v>0</v>
      </c>
      <c r="AF597" s="20">
        <f t="shared" si="206"/>
        <v>1930068000.0000002</v>
      </c>
      <c r="AG597">
        <f t="shared" si="209"/>
        <v>0</v>
      </c>
      <c r="AH597">
        <f t="shared" si="210"/>
        <v>0</v>
      </c>
      <c r="AI597">
        <f t="shared" si="211"/>
        <v>16695949475.283735</v>
      </c>
    </row>
    <row r="598" spans="2:35" x14ac:dyDescent="0.25">
      <c r="B598" s="4"/>
      <c r="C598" s="4"/>
      <c r="D598" s="1"/>
      <c r="E598" s="4"/>
      <c r="F598" s="4"/>
      <c r="G598" s="4"/>
      <c r="H598" s="11"/>
      <c r="I598" s="4"/>
      <c r="J598" s="4"/>
      <c r="K598" s="5"/>
      <c r="L598" s="5"/>
      <c r="M598" s="8"/>
      <c r="N598" s="8"/>
      <c r="O598" s="8">
        <f>SUMIFS(EIAwtransport!$J$2:$J$675,EIAwtransport!$E$2:$E$675,Program_data!$E598,EIAwtransport!$H$2:$H$675,Program_data!$F598,EIAwtransport!$I$2:$I$675,Program_data!O$2)</f>
        <v>0</v>
      </c>
      <c r="P598" s="5">
        <f>SUMIFS(EIAwtransport!$J$2:$J$675,EIAwtransport!$E$2:$E$675,Program_data!$E598,EIAwtransport!$H$2:$H$675,Program_data!$F598,EIAwtransport!$I$2:$I$675,Program_data!P$2)</f>
        <v>0</v>
      </c>
      <c r="Q598" s="5">
        <f>SUMIFS(EIAwtransport!$J$2:$J$675,EIAwtransport!$E$2:$E$675,Program_data!$E598,EIAwtransport!$H$2:$H$675,Program_data!$F598,EIAwtransport!$I$2:$I$675,Program_data!Q$2)</f>
        <v>0</v>
      </c>
      <c r="R598" s="8">
        <f>SUMIFS(EIAwtransport!$J$2:$J$675,EIAwtransport!$E$2:$E$675,Program_data!$E598,EIAwtransport!$I$2:$I$675,Program_data!R$2)</f>
        <v>0</v>
      </c>
      <c r="S598" s="5">
        <f>SUMIFS(EIAwtransport!$J$2:$J$675,EIAwtransport!$E$2:$E$675,Program_data!$E598,EIAwtransport!$I$2:$I$675,Program_data!S$2)</f>
        <v>0</v>
      </c>
      <c r="T598" s="5">
        <f>SUMIFS(EIAwtransport!$J$2:$J$675,EIAwtransport!$E$2:$E$675,Program_data!$E598,EIAwtransport!$I$2:$I$675,Program_data!T$2)</f>
        <v>0</v>
      </c>
      <c r="U598" s="97" t="str">
        <f t="shared" si="212"/>
        <v/>
      </c>
      <c r="V598" s="24" t="str">
        <f t="shared" si="207"/>
        <v/>
      </c>
      <c r="W598" s="24" t="str">
        <f t="shared" si="213"/>
        <v/>
      </c>
      <c r="X598" s="25" t="str">
        <f t="shared" si="214"/>
        <v/>
      </c>
      <c r="Y598" s="8" t="str">
        <f t="shared" si="215"/>
        <v/>
      </c>
      <c r="Z598" s="27" t="str">
        <f t="shared" si="216"/>
        <v/>
      </c>
      <c r="AA598" s="27"/>
      <c r="AB598" s="27"/>
      <c r="AC598" s="56" t="str">
        <f t="shared" ref="AC598:AC633" si="217">IFERROR(K598/SUMIFS($M$3:$M$1234,$E$3:$E$1234,E598,$B$3:$B$1234,B598),"")</f>
        <v/>
      </c>
      <c r="AE598" s="20">
        <f t="shared" si="205"/>
        <v>0</v>
      </c>
      <c r="AF598" s="20">
        <f t="shared" si="206"/>
        <v>0</v>
      </c>
      <c r="AG598">
        <f t="shared" si="209"/>
        <v>0</v>
      </c>
      <c r="AH598">
        <f t="shared" si="210"/>
        <v>0</v>
      </c>
      <c r="AI598">
        <f t="shared" si="211"/>
        <v>0</v>
      </c>
    </row>
    <row r="599" spans="2:35" x14ac:dyDescent="0.25">
      <c r="B599" s="4">
        <v>2025</v>
      </c>
      <c r="C599" s="4" t="s">
        <v>33</v>
      </c>
      <c r="D599" s="1" t="s">
        <v>81</v>
      </c>
      <c r="E599" s="4" t="str">
        <f>D599&amp;"-"&amp;C599</f>
        <v>FortisBC-CAN</v>
      </c>
      <c r="F599" s="4" t="s">
        <v>155</v>
      </c>
      <c r="G599" s="4"/>
      <c r="H599" s="11" t="s">
        <v>414</v>
      </c>
      <c r="I599" s="4"/>
      <c r="J599" s="4" t="s">
        <v>155</v>
      </c>
      <c r="K599" s="5">
        <v>0</v>
      </c>
      <c r="L599" s="38"/>
      <c r="M599" s="8">
        <v>1283900</v>
      </c>
      <c r="N599" s="8">
        <v>0</v>
      </c>
      <c r="O599" s="8">
        <f>SUMIFS(EIAwtransport!$J$2:$J$675,EIAwtransport!$E$2:$E$675,Program_data!$E599,EIAwtransport!$H$2:$H$675,Program_data!$F599,EIAwtransport!$I$2:$I$675,Program_data!O$2)</f>
        <v>0</v>
      </c>
      <c r="P599" s="5">
        <f>SUMIFS(EIAwtransport!$J$2:$J$675,EIAwtransport!$E$2:$E$675,Program_data!$E599,EIAwtransport!$H$2:$H$675,Program_data!$F599,EIAwtransport!$I$2:$I$675,Program_data!P$2)</f>
        <v>0</v>
      </c>
      <c r="Q599" s="5">
        <f>SUMIFS(EIAwtransport!$J$2:$J$675,EIAwtransport!$E$2:$E$675,Program_data!$E599,EIAwtransport!$H$2:$H$675,Program_data!$F599,EIAwtransport!$I$2:$I$675,Program_data!Q$2)</f>
        <v>0</v>
      </c>
      <c r="R599" s="8">
        <f>SUMIFS(EIAwtransport!$J$2:$J$675,EIAwtransport!$E$2:$E$675,Program_data!$E599,EIAwtransport!$I$2:$I$675,Program_data!R$2)</f>
        <v>1429680000</v>
      </c>
      <c r="S599" s="5">
        <f>SUMIFS(EIAwtransport!$J$2:$J$675,EIAwtransport!$E$2:$E$675,Program_data!$E599,EIAwtransport!$I$2:$I$675,Program_data!S$2)</f>
        <v>158285451.98410821</v>
      </c>
      <c r="T599" s="5">
        <f>SUMIFS(EIAwtransport!$J$2:$J$675,EIAwtransport!$E$2:$E$675,Program_data!$E599,EIAwtransport!$I$2:$I$675,Program_data!T$2)</f>
        <v>1074614</v>
      </c>
      <c r="U599" s="24">
        <f t="shared" si="212"/>
        <v>0</v>
      </c>
      <c r="V599" s="24">
        <f t="shared" si="207"/>
        <v>0</v>
      </c>
      <c r="W599" s="24">
        <f t="shared" si="213"/>
        <v>8.9803312629399589E-4</v>
      </c>
      <c r="X599" s="25">
        <f t="shared" si="214"/>
        <v>7.8294353571428546E-4</v>
      </c>
      <c r="Y599" s="8" t="str">
        <f t="shared" si="215"/>
        <v/>
      </c>
      <c r="Z599" s="27">
        <f t="shared" si="216"/>
        <v>0.15258868766423869</v>
      </c>
      <c r="AA599" s="27"/>
      <c r="AB599" s="27"/>
      <c r="AC599" s="56">
        <f t="shared" si="217"/>
        <v>0</v>
      </c>
      <c r="AE599" s="20">
        <f t="shared" si="205"/>
        <v>0</v>
      </c>
      <c r="AF599" s="20">
        <f t="shared" si="206"/>
        <v>1930068000.0000002</v>
      </c>
      <c r="AG599">
        <f t="shared" si="209"/>
        <v>0</v>
      </c>
      <c r="AH599">
        <f t="shared" si="210"/>
        <v>0</v>
      </c>
      <c r="AI599">
        <f t="shared" si="211"/>
        <v>16695949475.283735</v>
      </c>
    </row>
    <row r="600" spans="2:35" x14ac:dyDescent="0.25">
      <c r="B600" s="4">
        <v>2026</v>
      </c>
      <c r="C600" s="4" t="s">
        <v>33</v>
      </c>
      <c r="D600" s="1" t="s">
        <v>81</v>
      </c>
      <c r="E600" s="4" t="str">
        <f>D600&amp;"-"&amp;C600</f>
        <v>FortisBC-CAN</v>
      </c>
      <c r="F600" s="4" t="s">
        <v>155</v>
      </c>
      <c r="G600" s="4"/>
      <c r="H600" s="11" t="s">
        <v>414</v>
      </c>
      <c r="I600" s="4"/>
      <c r="J600" s="4" t="s">
        <v>155</v>
      </c>
      <c r="K600" s="5">
        <v>0</v>
      </c>
      <c r="L600" s="38"/>
      <c r="M600" s="8">
        <v>1309800</v>
      </c>
      <c r="N600" s="8">
        <v>0</v>
      </c>
      <c r="O600" s="8">
        <f>SUMIFS(EIAwtransport!$J$2:$J$675,EIAwtransport!$E$2:$E$675,Program_data!$E600,EIAwtransport!$H$2:$H$675,Program_data!$F600,EIAwtransport!$I$2:$I$675,Program_data!O$2)</f>
        <v>0</v>
      </c>
      <c r="P600" s="5">
        <f>SUMIFS(EIAwtransport!$J$2:$J$675,EIAwtransport!$E$2:$E$675,Program_data!$E600,EIAwtransport!$H$2:$H$675,Program_data!$F600,EIAwtransport!$I$2:$I$675,Program_data!P$2)</f>
        <v>0</v>
      </c>
      <c r="Q600" s="5">
        <f>SUMIFS(EIAwtransport!$J$2:$J$675,EIAwtransport!$E$2:$E$675,Program_data!$E600,EIAwtransport!$H$2:$H$675,Program_data!$F600,EIAwtransport!$I$2:$I$675,Program_data!Q$2)</f>
        <v>0</v>
      </c>
      <c r="R600" s="8">
        <f>SUMIFS(EIAwtransport!$J$2:$J$675,EIAwtransport!$E$2:$E$675,Program_data!$E600,EIAwtransport!$I$2:$I$675,Program_data!R$2)</f>
        <v>1429680000</v>
      </c>
      <c r="S600" s="5">
        <f>SUMIFS(EIAwtransport!$J$2:$J$675,EIAwtransport!$E$2:$E$675,Program_data!$E600,EIAwtransport!$I$2:$I$675,Program_data!S$2)</f>
        <v>158285451.98410821</v>
      </c>
      <c r="T600" s="5">
        <f>SUMIFS(EIAwtransport!$J$2:$J$675,EIAwtransport!$E$2:$E$675,Program_data!$E600,EIAwtransport!$I$2:$I$675,Program_data!T$2)</f>
        <v>1074614</v>
      </c>
      <c r="U600" s="24">
        <f t="shared" si="212"/>
        <v>0</v>
      </c>
      <c r="V600" s="24">
        <f t="shared" si="207"/>
        <v>0</v>
      </c>
      <c r="W600" s="24">
        <f t="shared" si="213"/>
        <v>9.1614906832298139E-4</v>
      </c>
      <c r="X600" s="25">
        <f t="shared" si="214"/>
        <v>7.987377857142854E-4</v>
      </c>
      <c r="Y600" s="8" t="str">
        <f t="shared" si="215"/>
        <v/>
      </c>
      <c r="Z600" s="27">
        <f t="shared" si="216"/>
        <v>0.13530900149695155</v>
      </c>
      <c r="AA600" s="27"/>
      <c r="AB600" s="27"/>
      <c r="AC600" s="56">
        <f t="shared" si="217"/>
        <v>0</v>
      </c>
      <c r="AE600" s="20">
        <f t="shared" si="205"/>
        <v>0</v>
      </c>
      <c r="AF600" s="20">
        <f t="shared" si="206"/>
        <v>1930068000.0000002</v>
      </c>
      <c r="AG600">
        <f t="shared" si="209"/>
        <v>0</v>
      </c>
      <c r="AH600">
        <f t="shared" si="210"/>
        <v>0</v>
      </c>
      <c r="AI600">
        <f t="shared" si="211"/>
        <v>16695949475.283735</v>
      </c>
    </row>
    <row r="601" spans="2:35" x14ac:dyDescent="0.25">
      <c r="B601" s="4">
        <v>2027</v>
      </c>
      <c r="C601" s="4" t="s">
        <v>33</v>
      </c>
      <c r="D601" s="1" t="s">
        <v>81</v>
      </c>
      <c r="E601" s="4" t="str">
        <f>D601&amp;"-"&amp;C601</f>
        <v>FortisBC-CAN</v>
      </c>
      <c r="F601" s="4" t="s">
        <v>155</v>
      </c>
      <c r="G601" s="4"/>
      <c r="H601" s="11" t="s">
        <v>414</v>
      </c>
      <c r="I601" s="4"/>
      <c r="J601" s="4" t="s">
        <v>155</v>
      </c>
      <c r="K601" s="5">
        <v>0</v>
      </c>
      <c r="L601" s="38"/>
      <c r="M601" s="8">
        <v>1280200</v>
      </c>
      <c r="N601" s="8">
        <v>2487140</v>
      </c>
      <c r="O601" s="8">
        <f>SUMIFS(EIAwtransport!$J$2:$J$675,EIAwtransport!$E$2:$E$675,Program_data!$E601,EIAwtransport!$H$2:$H$675,Program_data!$F601,EIAwtransport!$I$2:$I$675,Program_data!O$2)</f>
        <v>0</v>
      </c>
      <c r="P601" s="5">
        <f>SUMIFS(EIAwtransport!$J$2:$J$675,EIAwtransport!$E$2:$E$675,Program_data!$E601,EIAwtransport!$H$2:$H$675,Program_data!$F601,EIAwtransport!$I$2:$I$675,Program_data!P$2)</f>
        <v>0</v>
      </c>
      <c r="Q601" s="5">
        <f>SUMIFS(EIAwtransport!$J$2:$J$675,EIAwtransport!$E$2:$E$675,Program_data!$E601,EIAwtransport!$H$2:$H$675,Program_data!$F601,EIAwtransport!$I$2:$I$675,Program_data!Q$2)</f>
        <v>0</v>
      </c>
      <c r="R601" s="8">
        <f>SUMIFS(EIAwtransport!$J$2:$J$675,EIAwtransport!$E$2:$E$675,Program_data!$E601,EIAwtransport!$I$2:$I$675,Program_data!R$2)</f>
        <v>1429680000</v>
      </c>
      <c r="S601" s="5">
        <f>SUMIFS(EIAwtransport!$J$2:$J$675,EIAwtransport!$E$2:$E$675,Program_data!$E601,EIAwtransport!$I$2:$I$675,Program_data!S$2)</f>
        <v>158285451.98410821</v>
      </c>
      <c r="T601" s="5">
        <f>SUMIFS(EIAwtransport!$J$2:$J$675,EIAwtransport!$E$2:$E$675,Program_data!$E601,EIAwtransport!$I$2:$I$675,Program_data!T$2)</f>
        <v>1074614</v>
      </c>
      <c r="U601" s="24">
        <f t="shared" si="212"/>
        <v>0</v>
      </c>
      <c r="V601" s="24">
        <f t="shared" si="207"/>
        <v>0</v>
      </c>
      <c r="W601" s="24">
        <f t="shared" si="213"/>
        <v>8.9544513457556936E-4</v>
      </c>
      <c r="X601" s="25">
        <f t="shared" si="214"/>
        <v>7.8068721428571403E-4</v>
      </c>
      <c r="Y601" s="8" t="str">
        <f t="shared" si="215"/>
        <v/>
      </c>
      <c r="Z601" s="27">
        <f t="shared" si="216"/>
        <v>0.11975462985450741</v>
      </c>
      <c r="AA601" s="27"/>
      <c r="AB601" s="27"/>
      <c r="AC601" s="56">
        <f t="shared" si="217"/>
        <v>0</v>
      </c>
      <c r="AE601" s="20">
        <f t="shared" si="205"/>
        <v>3357639</v>
      </c>
      <c r="AF601" s="20">
        <f t="shared" si="206"/>
        <v>1930068000.0000002</v>
      </c>
      <c r="AG601">
        <f t="shared" si="209"/>
        <v>0</v>
      </c>
      <c r="AH601">
        <f t="shared" si="210"/>
        <v>0</v>
      </c>
      <c r="AI601">
        <f t="shared" si="211"/>
        <v>16695949475.283735</v>
      </c>
    </row>
    <row r="602" spans="2:35" x14ac:dyDescent="0.25">
      <c r="B602" s="4"/>
      <c r="C602" s="4"/>
      <c r="D602" s="1"/>
      <c r="E602" s="4"/>
      <c r="F602" s="4"/>
      <c r="G602" s="4"/>
      <c r="H602" s="11"/>
      <c r="I602" s="4"/>
      <c r="J602" s="4"/>
      <c r="K602" s="5"/>
      <c r="L602" s="5"/>
      <c r="M602" s="8"/>
      <c r="N602" s="8"/>
      <c r="O602" s="8">
        <f>SUMIFS(EIAwtransport!$J$2:$J$675,EIAwtransport!$E$2:$E$675,Program_data!$E602,EIAwtransport!$H$2:$H$675,Program_data!$F602,EIAwtransport!$I$2:$I$675,Program_data!O$2)</f>
        <v>0</v>
      </c>
      <c r="P602" s="5">
        <f>SUMIFS(EIAwtransport!$J$2:$J$675,EIAwtransport!$E$2:$E$675,Program_data!$E602,EIAwtransport!$H$2:$H$675,Program_data!$F602,EIAwtransport!$I$2:$I$675,Program_data!P$2)</f>
        <v>0</v>
      </c>
      <c r="Q602" s="5">
        <f>SUMIFS(EIAwtransport!$J$2:$J$675,EIAwtransport!$E$2:$E$675,Program_data!$E602,EIAwtransport!$H$2:$H$675,Program_data!$F602,EIAwtransport!$I$2:$I$675,Program_data!Q$2)</f>
        <v>0</v>
      </c>
      <c r="R602" s="8">
        <f>SUMIFS(EIAwtransport!$J$2:$J$675,EIAwtransport!$E$2:$E$675,Program_data!$E602,EIAwtransport!$I$2:$I$675,Program_data!R$2)</f>
        <v>0</v>
      </c>
      <c r="S602" s="5">
        <f>SUMIFS(EIAwtransport!$J$2:$J$675,EIAwtransport!$E$2:$E$675,Program_data!$E602,EIAwtransport!$I$2:$I$675,Program_data!S$2)</f>
        <v>0</v>
      </c>
      <c r="T602" s="5">
        <f>SUMIFS(EIAwtransport!$J$2:$J$675,EIAwtransport!$E$2:$E$675,Program_data!$E602,EIAwtransport!$I$2:$I$675,Program_data!T$2)</f>
        <v>0</v>
      </c>
      <c r="U602" s="97" t="str">
        <f t="shared" si="212"/>
        <v/>
      </c>
      <c r="V602" s="24" t="str">
        <f t="shared" si="207"/>
        <v/>
      </c>
      <c r="W602" s="24" t="str">
        <f t="shared" si="213"/>
        <v/>
      </c>
      <c r="X602" s="25" t="str">
        <f t="shared" si="214"/>
        <v/>
      </c>
      <c r="Y602" s="8" t="str">
        <f t="shared" si="215"/>
        <v/>
      </c>
      <c r="Z602" s="27" t="str">
        <f t="shared" si="216"/>
        <v/>
      </c>
      <c r="AA602" s="27"/>
      <c r="AB602" s="27"/>
      <c r="AC602" s="56" t="str">
        <f t="shared" si="217"/>
        <v/>
      </c>
      <c r="AE602" s="20">
        <f t="shared" si="205"/>
        <v>0</v>
      </c>
      <c r="AF602" s="20">
        <f t="shared" si="206"/>
        <v>0</v>
      </c>
      <c r="AG602">
        <f t="shared" si="209"/>
        <v>0</v>
      </c>
      <c r="AH602">
        <f t="shared" si="210"/>
        <v>0</v>
      </c>
      <c r="AI602">
        <f t="shared" si="211"/>
        <v>0</v>
      </c>
    </row>
    <row r="603" spans="2:35" x14ac:dyDescent="0.25">
      <c r="B603" s="4">
        <v>2025</v>
      </c>
      <c r="C603" s="4" t="s">
        <v>33</v>
      </c>
      <c r="D603" s="1" t="s">
        <v>81</v>
      </c>
      <c r="E603" s="4" t="str">
        <f>D603&amp;"-"&amp;C603</f>
        <v>FortisBC-CAN</v>
      </c>
      <c r="F603" s="4" t="s">
        <v>155</v>
      </c>
      <c r="G603" s="4"/>
      <c r="H603" s="11" t="s">
        <v>415</v>
      </c>
      <c r="I603" s="4"/>
      <c r="J603" s="4" t="s">
        <v>155</v>
      </c>
      <c r="K603" s="5">
        <v>0</v>
      </c>
      <c r="L603" s="38"/>
      <c r="M603" s="8">
        <v>1848520</v>
      </c>
      <c r="N603" s="8">
        <v>230140</v>
      </c>
      <c r="O603" s="8">
        <f>SUMIFS(EIAwtransport!$J$2:$J$675,EIAwtransport!$E$2:$E$675,Program_data!$E603,EIAwtransport!$H$2:$H$675,Program_data!$F603,EIAwtransport!$I$2:$I$675,Program_data!O$2)</f>
        <v>0</v>
      </c>
      <c r="P603" s="5">
        <f>SUMIFS(EIAwtransport!$J$2:$J$675,EIAwtransport!$E$2:$E$675,Program_data!$E603,EIAwtransport!$H$2:$H$675,Program_data!$F603,EIAwtransport!$I$2:$I$675,Program_data!P$2)</f>
        <v>0</v>
      </c>
      <c r="Q603" s="5">
        <f>SUMIFS(EIAwtransport!$J$2:$J$675,EIAwtransport!$E$2:$E$675,Program_data!$E603,EIAwtransport!$H$2:$H$675,Program_data!$F603,EIAwtransport!$I$2:$I$675,Program_data!Q$2)</f>
        <v>0</v>
      </c>
      <c r="R603" s="8">
        <f>SUMIFS(EIAwtransport!$J$2:$J$675,EIAwtransport!$E$2:$E$675,Program_data!$E603,EIAwtransport!$I$2:$I$675,Program_data!R$2)</f>
        <v>1429680000</v>
      </c>
      <c r="S603" s="5">
        <f>SUMIFS(EIAwtransport!$J$2:$J$675,EIAwtransport!$E$2:$E$675,Program_data!$E603,EIAwtransport!$I$2:$I$675,Program_data!S$2)</f>
        <v>158285451.98410821</v>
      </c>
      <c r="T603" s="5">
        <f>SUMIFS(EIAwtransport!$J$2:$J$675,EIAwtransport!$E$2:$E$675,Program_data!$E603,EIAwtransport!$I$2:$I$675,Program_data!T$2)</f>
        <v>1074614</v>
      </c>
      <c r="U603" s="24">
        <f t="shared" si="212"/>
        <v>0</v>
      </c>
      <c r="V603" s="24">
        <f t="shared" si="207"/>
        <v>0</v>
      </c>
      <c r="W603" s="24">
        <f t="shared" si="213"/>
        <v>1.29296066252588E-3</v>
      </c>
      <c r="X603" s="25">
        <f t="shared" si="214"/>
        <v>1.1272581857142852E-3</v>
      </c>
      <c r="Y603" s="8" t="str">
        <f t="shared" si="215"/>
        <v/>
      </c>
      <c r="Z603" s="27">
        <f t="shared" si="216"/>
        <v>0.21969253128833907</v>
      </c>
      <c r="AA603" s="27"/>
      <c r="AB603" s="27"/>
      <c r="AC603" s="56">
        <f t="shared" si="217"/>
        <v>0</v>
      </c>
      <c r="AE603" s="20">
        <f t="shared" si="205"/>
        <v>310689</v>
      </c>
      <c r="AF603" s="20">
        <f t="shared" si="206"/>
        <v>1930068000.0000002</v>
      </c>
      <c r="AG603">
        <f t="shared" si="209"/>
        <v>0</v>
      </c>
      <c r="AH603">
        <f t="shared" si="210"/>
        <v>0</v>
      </c>
      <c r="AI603">
        <f t="shared" si="211"/>
        <v>16695949475.283735</v>
      </c>
    </row>
    <row r="604" spans="2:35" x14ac:dyDescent="0.25">
      <c r="B604" s="4">
        <v>2026</v>
      </c>
      <c r="C604" s="4" t="s">
        <v>33</v>
      </c>
      <c r="D604" s="1" t="s">
        <v>81</v>
      </c>
      <c r="E604" s="4" t="str">
        <f>D604&amp;"-"&amp;C604</f>
        <v>FortisBC-CAN</v>
      </c>
      <c r="F604" s="4" t="s">
        <v>155</v>
      </c>
      <c r="G604" s="4"/>
      <c r="H604" s="11" t="s">
        <v>415</v>
      </c>
      <c r="I604" s="4"/>
      <c r="J604" s="4" t="s">
        <v>155</v>
      </c>
      <c r="K604" s="5">
        <v>0</v>
      </c>
      <c r="L604" s="38"/>
      <c r="M604" s="8">
        <v>1072260</v>
      </c>
      <c r="N604" s="8">
        <v>299700</v>
      </c>
      <c r="O604" s="8">
        <f>SUMIFS(EIAwtransport!$J$2:$J$675,EIAwtransport!$E$2:$E$675,Program_data!$E604,EIAwtransport!$H$2:$H$675,Program_data!$F604,EIAwtransport!$I$2:$I$675,Program_data!O$2)</f>
        <v>0</v>
      </c>
      <c r="P604" s="5">
        <f>SUMIFS(EIAwtransport!$J$2:$J$675,EIAwtransport!$E$2:$E$675,Program_data!$E604,EIAwtransport!$H$2:$H$675,Program_data!$F604,EIAwtransport!$I$2:$I$675,Program_data!P$2)</f>
        <v>0</v>
      </c>
      <c r="Q604" s="5">
        <f>SUMIFS(EIAwtransport!$J$2:$J$675,EIAwtransport!$E$2:$E$675,Program_data!$E604,EIAwtransport!$H$2:$H$675,Program_data!$F604,EIAwtransport!$I$2:$I$675,Program_data!Q$2)</f>
        <v>0</v>
      </c>
      <c r="R604" s="8">
        <f>SUMIFS(EIAwtransport!$J$2:$J$675,EIAwtransport!$E$2:$E$675,Program_data!$E604,EIAwtransport!$I$2:$I$675,Program_data!R$2)</f>
        <v>1429680000</v>
      </c>
      <c r="S604" s="5">
        <f>SUMIFS(EIAwtransport!$J$2:$J$675,EIAwtransport!$E$2:$E$675,Program_data!$E604,EIAwtransport!$I$2:$I$675,Program_data!S$2)</f>
        <v>158285451.98410821</v>
      </c>
      <c r="T604" s="5">
        <f>SUMIFS(EIAwtransport!$J$2:$J$675,EIAwtransport!$E$2:$E$675,Program_data!$E604,EIAwtransport!$I$2:$I$675,Program_data!T$2)</f>
        <v>1074614</v>
      </c>
      <c r="U604" s="24">
        <f t="shared" si="212"/>
        <v>0</v>
      </c>
      <c r="V604" s="24">
        <f t="shared" si="207"/>
        <v>0</v>
      </c>
      <c r="W604" s="24">
        <f t="shared" si="213"/>
        <v>7.5000000000000002E-4</v>
      </c>
      <c r="X604" s="25">
        <f t="shared" si="214"/>
        <v>6.5388194999999982E-4</v>
      </c>
      <c r="Y604" s="8" t="str">
        <f t="shared" si="215"/>
        <v/>
      </c>
      <c r="Z604" s="27">
        <f t="shared" si="216"/>
        <v>0.11076991139496203</v>
      </c>
      <c r="AA604" s="27"/>
      <c r="AB604" s="27"/>
      <c r="AC604" s="56">
        <f t="shared" si="217"/>
        <v>0</v>
      </c>
      <c r="AE604" s="20">
        <f t="shared" si="205"/>
        <v>404595</v>
      </c>
      <c r="AF604" s="20">
        <f t="shared" si="206"/>
        <v>1930068000.0000002</v>
      </c>
      <c r="AG604">
        <f t="shared" si="209"/>
        <v>0</v>
      </c>
      <c r="AH604">
        <f t="shared" si="210"/>
        <v>0</v>
      </c>
      <c r="AI604">
        <f t="shared" si="211"/>
        <v>16695949475.283735</v>
      </c>
    </row>
    <row r="605" spans="2:35" x14ac:dyDescent="0.25">
      <c r="B605" s="4">
        <v>2027</v>
      </c>
      <c r="C605" s="4" t="s">
        <v>33</v>
      </c>
      <c r="D605" s="1" t="s">
        <v>81</v>
      </c>
      <c r="E605" s="4" t="str">
        <f>D605&amp;"-"&amp;C605</f>
        <v>FortisBC-CAN</v>
      </c>
      <c r="F605" s="4" t="s">
        <v>155</v>
      </c>
      <c r="G605" s="4"/>
      <c r="H605" s="11" t="s">
        <v>415</v>
      </c>
      <c r="I605" s="4"/>
      <c r="J605" s="4" t="s">
        <v>155</v>
      </c>
      <c r="K605" s="5">
        <v>0</v>
      </c>
      <c r="L605" s="38"/>
      <c r="M605" s="8">
        <v>1141820</v>
      </c>
      <c r="N605" s="8">
        <v>0</v>
      </c>
      <c r="O605" s="8">
        <f>SUMIFS(EIAwtransport!$J$2:$J$675,EIAwtransport!$E$2:$E$675,Program_data!$E605,EIAwtransport!$H$2:$H$675,Program_data!$F605,EIAwtransport!$I$2:$I$675,Program_data!O$2)</f>
        <v>0</v>
      </c>
      <c r="P605" s="5">
        <f>SUMIFS(EIAwtransport!$J$2:$J$675,EIAwtransport!$E$2:$E$675,Program_data!$E605,EIAwtransport!$H$2:$H$675,Program_data!$F605,EIAwtransport!$I$2:$I$675,Program_data!P$2)</f>
        <v>0</v>
      </c>
      <c r="Q605" s="5">
        <f>SUMIFS(EIAwtransport!$J$2:$J$675,EIAwtransport!$E$2:$E$675,Program_data!$E605,EIAwtransport!$H$2:$H$675,Program_data!$F605,EIAwtransport!$I$2:$I$675,Program_data!Q$2)</f>
        <v>0</v>
      </c>
      <c r="R605" s="8">
        <f>SUMIFS(EIAwtransport!$J$2:$J$675,EIAwtransport!$E$2:$E$675,Program_data!$E605,EIAwtransport!$I$2:$I$675,Program_data!R$2)</f>
        <v>1429680000</v>
      </c>
      <c r="S605" s="5">
        <f>SUMIFS(EIAwtransport!$J$2:$J$675,EIAwtransport!$E$2:$E$675,Program_data!$E605,EIAwtransport!$I$2:$I$675,Program_data!S$2)</f>
        <v>158285451.98410821</v>
      </c>
      <c r="T605" s="5">
        <f>SUMIFS(EIAwtransport!$J$2:$J$675,EIAwtransport!$E$2:$E$675,Program_data!$E605,EIAwtransport!$I$2:$I$675,Program_data!T$2)</f>
        <v>1074614</v>
      </c>
      <c r="U605" s="24">
        <f t="shared" si="212"/>
        <v>0</v>
      </c>
      <c r="V605" s="24">
        <f t="shared" si="207"/>
        <v>0</v>
      </c>
      <c r="W605" s="24">
        <f t="shared" si="213"/>
        <v>7.9865424430641818E-4</v>
      </c>
      <c r="X605" s="25">
        <f t="shared" si="214"/>
        <v>6.9630079285714264E-4</v>
      </c>
      <c r="Y605" s="8" t="str">
        <f t="shared" si="215"/>
        <v/>
      </c>
      <c r="Z605" s="27">
        <f t="shared" si="216"/>
        <v>0.1068100542575173</v>
      </c>
      <c r="AA605" s="27"/>
      <c r="AB605" s="27"/>
      <c r="AC605" s="56">
        <f t="shared" si="217"/>
        <v>0</v>
      </c>
      <c r="AE605" s="20">
        <f t="shared" ref="AE605:AE668" si="218">N605*1.35</f>
        <v>0</v>
      </c>
      <c r="AF605" s="20">
        <f t="shared" ref="AF605:AF668" si="219">R605*1.35</f>
        <v>1930068000.0000002</v>
      </c>
      <c r="AG605">
        <f t="shared" si="209"/>
        <v>0</v>
      </c>
      <c r="AH605">
        <f t="shared" si="210"/>
        <v>0</v>
      </c>
      <c r="AI605">
        <f t="shared" si="211"/>
        <v>16695949475.283735</v>
      </c>
    </row>
    <row r="606" spans="2:35" x14ac:dyDescent="0.25">
      <c r="B606" s="4"/>
      <c r="C606" s="4"/>
      <c r="D606" s="1"/>
      <c r="E606" s="4"/>
      <c r="F606" s="4"/>
      <c r="G606" s="4"/>
      <c r="H606" s="11"/>
      <c r="I606" s="4"/>
      <c r="J606" s="4"/>
      <c r="K606" s="5"/>
      <c r="L606" s="5"/>
      <c r="M606" s="8"/>
      <c r="N606" s="8"/>
      <c r="O606" s="8">
        <f>SUMIFS(EIAwtransport!$J$2:$J$675,EIAwtransport!$E$2:$E$675,Program_data!$E606,EIAwtransport!$H$2:$H$675,Program_data!$F606,EIAwtransport!$I$2:$I$675,Program_data!O$2)</f>
        <v>0</v>
      </c>
      <c r="P606" s="5">
        <f>SUMIFS(EIAwtransport!$J$2:$J$675,EIAwtransport!$E$2:$E$675,Program_data!$E606,EIAwtransport!$H$2:$H$675,Program_data!$F606,EIAwtransport!$I$2:$I$675,Program_data!P$2)</f>
        <v>0</v>
      </c>
      <c r="Q606" s="5">
        <f>SUMIFS(EIAwtransport!$J$2:$J$675,EIAwtransport!$E$2:$E$675,Program_data!$E606,EIAwtransport!$H$2:$H$675,Program_data!$F606,EIAwtransport!$I$2:$I$675,Program_data!Q$2)</f>
        <v>0</v>
      </c>
      <c r="R606" s="8">
        <f>SUMIFS(EIAwtransport!$J$2:$J$675,EIAwtransport!$E$2:$E$675,Program_data!$E606,EIAwtransport!$I$2:$I$675,Program_data!R$2)</f>
        <v>0</v>
      </c>
      <c r="S606" s="5">
        <f>SUMIFS(EIAwtransport!$J$2:$J$675,EIAwtransport!$E$2:$E$675,Program_data!$E606,EIAwtransport!$I$2:$I$675,Program_data!S$2)</f>
        <v>0</v>
      </c>
      <c r="T606" s="5">
        <f>SUMIFS(EIAwtransport!$J$2:$J$675,EIAwtransport!$E$2:$E$675,Program_data!$E606,EIAwtransport!$I$2:$I$675,Program_data!T$2)</f>
        <v>0</v>
      </c>
      <c r="U606" s="97" t="str">
        <f t="shared" si="212"/>
        <v/>
      </c>
      <c r="V606" s="24" t="str">
        <f t="shared" si="207"/>
        <v/>
      </c>
      <c r="W606" s="24" t="str">
        <f t="shared" si="213"/>
        <v/>
      </c>
      <c r="X606" s="25" t="str">
        <f t="shared" si="214"/>
        <v/>
      </c>
      <c r="Y606" s="8" t="str">
        <f t="shared" si="215"/>
        <v/>
      </c>
      <c r="Z606" s="27" t="str">
        <f t="shared" si="216"/>
        <v/>
      </c>
      <c r="AA606" s="27"/>
      <c r="AB606" s="27"/>
      <c r="AC606" s="56" t="str">
        <f t="shared" si="217"/>
        <v/>
      </c>
      <c r="AE606" s="20">
        <f t="shared" si="218"/>
        <v>0</v>
      </c>
      <c r="AF606" s="20">
        <f t="shared" si="219"/>
        <v>0</v>
      </c>
      <c r="AG606">
        <f t="shared" si="209"/>
        <v>0</v>
      </c>
      <c r="AH606">
        <f t="shared" si="210"/>
        <v>0</v>
      </c>
      <c r="AI606">
        <f t="shared" si="211"/>
        <v>0</v>
      </c>
    </row>
    <row r="607" spans="2:35" x14ac:dyDescent="0.25">
      <c r="B607" s="4">
        <v>2025</v>
      </c>
      <c r="C607" s="4" t="s">
        <v>33</v>
      </c>
      <c r="D607" s="1" t="s">
        <v>81</v>
      </c>
      <c r="E607" s="4" t="str">
        <f>D607&amp;"-"&amp;C607</f>
        <v>FortisBC-CAN</v>
      </c>
      <c r="F607" s="4" t="s">
        <v>155</v>
      </c>
      <c r="G607" s="4"/>
      <c r="H607" s="11" t="s">
        <v>416</v>
      </c>
      <c r="I607" s="4"/>
      <c r="J607" s="4" t="s">
        <v>155</v>
      </c>
      <c r="K607" s="5">
        <v>0</v>
      </c>
      <c r="L607" s="38"/>
      <c r="M607" s="8">
        <v>894660</v>
      </c>
      <c r="N607" s="8">
        <v>0</v>
      </c>
      <c r="O607" s="8">
        <f>SUMIFS(EIAwtransport!$J$2:$J$675,EIAwtransport!$E$2:$E$675,Program_data!$E607,EIAwtransport!$H$2:$H$675,Program_data!$F607,EIAwtransport!$I$2:$I$675,Program_data!O$2)</f>
        <v>0</v>
      </c>
      <c r="P607" s="5">
        <f>SUMIFS(EIAwtransport!$J$2:$J$675,EIAwtransport!$E$2:$E$675,Program_data!$E607,EIAwtransport!$H$2:$H$675,Program_data!$F607,EIAwtransport!$I$2:$I$675,Program_data!P$2)</f>
        <v>0</v>
      </c>
      <c r="Q607" s="5">
        <f>SUMIFS(EIAwtransport!$J$2:$J$675,EIAwtransport!$E$2:$E$675,Program_data!$E607,EIAwtransport!$H$2:$H$675,Program_data!$F607,EIAwtransport!$I$2:$I$675,Program_data!Q$2)</f>
        <v>0</v>
      </c>
      <c r="R607" s="8">
        <f>SUMIFS(EIAwtransport!$J$2:$J$675,EIAwtransport!$E$2:$E$675,Program_data!$E607,EIAwtransport!$I$2:$I$675,Program_data!R$2)</f>
        <v>1429680000</v>
      </c>
      <c r="S607" s="5">
        <f>SUMIFS(EIAwtransport!$J$2:$J$675,EIAwtransport!$E$2:$E$675,Program_data!$E607,EIAwtransport!$I$2:$I$675,Program_data!S$2)</f>
        <v>158285451.98410821</v>
      </c>
      <c r="T607" s="5">
        <f>SUMIFS(EIAwtransport!$J$2:$J$675,EIAwtransport!$E$2:$E$675,Program_data!$E607,EIAwtransport!$I$2:$I$675,Program_data!T$2)</f>
        <v>1074614</v>
      </c>
      <c r="U607" s="24">
        <f t="shared" si="212"/>
        <v>0</v>
      </c>
      <c r="V607" s="24">
        <f t="shared" si="207"/>
        <v>0</v>
      </c>
      <c r="W607" s="24">
        <f t="shared" si="213"/>
        <v>6.2577639751552796E-4</v>
      </c>
      <c r="X607" s="25">
        <f t="shared" si="214"/>
        <v>5.4557852142857123E-4</v>
      </c>
      <c r="Y607" s="8" t="str">
        <f t="shared" si="215"/>
        <v/>
      </c>
      <c r="Z607" s="27">
        <f t="shared" si="216"/>
        <v>0.10632837082770293</v>
      </c>
      <c r="AA607" s="27"/>
      <c r="AB607" s="27"/>
      <c r="AC607" s="56">
        <f t="shared" si="217"/>
        <v>0</v>
      </c>
      <c r="AE607" s="20">
        <f t="shared" si="218"/>
        <v>0</v>
      </c>
      <c r="AF607" s="20">
        <f t="shared" si="219"/>
        <v>1930068000.0000002</v>
      </c>
      <c r="AG607">
        <f t="shared" si="209"/>
        <v>0</v>
      </c>
      <c r="AH607">
        <f t="shared" si="210"/>
        <v>0</v>
      </c>
      <c r="AI607">
        <f t="shared" si="211"/>
        <v>16695949475.283735</v>
      </c>
    </row>
    <row r="608" spans="2:35" x14ac:dyDescent="0.25">
      <c r="B608" s="4">
        <v>2026</v>
      </c>
      <c r="C608" s="4" t="s">
        <v>33</v>
      </c>
      <c r="D608" s="1" t="s">
        <v>81</v>
      </c>
      <c r="E608" s="4" t="str">
        <f>D608&amp;"-"&amp;C608</f>
        <v>FortisBC-CAN</v>
      </c>
      <c r="F608" s="4" t="s">
        <v>155</v>
      </c>
      <c r="G608" s="4"/>
      <c r="H608" s="11" t="s">
        <v>416</v>
      </c>
      <c r="I608" s="4"/>
      <c r="J608" s="4" t="s">
        <v>155</v>
      </c>
      <c r="K608" s="5">
        <v>0</v>
      </c>
      <c r="L608" s="38"/>
      <c r="M608" s="8">
        <v>674140</v>
      </c>
      <c r="N608" s="8">
        <v>0</v>
      </c>
      <c r="O608" s="8">
        <f>SUMIFS(EIAwtransport!$J$2:$J$675,EIAwtransport!$E$2:$E$675,Program_data!$E608,EIAwtransport!$H$2:$H$675,Program_data!$F608,EIAwtransport!$I$2:$I$675,Program_data!O$2)</f>
        <v>0</v>
      </c>
      <c r="P608" s="5">
        <f>SUMIFS(EIAwtransport!$J$2:$J$675,EIAwtransport!$E$2:$E$675,Program_data!$E608,EIAwtransport!$H$2:$H$675,Program_data!$F608,EIAwtransport!$I$2:$I$675,Program_data!P$2)</f>
        <v>0</v>
      </c>
      <c r="Q608" s="5">
        <f>SUMIFS(EIAwtransport!$J$2:$J$675,EIAwtransport!$E$2:$E$675,Program_data!$E608,EIAwtransport!$H$2:$H$675,Program_data!$F608,EIAwtransport!$I$2:$I$675,Program_data!Q$2)</f>
        <v>0</v>
      </c>
      <c r="R608" s="8">
        <f>SUMIFS(EIAwtransport!$J$2:$J$675,EIAwtransport!$E$2:$E$675,Program_data!$E608,EIAwtransport!$I$2:$I$675,Program_data!R$2)</f>
        <v>1429680000</v>
      </c>
      <c r="S608" s="5">
        <f>SUMIFS(EIAwtransport!$J$2:$J$675,EIAwtransport!$E$2:$E$675,Program_data!$E608,EIAwtransport!$I$2:$I$675,Program_data!S$2)</f>
        <v>158285451.98410821</v>
      </c>
      <c r="T608" s="5">
        <f>SUMIFS(EIAwtransport!$J$2:$J$675,EIAwtransport!$E$2:$E$675,Program_data!$E608,EIAwtransport!$I$2:$I$675,Program_data!T$2)</f>
        <v>1074614</v>
      </c>
      <c r="U608" s="24">
        <f t="shared" si="212"/>
        <v>0</v>
      </c>
      <c r="V608" s="24">
        <f t="shared" ref="V608:V671" si="220">IFERROR(L608/10.36/S608,"")</f>
        <v>0</v>
      </c>
      <c r="W608" s="24">
        <f t="shared" si="213"/>
        <v>4.715320910973085E-4</v>
      </c>
      <c r="X608" s="25">
        <f t="shared" si="214"/>
        <v>4.1110176428571412E-4</v>
      </c>
      <c r="Y608" s="8" t="str">
        <f t="shared" si="215"/>
        <v/>
      </c>
      <c r="Z608" s="27">
        <f t="shared" si="216"/>
        <v>6.9642090600973372E-2</v>
      </c>
      <c r="AA608" s="27"/>
      <c r="AB608" s="27"/>
      <c r="AC608" s="56">
        <f t="shared" si="217"/>
        <v>0</v>
      </c>
      <c r="AE608" s="20">
        <f t="shared" si="218"/>
        <v>0</v>
      </c>
      <c r="AF608" s="20">
        <f t="shared" si="219"/>
        <v>1930068000.0000002</v>
      </c>
      <c r="AG608">
        <f t="shared" si="209"/>
        <v>0</v>
      </c>
      <c r="AH608">
        <f t="shared" si="210"/>
        <v>0</v>
      </c>
      <c r="AI608">
        <f t="shared" si="211"/>
        <v>16695949475.283735</v>
      </c>
    </row>
    <row r="609" spans="2:35" x14ac:dyDescent="0.25">
      <c r="B609" s="4">
        <v>2027</v>
      </c>
      <c r="C609" s="4" t="s">
        <v>33</v>
      </c>
      <c r="D609" s="1" t="s">
        <v>81</v>
      </c>
      <c r="E609" s="4" t="str">
        <f>D609&amp;"-"&amp;C609</f>
        <v>FortisBC-CAN</v>
      </c>
      <c r="F609" s="4" t="s">
        <v>155</v>
      </c>
      <c r="G609" s="4"/>
      <c r="H609" s="11" t="s">
        <v>416</v>
      </c>
      <c r="I609" s="4"/>
      <c r="J609" s="4" t="s">
        <v>155</v>
      </c>
      <c r="K609" s="5">
        <v>0</v>
      </c>
      <c r="L609" s="38"/>
      <c r="M609" s="8">
        <v>681540</v>
      </c>
      <c r="N609" s="8">
        <v>0</v>
      </c>
      <c r="O609" s="8">
        <f>SUMIFS(EIAwtransport!$J$2:$J$675,EIAwtransport!$E$2:$E$675,Program_data!$E609,EIAwtransport!$H$2:$H$675,Program_data!$F609,EIAwtransport!$I$2:$I$675,Program_data!O$2)</f>
        <v>0</v>
      </c>
      <c r="P609" s="5">
        <f>SUMIFS(EIAwtransport!$J$2:$J$675,EIAwtransport!$E$2:$E$675,Program_data!$E609,EIAwtransport!$H$2:$H$675,Program_data!$F609,EIAwtransport!$I$2:$I$675,Program_data!P$2)</f>
        <v>0</v>
      </c>
      <c r="Q609" s="5">
        <f>SUMIFS(EIAwtransport!$J$2:$J$675,EIAwtransport!$E$2:$E$675,Program_data!$E609,EIAwtransport!$H$2:$H$675,Program_data!$F609,EIAwtransport!$I$2:$I$675,Program_data!Q$2)</f>
        <v>0</v>
      </c>
      <c r="R609" s="8">
        <f>SUMIFS(EIAwtransport!$J$2:$J$675,EIAwtransport!$E$2:$E$675,Program_data!$E609,EIAwtransport!$I$2:$I$675,Program_data!R$2)</f>
        <v>1429680000</v>
      </c>
      <c r="S609" s="5">
        <f>SUMIFS(EIAwtransport!$J$2:$J$675,EIAwtransport!$E$2:$E$675,Program_data!$E609,EIAwtransport!$I$2:$I$675,Program_data!S$2)</f>
        <v>158285451.98410821</v>
      </c>
      <c r="T609" s="5">
        <f>SUMIFS(EIAwtransport!$J$2:$J$675,EIAwtransport!$E$2:$E$675,Program_data!$E609,EIAwtransport!$I$2:$I$675,Program_data!T$2)</f>
        <v>1074614</v>
      </c>
      <c r="U609" s="24">
        <f t="shared" si="212"/>
        <v>0</v>
      </c>
      <c r="V609" s="24">
        <f t="shared" si="220"/>
        <v>0</v>
      </c>
      <c r="W609" s="24">
        <f t="shared" si="213"/>
        <v>4.7670807453416151E-4</v>
      </c>
      <c r="X609" s="25">
        <f t="shared" si="214"/>
        <v>4.1561440714285694E-4</v>
      </c>
      <c r="Y609" s="8" t="str">
        <f t="shared" si="215"/>
        <v/>
      </c>
      <c r="Z609" s="27">
        <f t="shared" si="216"/>
        <v>6.3753765373411167E-2</v>
      </c>
      <c r="AA609" s="27"/>
      <c r="AB609" s="27"/>
      <c r="AC609" s="56">
        <f t="shared" si="217"/>
        <v>0</v>
      </c>
      <c r="AE609" s="20">
        <f t="shared" si="218"/>
        <v>0</v>
      </c>
      <c r="AF609" s="20">
        <f t="shared" si="219"/>
        <v>1930068000.0000002</v>
      </c>
      <c r="AG609">
        <f t="shared" si="209"/>
        <v>0</v>
      </c>
      <c r="AH609">
        <f t="shared" si="210"/>
        <v>0</v>
      </c>
      <c r="AI609">
        <f t="shared" si="211"/>
        <v>16695949475.283735</v>
      </c>
    </row>
    <row r="610" spans="2:35" x14ac:dyDescent="0.25">
      <c r="B610" s="4"/>
      <c r="C610" s="4"/>
      <c r="D610" s="1"/>
      <c r="E610" s="4"/>
      <c r="F610" s="4"/>
      <c r="G610" s="4"/>
      <c r="H610" s="11"/>
      <c r="I610" s="4"/>
      <c r="J610" s="4"/>
      <c r="K610" s="5"/>
      <c r="L610" s="5"/>
      <c r="M610" s="8"/>
      <c r="N610" s="8"/>
      <c r="O610" s="8">
        <f>SUMIFS(EIAwtransport!$J$2:$J$675,EIAwtransport!$E$2:$E$675,Program_data!$E610,EIAwtransport!$H$2:$H$675,Program_data!$F610,EIAwtransport!$I$2:$I$675,Program_data!O$2)</f>
        <v>0</v>
      </c>
      <c r="P610" s="5">
        <f>SUMIFS(EIAwtransport!$J$2:$J$675,EIAwtransport!$E$2:$E$675,Program_data!$E610,EIAwtransport!$H$2:$H$675,Program_data!$F610,EIAwtransport!$I$2:$I$675,Program_data!P$2)</f>
        <v>0</v>
      </c>
      <c r="Q610" s="5">
        <f>SUMIFS(EIAwtransport!$J$2:$J$675,EIAwtransport!$E$2:$E$675,Program_data!$E610,EIAwtransport!$H$2:$H$675,Program_data!$F610,EIAwtransport!$I$2:$I$675,Program_data!Q$2)</f>
        <v>0</v>
      </c>
      <c r="R610" s="8">
        <f>SUMIFS(EIAwtransport!$J$2:$J$675,EIAwtransport!$E$2:$E$675,Program_data!$E610,EIAwtransport!$I$2:$I$675,Program_data!R$2)</f>
        <v>0</v>
      </c>
      <c r="S610" s="5">
        <f>SUMIFS(EIAwtransport!$J$2:$J$675,EIAwtransport!$E$2:$E$675,Program_data!$E610,EIAwtransport!$I$2:$I$675,Program_data!S$2)</f>
        <v>0</v>
      </c>
      <c r="T610" s="5">
        <f>SUMIFS(EIAwtransport!$J$2:$J$675,EIAwtransport!$E$2:$E$675,Program_data!$E610,EIAwtransport!$I$2:$I$675,Program_data!T$2)</f>
        <v>0</v>
      </c>
      <c r="U610" s="97" t="str">
        <f t="shared" si="212"/>
        <v/>
      </c>
      <c r="V610" s="24" t="str">
        <f t="shared" si="220"/>
        <v/>
      </c>
      <c r="W610" s="24" t="str">
        <f t="shared" si="213"/>
        <v/>
      </c>
      <c r="X610" s="25" t="str">
        <f t="shared" si="214"/>
        <v/>
      </c>
      <c r="Y610" s="8" t="str">
        <f t="shared" si="215"/>
        <v/>
      </c>
      <c r="Z610" s="27" t="str">
        <f t="shared" si="216"/>
        <v/>
      </c>
      <c r="AA610" s="27"/>
      <c r="AB610" s="27"/>
      <c r="AC610" s="56" t="str">
        <f t="shared" si="217"/>
        <v/>
      </c>
      <c r="AE610" s="20">
        <f t="shared" si="218"/>
        <v>0</v>
      </c>
      <c r="AF610" s="20">
        <f t="shared" si="219"/>
        <v>0</v>
      </c>
      <c r="AG610">
        <f t="shared" si="209"/>
        <v>0</v>
      </c>
      <c r="AH610">
        <f t="shared" si="210"/>
        <v>0</v>
      </c>
      <c r="AI610">
        <f t="shared" si="211"/>
        <v>0</v>
      </c>
    </row>
    <row r="611" spans="2:35" x14ac:dyDescent="0.25">
      <c r="B611" s="4">
        <v>2025</v>
      </c>
      <c r="C611" s="4" t="s">
        <v>33</v>
      </c>
      <c r="D611" s="1" t="s">
        <v>81</v>
      </c>
      <c r="E611" s="4" t="str">
        <f>D611&amp;"-"&amp;C611</f>
        <v>FortisBC-CAN</v>
      </c>
      <c r="F611" s="4" t="s">
        <v>155</v>
      </c>
      <c r="G611" s="4"/>
      <c r="H611" s="11" t="s">
        <v>417</v>
      </c>
      <c r="I611" s="4"/>
      <c r="J611" s="4" t="s">
        <v>155</v>
      </c>
      <c r="K611" s="5">
        <v>0</v>
      </c>
      <c r="L611" s="38"/>
      <c r="M611" s="8">
        <v>192400</v>
      </c>
      <c r="N611" s="8">
        <v>0</v>
      </c>
      <c r="O611" s="8">
        <f>SUMIFS(EIAwtransport!$J$2:$J$675,EIAwtransport!$E$2:$E$675,Program_data!$E611,EIAwtransport!$H$2:$H$675,Program_data!$F611,EIAwtransport!$I$2:$I$675,Program_data!O$2)</f>
        <v>0</v>
      </c>
      <c r="P611" s="5">
        <f>SUMIFS(EIAwtransport!$J$2:$J$675,EIAwtransport!$E$2:$E$675,Program_data!$E611,EIAwtransport!$H$2:$H$675,Program_data!$F611,EIAwtransport!$I$2:$I$675,Program_data!P$2)</f>
        <v>0</v>
      </c>
      <c r="Q611" s="5">
        <f>SUMIFS(EIAwtransport!$J$2:$J$675,EIAwtransport!$E$2:$E$675,Program_data!$E611,EIAwtransport!$H$2:$H$675,Program_data!$F611,EIAwtransport!$I$2:$I$675,Program_data!Q$2)</f>
        <v>0</v>
      </c>
      <c r="R611" s="8">
        <f>SUMIFS(EIAwtransport!$J$2:$J$675,EIAwtransport!$E$2:$E$675,Program_data!$E611,EIAwtransport!$I$2:$I$675,Program_data!R$2)</f>
        <v>1429680000</v>
      </c>
      <c r="S611" s="5">
        <f>SUMIFS(EIAwtransport!$J$2:$J$675,EIAwtransport!$E$2:$E$675,Program_data!$E611,EIAwtransport!$I$2:$I$675,Program_data!S$2)</f>
        <v>158285451.98410821</v>
      </c>
      <c r="T611" s="5">
        <f>SUMIFS(EIAwtransport!$J$2:$J$675,EIAwtransport!$E$2:$E$675,Program_data!$E611,EIAwtransport!$I$2:$I$675,Program_data!T$2)</f>
        <v>1074614</v>
      </c>
      <c r="U611" s="24">
        <f t="shared" si="212"/>
        <v>0</v>
      </c>
      <c r="V611" s="24">
        <f t="shared" si="220"/>
        <v>0</v>
      </c>
      <c r="W611" s="24">
        <f t="shared" si="213"/>
        <v>1.3457556935817804E-4</v>
      </c>
      <c r="X611" s="25">
        <f t="shared" si="214"/>
        <v>1.1732871428571423E-4</v>
      </c>
      <c r="Y611" s="8" t="str">
        <f t="shared" si="215"/>
        <v/>
      </c>
      <c r="Z611" s="27">
        <f t="shared" si="216"/>
        <v>2.286631630703289E-2</v>
      </c>
      <c r="AA611" s="27"/>
      <c r="AB611" s="27"/>
      <c r="AC611" s="56">
        <f t="shared" si="217"/>
        <v>0</v>
      </c>
      <c r="AE611" s="20">
        <f t="shared" si="218"/>
        <v>0</v>
      </c>
      <c r="AF611" s="20">
        <f t="shared" si="219"/>
        <v>1930068000.0000002</v>
      </c>
      <c r="AG611">
        <f t="shared" si="209"/>
        <v>0</v>
      </c>
      <c r="AH611">
        <f t="shared" si="210"/>
        <v>0</v>
      </c>
      <c r="AI611">
        <f t="shared" si="211"/>
        <v>16695949475.283735</v>
      </c>
    </row>
    <row r="612" spans="2:35" x14ac:dyDescent="0.25">
      <c r="B612" s="4">
        <v>2026</v>
      </c>
      <c r="C612" s="4" t="s">
        <v>33</v>
      </c>
      <c r="D612" s="1" t="s">
        <v>81</v>
      </c>
      <c r="E612" s="4" t="str">
        <f>D612&amp;"-"&amp;C612</f>
        <v>FortisBC-CAN</v>
      </c>
      <c r="F612" s="4" t="s">
        <v>155</v>
      </c>
      <c r="G612" s="4"/>
      <c r="H612" s="11" t="s">
        <v>417</v>
      </c>
      <c r="I612" s="4"/>
      <c r="J612" s="4" t="s">
        <v>155</v>
      </c>
      <c r="K612" s="5">
        <v>0</v>
      </c>
      <c r="L612" s="38"/>
      <c r="M612" s="8">
        <v>266400</v>
      </c>
      <c r="N612" s="8">
        <v>0</v>
      </c>
      <c r="O612" s="8">
        <f>SUMIFS(EIAwtransport!$J$2:$J$675,EIAwtransport!$E$2:$E$675,Program_data!$E612,EIAwtransport!$H$2:$H$675,Program_data!$F612,EIAwtransport!$I$2:$I$675,Program_data!O$2)</f>
        <v>0</v>
      </c>
      <c r="P612" s="5">
        <f>SUMIFS(EIAwtransport!$J$2:$J$675,EIAwtransport!$E$2:$E$675,Program_data!$E612,EIAwtransport!$H$2:$H$675,Program_data!$F612,EIAwtransport!$I$2:$I$675,Program_data!P$2)</f>
        <v>0</v>
      </c>
      <c r="Q612" s="5">
        <f>SUMIFS(EIAwtransport!$J$2:$J$675,EIAwtransport!$E$2:$E$675,Program_data!$E612,EIAwtransport!$H$2:$H$675,Program_data!$F612,EIAwtransport!$I$2:$I$675,Program_data!Q$2)</f>
        <v>0</v>
      </c>
      <c r="R612" s="8">
        <f>SUMIFS(EIAwtransport!$J$2:$J$675,EIAwtransport!$E$2:$E$675,Program_data!$E612,EIAwtransport!$I$2:$I$675,Program_data!R$2)</f>
        <v>1429680000</v>
      </c>
      <c r="S612" s="5">
        <f>SUMIFS(EIAwtransport!$J$2:$J$675,EIAwtransport!$E$2:$E$675,Program_data!$E612,EIAwtransport!$I$2:$I$675,Program_data!S$2)</f>
        <v>158285451.98410821</v>
      </c>
      <c r="T612" s="5">
        <f>SUMIFS(EIAwtransport!$J$2:$J$675,EIAwtransport!$E$2:$E$675,Program_data!$E612,EIAwtransport!$I$2:$I$675,Program_data!T$2)</f>
        <v>1074614</v>
      </c>
      <c r="U612" s="24">
        <f t="shared" si="212"/>
        <v>0</v>
      </c>
      <c r="V612" s="24">
        <f t="shared" si="220"/>
        <v>0</v>
      </c>
      <c r="W612" s="24">
        <f t="shared" si="213"/>
        <v>1.8633540372670808E-4</v>
      </c>
      <c r="X612" s="25">
        <f t="shared" si="214"/>
        <v>1.624551428571428E-4</v>
      </c>
      <c r="Y612" s="8" t="str">
        <f t="shared" si="215"/>
        <v/>
      </c>
      <c r="Z612" s="27">
        <f t="shared" si="216"/>
        <v>2.7520474880735907E-2</v>
      </c>
      <c r="AA612" s="27"/>
      <c r="AB612" s="27"/>
      <c r="AC612" s="56">
        <f t="shared" si="217"/>
        <v>0</v>
      </c>
      <c r="AE612" s="20">
        <f t="shared" si="218"/>
        <v>0</v>
      </c>
      <c r="AF612" s="20">
        <f t="shared" si="219"/>
        <v>1930068000.0000002</v>
      </c>
      <c r="AG612">
        <f t="shared" si="209"/>
        <v>0</v>
      </c>
      <c r="AH612">
        <f t="shared" si="210"/>
        <v>0</v>
      </c>
      <c r="AI612">
        <f t="shared" si="211"/>
        <v>16695949475.283735</v>
      </c>
    </row>
    <row r="613" spans="2:35" x14ac:dyDescent="0.25">
      <c r="B613" s="4">
        <v>2027</v>
      </c>
      <c r="C613" s="4" t="s">
        <v>33</v>
      </c>
      <c r="D613" s="1" t="s">
        <v>81</v>
      </c>
      <c r="E613" s="4" t="str">
        <f>D613&amp;"-"&amp;C613</f>
        <v>FortisBC-CAN</v>
      </c>
      <c r="F613" s="4" t="s">
        <v>155</v>
      </c>
      <c r="G613" s="4"/>
      <c r="H613" s="11" t="s">
        <v>417</v>
      </c>
      <c r="I613" s="4"/>
      <c r="J613" s="4" t="s">
        <v>155</v>
      </c>
      <c r="K613" s="5">
        <v>0</v>
      </c>
      <c r="L613" s="38"/>
      <c r="M613" s="8">
        <v>0</v>
      </c>
      <c r="N613" s="8">
        <v>0</v>
      </c>
      <c r="O613" s="8">
        <f>SUMIFS(EIAwtransport!$J$2:$J$675,EIAwtransport!$E$2:$E$675,Program_data!$E613,EIAwtransport!$H$2:$H$675,Program_data!$F613,EIAwtransport!$I$2:$I$675,Program_data!O$2)</f>
        <v>0</v>
      </c>
      <c r="P613" s="5">
        <f>SUMIFS(EIAwtransport!$J$2:$J$675,EIAwtransport!$E$2:$E$675,Program_data!$E613,EIAwtransport!$H$2:$H$675,Program_data!$F613,EIAwtransport!$I$2:$I$675,Program_data!P$2)</f>
        <v>0</v>
      </c>
      <c r="Q613" s="5">
        <f>SUMIFS(EIAwtransport!$J$2:$J$675,EIAwtransport!$E$2:$E$675,Program_data!$E613,EIAwtransport!$H$2:$H$675,Program_data!$F613,EIAwtransport!$I$2:$I$675,Program_data!Q$2)</f>
        <v>0</v>
      </c>
      <c r="R613" s="8">
        <f>SUMIFS(EIAwtransport!$J$2:$J$675,EIAwtransport!$E$2:$E$675,Program_data!$E613,EIAwtransport!$I$2:$I$675,Program_data!R$2)</f>
        <v>1429680000</v>
      </c>
      <c r="S613" s="5">
        <f>SUMIFS(EIAwtransport!$J$2:$J$675,EIAwtransport!$E$2:$E$675,Program_data!$E613,EIAwtransport!$I$2:$I$675,Program_data!S$2)</f>
        <v>158285451.98410821</v>
      </c>
      <c r="T613" s="5">
        <f>SUMIFS(EIAwtransport!$J$2:$J$675,EIAwtransport!$E$2:$E$675,Program_data!$E613,EIAwtransport!$I$2:$I$675,Program_data!T$2)</f>
        <v>1074614</v>
      </c>
      <c r="U613" s="24">
        <f t="shared" si="212"/>
        <v>0</v>
      </c>
      <c r="V613" s="24">
        <f t="shared" si="220"/>
        <v>0</v>
      </c>
      <c r="W613" s="24">
        <f t="shared" si="213"/>
        <v>0</v>
      </c>
      <c r="X613" s="25">
        <f t="shared" si="214"/>
        <v>0</v>
      </c>
      <c r="Y613" s="8" t="str">
        <f t="shared" si="215"/>
        <v/>
      </c>
      <c r="Z613" s="27">
        <f t="shared" si="216"/>
        <v>0</v>
      </c>
      <c r="AA613" s="27"/>
      <c r="AB613" s="27"/>
      <c r="AC613" s="56">
        <f t="shared" si="217"/>
        <v>0</v>
      </c>
      <c r="AE613" s="20">
        <f t="shared" si="218"/>
        <v>0</v>
      </c>
      <c r="AF613" s="20">
        <f t="shared" si="219"/>
        <v>1930068000.0000002</v>
      </c>
      <c r="AG613">
        <f t="shared" si="209"/>
        <v>0</v>
      </c>
      <c r="AH613">
        <f t="shared" si="210"/>
        <v>0</v>
      </c>
      <c r="AI613">
        <f t="shared" si="211"/>
        <v>16695949475.283735</v>
      </c>
    </row>
    <row r="614" spans="2:35" x14ac:dyDescent="0.25">
      <c r="B614" s="4"/>
      <c r="C614" s="4"/>
      <c r="D614" s="1"/>
      <c r="E614" s="4"/>
      <c r="F614" s="4"/>
      <c r="G614" s="4"/>
      <c r="H614" s="11"/>
      <c r="I614" s="4"/>
      <c r="J614" s="4"/>
      <c r="K614" s="5"/>
      <c r="L614" s="5"/>
      <c r="M614" s="8"/>
      <c r="N614" s="8"/>
      <c r="O614" s="8">
        <f>SUMIFS(EIAwtransport!$J$2:$J$675,EIAwtransport!$E$2:$E$675,Program_data!$E614,EIAwtransport!$H$2:$H$675,Program_data!$F614,EIAwtransport!$I$2:$I$675,Program_data!O$2)</f>
        <v>0</v>
      </c>
      <c r="P614" s="5">
        <f>SUMIFS(EIAwtransport!$J$2:$J$675,EIAwtransport!$E$2:$E$675,Program_data!$E614,EIAwtransport!$H$2:$H$675,Program_data!$F614,EIAwtransport!$I$2:$I$675,Program_data!P$2)</f>
        <v>0</v>
      </c>
      <c r="Q614" s="5">
        <f>SUMIFS(EIAwtransport!$J$2:$J$675,EIAwtransport!$E$2:$E$675,Program_data!$E614,EIAwtransport!$H$2:$H$675,Program_data!$F614,EIAwtransport!$I$2:$I$675,Program_data!Q$2)</f>
        <v>0</v>
      </c>
      <c r="R614" s="8">
        <f>SUMIFS(EIAwtransport!$J$2:$J$675,EIAwtransport!$E$2:$E$675,Program_data!$E614,EIAwtransport!$I$2:$I$675,Program_data!R$2)</f>
        <v>0</v>
      </c>
      <c r="S614" s="5">
        <f>SUMIFS(EIAwtransport!$J$2:$J$675,EIAwtransport!$E$2:$E$675,Program_data!$E614,EIAwtransport!$I$2:$I$675,Program_data!S$2)</f>
        <v>0</v>
      </c>
      <c r="T614" s="5">
        <f>SUMIFS(EIAwtransport!$J$2:$J$675,EIAwtransport!$E$2:$E$675,Program_data!$E614,EIAwtransport!$I$2:$I$675,Program_data!T$2)</f>
        <v>0</v>
      </c>
      <c r="U614" s="97" t="str">
        <f t="shared" si="212"/>
        <v/>
      </c>
      <c r="V614" s="24" t="str">
        <f t="shared" si="220"/>
        <v/>
      </c>
      <c r="W614" s="24" t="str">
        <f t="shared" si="213"/>
        <v/>
      </c>
      <c r="X614" s="25" t="str">
        <f t="shared" si="214"/>
        <v/>
      </c>
      <c r="Y614" s="8" t="str">
        <f t="shared" si="215"/>
        <v/>
      </c>
      <c r="Z614" s="27" t="str">
        <f t="shared" si="216"/>
        <v/>
      </c>
      <c r="AA614" s="27"/>
      <c r="AB614" s="27"/>
      <c r="AC614" s="56" t="str">
        <f t="shared" si="217"/>
        <v/>
      </c>
      <c r="AE614" s="20">
        <f t="shared" si="218"/>
        <v>0</v>
      </c>
      <c r="AF614" s="20">
        <f t="shared" si="219"/>
        <v>0</v>
      </c>
      <c r="AG614">
        <f t="shared" si="209"/>
        <v>0</v>
      </c>
      <c r="AH614">
        <f t="shared" si="210"/>
        <v>0</v>
      </c>
      <c r="AI614">
        <f t="shared" si="211"/>
        <v>0</v>
      </c>
    </row>
    <row r="615" spans="2:35" x14ac:dyDescent="0.25">
      <c r="B615" s="4">
        <v>2025</v>
      </c>
      <c r="C615" s="4" t="s">
        <v>33</v>
      </c>
      <c r="D615" s="1" t="s">
        <v>81</v>
      </c>
      <c r="E615" s="4" t="str">
        <f>D615&amp;"-"&amp;C615</f>
        <v>FortisBC-CAN</v>
      </c>
      <c r="F615" s="4" t="s">
        <v>155</v>
      </c>
      <c r="G615" s="4"/>
      <c r="H615" s="11" t="s">
        <v>418</v>
      </c>
      <c r="I615" s="4"/>
      <c r="J615" s="4" t="s">
        <v>155</v>
      </c>
      <c r="K615" s="5">
        <v>0</v>
      </c>
      <c r="L615" s="38"/>
      <c r="M615" s="8">
        <v>74000</v>
      </c>
      <c r="N615" s="8">
        <v>0</v>
      </c>
      <c r="O615" s="8">
        <f>SUMIFS(EIAwtransport!$J$2:$J$675,EIAwtransport!$E$2:$E$675,Program_data!$E615,EIAwtransport!$H$2:$H$675,Program_data!$F615,EIAwtransport!$I$2:$I$675,Program_data!O$2)</f>
        <v>0</v>
      </c>
      <c r="P615" s="5">
        <f>SUMIFS(EIAwtransport!$J$2:$J$675,EIAwtransport!$E$2:$E$675,Program_data!$E615,EIAwtransport!$H$2:$H$675,Program_data!$F615,EIAwtransport!$I$2:$I$675,Program_data!P$2)</f>
        <v>0</v>
      </c>
      <c r="Q615" s="5">
        <f>SUMIFS(EIAwtransport!$J$2:$J$675,EIAwtransport!$E$2:$E$675,Program_data!$E615,EIAwtransport!$H$2:$H$675,Program_data!$F615,EIAwtransport!$I$2:$I$675,Program_data!Q$2)</f>
        <v>0</v>
      </c>
      <c r="R615" s="8">
        <f>SUMIFS(EIAwtransport!$J$2:$J$675,EIAwtransport!$E$2:$E$675,Program_data!$E615,EIAwtransport!$I$2:$I$675,Program_data!R$2)</f>
        <v>1429680000</v>
      </c>
      <c r="S615" s="5">
        <f>SUMIFS(EIAwtransport!$J$2:$J$675,EIAwtransport!$E$2:$E$675,Program_data!$E615,EIAwtransport!$I$2:$I$675,Program_data!S$2)</f>
        <v>158285451.98410821</v>
      </c>
      <c r="T615" s="5">
        <f>SUMIFS(EIAwtransport!$J$2:$J$675,EIAwtransport!$E$2:$E$675,Program_data!$E615,EIAwtransport!$I$2:$I$675,Program_data!T$2)</f>
        <v>1074614</v>
      </c>
      <c r="U615" s="24">
        <f t="shared" si="212"/>
        <v>0</v>
      </c>
      <c r="V615" s="24">
        <f t="shared" si="220"/>
        <v>0</v>
      </c>
      <c r="W615" s="24">
        <f t="shared" si="213"/>
        <v>5.175983436853002E-5</v>
      </c>
      <c r="X615" s="25">
        <f t="shared" si="214"/>
        <v>4.5126428571428557E-5</v>
      </c>
      <c r="Y615" s="8" t="str">
        <f t="shared" si="215"/>
        <v/>
      </c>
      <c r="Z615" s="27">
        <f t="shared" si="216"/>
        <v>8.7947370411664959E-3</v>
      </c>
      <c r="AA615" s="27"/>
      <c r="AB615" s="27"/>
      <c r="AC615" s="56">
        <f t="shared" si="217"/>
        <v>0</v>
      </c>
      <c r="AE615" s="20">
        <f t="shared" si="218"/>
        <v>0</v>
      </c>
      <c r="AF615" s="20">
        <f t="shared" si="219"/>
        <v>1930068000.0000002</v>
      </c>
      <c r="AG615">
        <f t="shared" si="209"/>
        <v>0</v>
      </c>
      <c r="AH615">
        <f t="shared" si="210"/>
        <v>0</v>
      </c>
      <c r="AI615">
        <f t="shared" si="211"/>
        <v>16695949475.283735</v>
      </c>
    </row>
    <row r="616" spans="2:35" x14ac:dyDescent="0.25">
      <c r="B616" s="4">
        <v>2026</v>
      </c>
      <c r="C616" s="4" t="s">
        <v>33</v>
      </c>
      <c r="D616" s="1" t="s">
        <v>81</v>
      </c>
      <c r="E616" s="4" t="str">
        <f>D616&amp;"-"&amp;C616</f>
        <v>FortisBC-CAN</v>
      </c>
      <c r="F616" s="4" t="s">
        <v>155</v>
      </c>
      <c r="G616" s="4"/>
      <c r="H616" s="11" t="s">
        <v>418</v>
      </c>
      <c r="I616" s="4"/>
      <c r="J616" s="4" t="s">
        <v>155</v>
      </c>
      <c r="K616" s="5">
        <v>0</v>
      </c>
      <c r="L616" s="38"/>
      <c r="M616" s="8">
        <v>74000</v>
      </c>
      <c r="N616" s="8">
        <v>0</v>
      </c>
      <c r="O616" s="8">
        <f>SUMIFS(EIAwtransport!$J$2:$J$675,EIAwtransport!$E$2:$E$675,Program_data!$E616,EIAwtransport!$H$2:$H$675,Program_data!$F616,EIAwtransport!$I$2:$I$675,Program_data!O$2)</f>
        <v>0</v>
      </c>
      <c r="P616" s="5">
        <f>SUMIFS(EIAwtransport!$J$2:$J$675,EIAwtransport!$E$2:$E$675,Program_data!$E616,EIAwtransport!$H$2:$H$675,Program_data!$F616,EIAwtransport!$I$2:$I$675,Program_data!P$2)</f>
        <v>0</v>
      </c>
      <c r="Q616" s="5">
        <f>SUMIFS(EIAwtransport!$J$2:$J$675,EIAwtransport!$E$2:$E$675,Program_data!$E616,EIAwtransport!$H$2:$H$675,Program_data!$F616,EIAwtransport!$I$2:$I$675,Program_data!Q$2)</f>
        <v>0</v>
      </c>
      <c r="R616" s="8">
        <f>SUMIFS(EIAwtransport!$J$2:$J$675,EIAwtransport!$E$2:$E$675,Program_data!$E616,EIAwtransport!$I$2:$I$675,Program_data!R$2)</f>
        <v>1429680000</v>
      </c>
      <c r="S616" s="5">
        <f>SUMIFS(EIAwtransport!$J$2:$J$675,EIAwtransport!$E$2:$E$675,Program_data!$E616,EIAwtransport!$I$2:$I$675,Program_data!S$2)</f>
        <v>158285451.98410821</v>
      </c>
      <c r="T616" s="5">
        <f>SUMIFS(EIAwtransport!$J$2:$J$675,EIAwtransport!$E$2:$E$675,Program_data!$E616,EIAwtransport!$I$2:$I$675,Program_data!T$2)</f>
        <v>1074614</v>
      </c>
      <c r="U616" s="24">
        <f t="shared" si="212"/>
        <v>0</v>
      </c>
      <c r="V616" s="24">
        <f t="shared" si="220"/>
        <v>0</v>
      </c>
      <c r="W616" s="24">
        <f t="shared" si="213"/>
        <v>5.175983436853002E-5</v>
      </c>
      <c r="X616" s="25">
        <f t="shared" si="214"/>
        <v>4.5126428571428557E-5</v>
      </c>
      <c r="Y616" s="8" t="str">
        <f t="shared" si="215"/>
        <v/>
      </c>
      <c r="Z616" s="27">
        <f t="shared" si="216"/>
        <v>7.6445763557599746E-3</v>
      </c>
      <c r="AA616" s="27"/>
      <c r="AB616" s="27"/>
      <c r="AC616" s="56">
        <f t="shared" si="217"/>
        <v>0</v>
      </c>
      <c r="AE616" s="20">
        <f t="shared" si="218"/>
        <v>0</v>
      </c>
      <c r="AF616" s="20">
        <f t="shared" si="219"/>
        <v>1930068000.0000002</v>
      </c>
      <c r="AG616">
        <f t="shared" si="209"/>
        <v>0</v>
      </c>
      <c r="AH616">
        <f t="shared" si="210"/>
        <v>0</v>
      </c>
      <c r="AI616">
        <f t="shared" si="211"/>
        <v>16695949475.283735</v>
      </c>
    </row>
    <row r="617" spans="2:35" x14ac:dyDescent="0.25">
      <c r="B617" s="4">
        <v>2027</v>
      </c>
      <c r="C617" s="4" t="s">
        <v>33</v>
      </c>
      <c r="D617" s="1" t="s">
        <v>81</v>
      </c>
      <c r="E617" s="4" t="str">
        <f>D617&amp;"-"&amp;C617</f>
        <v>FortisBC-CAN</v>
      </c>
      <c r="F617" s="4" t="s">
        <v>155</v>
      </c>
      <c r="G617" s="4"/>
      <c r="H617" s="11" t="s">
        <v>418</v>
      </c>
      <c r="I617" s="4"/>
      <c r="J617" s="4" t="s">
        <v>155</v>
      </c>
      <c r="K617" s="5">
        <v>0</v>
      </c>
      <c r="L617" s="38"/>
      <c r="M617" s="8">
        <v>74000</v>
      </c>
      <c r="N617" s="8">
        <v>0</v>
      </c>
      <c r="O617" s="8">
        <f>SUMIFS(EIAwtransport!$J$2:$J$675,EIAwtransport!$E$2:$E$675,Program_data!$E617,EIAwtransport!$H$2:$H$675,Program_data!$F617,EIAwtransport!$I$2:$I$675,Program_data!O$2)</f>
        <v>0</v>
      </c>
      <c r="P617" s="5">
        <f>SUMIFS(EIAwtransport!$J$2:$J$675,EIAwtransport!$E$2:$E$675,Program_data!$E617,EIAwtransport!$H$2:$H$675,Program_data!$F617,EIAwtransport!$I$2:$I$675,Program_data!P$2)</f>
        <v>0</v>
      </c>
      <c r="Q617" s="5">
        <f>SUMIFS(EIAwtransport!$J$2:$J$675,EIAwtransport!$E$2:$E$675,Program_data!$E617,EIAwtransport!$H$2:$H$675,Program_data!$F617,EIAwtransport!$I$2:$I$675,Program_data!Q$2)</f>
        <v>0</v>
      </c>
      <c r="R617" s="8">
        <f>SUMIFS(EIAwtransport!$J$2:$J$675,EIAwtransport!$E$2:$E$675,Program_data!$E617,EIAwtransport!$I$2:$I$675,Program_data!R$2)</f>
        <v>1429680000</v>
      </c>
      <c r="S617" s="5">
        <f>SUMIFS(EIAwtransport!$J$2:$J$675,EIAwtransport!$E$2:$E$675,Program_data!$E617,EIAwtransport!$I$2:$I$675,Program_data!S$2)</f>
        <v>158285451.98410821</v>
      </c>
      <c r="T617" s="5">
        <f>SUMIFS(EIAwtransport!$J$2:$J$675,EIAwtransport!$E$2:$E$675,Program_data!$E617,EIAwtransport!$I$2:$I$675,Program_data!T$2)</f>
        <v>1074614</v>
      </c>
      <c r="U617" s="24">
        <f t="shared" si="212"/>
        <v>0</v>
      </c>
      <c r="V617" s="24">
        <f t="shared" si="220"/>
        <v>0</v>
      </c>
      <c r="W617" s="24">
        <f t="shared" si="213"/>
        <v>5.175983436853002E-5</v>
      </c>
      <c r="X617" s="25">
        <f t="shared" si="214"/>
        <v>4.5126428571428557E-5</v>
      </c>
      <c r="Y617" s="8" t="str">
        <f t="shared" si="215"/>
        <v/>
      </c>
      <c r="Z617" s="27">
        <f t="shared" si="216"/>
        <v>6.9222329395669021E-3</v>
      </c>
      <c r="AA617" s="27"/>
      <c r="AB617" s="27"/>
      <c r="AC617" s="56">
        <f t="shared" si="217"/>
        <v>0</v>
      </c>
      <c r="AE617" s="20">
        <f t="shared" si="218"/>
        <v>0</v>
      </c>
      <c r="AF617" s="20">
        <f t="shared" si="219"/>
        <v>1930068000.0000002</v>
      </c>
      <c r="AG617">
        <f t="shared" si="209"/>
        <v>0</v>
      </c>
      <c r="AH617">
        <f t="shared" si="210"/>
        <v>0</v>
      </c>
      <c r="AI617">
        <f t="shared" si="211"/>
        <v>16695949475.283735</v>
      </c>
    </row>
    <row r="618" spans="2:35" x14ac:dyDescent="0.25">
      <c r="B618" s="4"/>
      <c r="C618" s="4"/>
      <c r="D618" s="1"/>
      <c r="E618" s="4"/>
      <c r="F618" s="4"/>
      <c r="G618" s="4"/>
      <c r="H618" s="11"/>
      <c r="I618" s="4"/>
      <c r="J618" s="4"/>
      <c r="K618" s="5"/>
      <c r="L618" s="5"/>
      <c r="M618" s="8"/>
      <c r="N618" s="8"/>
      <c r="O618" s="8">
        <f>SUMIFS(EIAwtransport!$J$2:$J$675,EIAwtransport!$E$2:$E$675,Program_data!$E618,EIAwtransport!$H$2:$H$675,Program_data!$F618,EIAwtransport!$I$2:$I$675,Program_data!O$2)</f>
        <v>0</v>
      </c>
      <c r="P618" s="5">
        <f>SUMIFS(EIAwtransport!$J$2:$J$675,EIAwtransport!$E$2:$E$675,Program_data!$E618,EIAwtransport!$H$2:$H$675,Program_data!$F618,EIAwtransport!$I$2:$I$675,Program_data!P$2)</f>
        <v>0</v>
      </c>
      <c r="Q618" s="5">
        <f>SUMIFS(EIAwtransport!$J$2:$J$675,EIAwtransport!$E$2:$E$675,Program_data!$E618,EIAwtransport!$H$2:$H$675,Program_data!$F618,EIAwtransport!$I$2:$I$675,Program_data!Q$2)</f>
        <v>0</v>
      </c>
      <c r="R618" s="8">
        <f>SUMIFS(EIAwtransport!$J$2:$J$675,EIAwtransport!$E$2:$E$675,Program_data!$E618,EIAwtransport!$I$2:$I$675,Program_data!R$2)</f>
        <v>0</v>
      </c>
      <c r="S618" s="5">
        <f>SUMIFS(EIAwtransport!$J$2:$J$675,EIAwtransport!$E$2:$E$675,Program_data!$E618,EIAwtransport!$I$2:$I$675,Program_data!S$2)</f>
        <v>0</v>
      </c>
      <c r="T618" s="5">
        <f>SUMIFS(EIAwtransport!$J$2:$J$675,EIAwtransport!$E$2:$E$675,Program_data!$E618,EIAwtransport!$I$2:$I$675,Program_data!T$2)</f>
        <v>0</v>
      </c>
      <c r="U618" s="97" t="str">
        <f t="shared" si="212"/>
        <v/>
      </c>
      <c r="V618" s="24" t="str">
        <f t="shared" si="220"/>
        <v/>
      </c>
      <c r="W618" s="24" t="str">
        <f t="shared" si="213"/>
        <v/>
      </c>
      <c r="X618" s="25" t="str">
        <f t="shared" si="214"/>
        <v/>
      </c>
      <c r="Y618" s="8" t="str">
        <f t="shared" si="215"/>
        <v/>
      </c>
      <c r="Z618" s="27" t="str">
        <f t="shared" si="216"/>
        <v/>
      </c>
      <c r="AA618" s="27"/>
      <c r="AB618" s="27"/>
      <c r="AC618" s="56" t="str">
        <f t="shared" si="217"/>
        <v/>
      </c>
      <c r="AE618" s="20">
        <f t="shared" si="218"/>
        <v>0</v>
      </c>
      <c r="AF618" s="20">
        <f t="shared" si="219"/>
        <v>0</v>
      </c>
      <c r="AG618">
        <f t="shared" si="209"/>
        <v>0</v>
      </c>
      <c r="AH618">
        <f t="shared" si="210"/>
        <v>0</v>
      </c>
      <c r="AI618">
        <f t="shared" si="211"/>
        <v>0</v>
      </c>
    </row>
    <row r="619" spans="2:35" x14ac:dyDescent="0.25">
      <c r="B619" s="4">
        <v>2025</v>
      </c>
      <c r="C619" s="4" t="s">
        <v>33</v>
      </c>
      <c r="D619" s="1" t="s">
        <v>81</v>
      </c>
      <c r="E619" s="4" t="str">
        <f>D619&amp;"-"&amp;C619</f>
        <v>FortisBC-CAN</v>
      </c>
      <c r="F619" s="4" t="s">
        <v>155</v>
      </c>
      <c r="G619" s="4"/>
      <c r="H619" s="11" t="s">
        <v>419</v>
      </c>
      <c r="I619" s="4"/>
      <c r="J619" s="4" t="s">
        <v>155</v>
      </c>
      <c r="K619" s="5">
        <v>0</v>
      </c>
      <c r="L619" s="38"/>
      <c r="M619" s="8">
        <v>2109000</v>
      </c>
      <c r="N619" s="8">
        <v>1924000</v>
      </c>
      <c r="O619" s="8">
        <f>SUMIFS(EIAwtransport!$J$2:$J$675,EIAwtransport!$E$2:$E$675,Program_data!$E619,EIAwtransport!$H$2:$H$675,Program_data!$F619,EIAwtransport!$I$2:$I$675,Program_data!O$2)</f>
        <v>0</v>
      </c>
      <c r="P619" s="5">
        <f>SUMIFS(EIAwtransport!$J$2:$J$675,EIAwtransport!$E$2:$E$675,Program_data!$E619,EIAwtransport!$H$2:$H$675,Program_data!$F619,EIAwtransport!$I$2:$I$675,Program_data!P$2)</f>
        <v>0</v>
      </c>
      <c r="Q619" s="5">
        <f>SUMIFS(EIAwtransport!$J$2:$J$675,EIAwtransport!$E$2:$E$675,Program_data!$E619,EIAwtransport!$H$2:$H$675,Program_data!$F619,EIAwtransport!$I$2:$I$675,Program_data!Q$2)</f>
        <v>0</v>
      </c>
      <c r="R619" s="8">
        <f>SUMIFS(EIAwtransport!$J$2:$J$675,EIAwtransport!$E$2:$E$675,Program_data!$E619,EIAwtransport!$I$2:$I$675,Program_data!R$2)</f>
        <v>1429680000</v>
      </c>
      <c r="S619" s="5">
        <f>SUMIFS(EIAwtransport!$J$2:$J$675,EIAwtransport!$E$2:$E$675,Program_data!$E619,EIAwtransport!$I$2:$I$675,Program_data!S$2)</f>
        <v>158285451.98410821</v>
      </c>
      <c r="T619" s="5">
        <f>SUMIFS(EIAwtransport!$J$2:$J$675,EIAwtransport!$E$2:$E$675,Program_data!$E619,EIAwtransport!$I$2:$I$675,Program_data!T$2)</f>
        <v>1074614</v>
      </c>
      <c r="U619" s="24">
        <f t="shared" si="212"/>
        <v>0</v>
      </c>
      <c r="V619" s="24">
        <f t="shared" si="220"/>
        <v>0</v>
      </c>
      <c r="W619" s="24">
        <f t="shared" si="213"/>
        <v>1.4751552795031057E-3</v>
      </c>
      <c r="X619" s="25">
        <f t="shared" si="214"/>
        <v>1.2861032142857138E-3</v>
      </c>
      <c r="Y619" s="8" t="str">
        <f t="shared" si="215"/>
        <v/>
      </c>
      <c r="Z619" s="27">
        <f t="shared" si="216"/>
        <v>0.25065000567324514</v>
      </c>
      <c r="AA619" s="27"/>
      <c r="AB619" s="27"/>
      <c r="AC619" s="56">
        <f t="shared" si="217"/>
        <v>0</v>
      </c>
      <c r="AE619" s="20">
        <f t="shared" si="218"/>
        <v>2597400</v>
      </c>
      <c r="AF619" s="20">
        <f t="shared" si="219"/>
        <v>1930068000.0000002</v>
      </c>
      <c r="AG619">
        <f t="shared" si="209"/>
        <v>0</v>
      </c>
      <c r="AH619">
        <f t="shared" si="210"/>
        <v>0</v>
      </c>
      <c r="AI619">
        <f t="shared" si="211"/>
        <v>16695949475.283735</v>
      </c>
    </row>
    <row r="620" spans="2:35" x14ac:dyDescent="0.25">
      <c r="B620" s="4">
        <v>2026</v>
      </c>
      <c r="C620" s="4" t="s">
        <v>33</v>
      </c>
      <c r="D620" s="1" t="s">
        <v>81</v>
      </c>
      <c r="E620" s="4" t="str">
        <f>D620&amp;"-"&amp;C620</f>
        <v>FortisBC-CAN</v>
      </c>
      <c r="F620" s="4" t="s">
        <v>155</v>
      </c>
      <c r="G620" s="4"/>
      <c r="H620" s="11" t="s">
        <v>419</v>
      </c>
      <c r="I620" s="4"/>
      <c r="J620" s="4" t="s">
        <v>155</v>
      </c>
      <c r="K620" s="5">
        <v>0</v>
      </c>
      <c r="L620" s="38"/>
      <c r="M620" s="8">
        <v>2053500</v>
      </c>
      <c r="N620" s="8">
        <v>1850000</v>
      </c>
      <c r="O620" s="8">
        <f>SUMIFS(EIAwtransport!$J$2:$J$675,EIAwtransport!$E$2:$E$675,Program_data!$E620,EIAwtransport!$H$2:$H$675,Program_data!$F620,EIAwtransport!$I$2:$I$675,Program_data!O$2)</f>
        <v>0</v>
      </c>
      <c r="P620" s="5">
        <f>SUMIFS(EIAwtransport!$J$2:$J$675,EIAwtransport!$E$2:$E$675,Program_data!$E620,EIAwtransport!$H$2:$H$675,Program_data!$F620,EIAwtransport!$I$2:$I$675,Program_data!P$2)</f>
        <v>0</v>
      </c>
      <c r="Q620" s="5">
        <f>SUMIFS(EIAwtransport!$J$2:$J$675,EIAwtransport!$E$2:$E$675,Program_data!$E620,EIAwtransport!$H$2:$H$675,Program_data!$F620,EIAwtransport!$I$2:$I$675,Program_data!Q$2)</f>
        <v>0</v>
      </c>
      <c r="R620" s="8">
        <f>SUMIFS(EIAwtransport!$J$2:$J$675,EIAwtransport!$E$2:$E$675,Program_data!$E620,EIAwtransport!$I$2:$I$675,Program_data!R$2)</f>
        <v>1429680000</v>
      </c>
      <c r="S620" s="5">
        <f>SUMIFS(EIAwtransport!$J$2:$J$675,EIAwtransport!$E$2:$E$675,Program_data!$E620,EIAwtransport!$I$2:$I$675,Program_data!S$2)</f>
        <v>158285451.98410821</v>
      </c>
      <c r="T620" s="5">
        <f>SUMIFS(EIAwtransport!$J$2:$J$675,EIAwtransport!$E$2:$E$675,Program_data!$E620,EIAwtransport!$I$2:$I$675,Program_data!T$2)</f>
        <v>1074614</v>
      </c>
      <c r="U620" s="24">
        <f t="shared" si="212"/>
        <v>0</v>
      </c>
      <c r="V620" s="24">
        <f t="shared" si="220"/>
        <v>0</v>
      </c>
      <c r="W620" s="24">
        <f t="shared" si="213"/>
        <v>1.4363354037267081E-3</v>
      </c>
      <c r="X620" s="25">
        <f t="shared" si="214"/>
        <v>1.2522583928571422E-3</v>
      </c>
      <c r="Y620" s="8" t="str">
        <f t="shared" si="215"/>
        <v/>
      </c>
      <c r="Z620" s="27">
        <f t="shared" si="216"/>
        <v>0.21213699387233928</v>
      </c>
      <c r="AA620" s="27"/>
      <c r="AB620" s="27"/>
      <c r="AC620" s="56">
        <f t="shared" si="217"/>
        <v>0</v>
      </c>
      <c r="AE620" s="20">
        <f t="shared" si="218"/>
        <v>2497500</v>
      </c>
      <c r="AF620" s="20">
        <f t="shared" si="219"/>
        <v>1930068000.0000002</v>
      </c>
      <c r="AG620">
        <f t="shared" si="209"/>
        <v>0</v>
      </c>
      <c r="AH620">
        <f t="shared" si="210"/>
        <v>0</v>
      </c>
      <c r="AI620">
        <f t="shared" si="211"/>
        <v>16695949475.283735</v>
      </c>
    </row>
    <row r="621" spans="2:35" x14ac:dyDescent="0.25">
      <c r="B621" s="4">
        <v>2027</v>
      </c>
      <c r="C621" s="4" t="s">
        <v>33</v>
      </c>
      <c r="D621" s="1" t="s">
        <v>81</v>
      </c>
      <c r="E621" s="4" t="str">
        <f>D621&amp;"-"&amp;C621</f>
        <v>FortisBC-CAN</v>
      </c>
      <c r="F621" s="4" t="s">
        <v>155</v>
      </c>
      <c r="G621" s="4"/>
      <c r="H621" s="11" t="s">
        <v>419</v>
      </c>
      <c r="I621" s="4"/>
      <c r="J621" s="4" t="s">
        <v>155</v>
      </c>
      <c r="K621" s="5">
        <v>0</v>
      </c>
      <c r="L621" s="38"/>
      <c r="M621" s="8">
        <v>2053500</v>
      </c>
      <c r="N621" s="8">
        <v>1850000</v>
      </c>
      <c r="O621" s="8">
        <f>SUMIFS(EIAwtransport!$J$2:$J$675,EIAwtransport!$E$2:$E$675,Program_data!$E621,EIAwtransport!$H$2:$H$675,Program_data!$F621,EIAwtransport!$I$2:$I$675,Program_data!O$2)</f>
        <v>0</v>
      </c>
      <c r="P621" s="5">
        <f>SUMIFS(EIAwtransport!$J$2:$J$675,EIAwtransport!$E$2:$E$675,Program_data!$E621,EIAwtransport!$H$2:$H$675,Program_data!$F621,EIAwtransport!$I$2:$I$675,Program_data!P$2)</f>
        <v>0</v>
      </c>
      <c r="Q621" s="5">
        <f>SUMIFS(EIAwtransport!$J$2:$J$675,EIAwtransport!$E$2:$E$675,Program_data!$E621,EIAwtransport!$H$2:$H$675,Program_data!$F621,EIAwtransport!$I$2:$I$675,Program_data!Q$2)</f>
        <v>0</v>
      </c>
      <c r="R621" s="8">
        <f>SUMIFS(EIAwtransport!$J$2:$J$675,EIAwtransport!$E$2:$E$675,Program_data!$E621,EIAwtransport!$I$2:$I$675,Program_data!R$2)</f>
        <v>1429680000</v>
      </c>
      <c r="S621" s="5">
        <f>SUMIFS(EIAwtransport!$J$2:$J$675,EIAwtransport!$E$2:$E$675,Program_data!$E621,EIAwtransport!$I$2:$I$675,Program_data!S$2)</f>
        <v>158285451.98410821</v>
      </c>
      <c r="T621" s="5">
        <f>SUMIFS(EIAwtransport!$J$2:$J$675,EIAwtransport!$E$2:$E$675,Program_data!$E621,EIAwtransport!$I$2:$I$675,Program_data!T$2)</f>
        <v>1074614</v>
      </c>
      <c r="U621" s="24">
        <f t="shared" si="212"/>
        <v>0</v>
      </c>
      <c r="V621" s="24">
        <f t="shared" si="220"/>
        <v>0</v>
      </c>
      <c r="W621" s="24">
        <f t="shared" si="213"/>
        <v>1.4363354037267081E-3</v>
      </c>
      <c r="X621" s="25">
        <f t="shared" si="214"/>
        <v>1.2522583928571422E-3</v>
      </c>
      <c r="Y621" s="8" t="str">
        <f t="shared" si="215"/>
        <v/>
      </c>
      <c r="Z621" s="27">
        <f t="shared" si="216"/>
        <v>0.19209196407298154</v>
      </c>
      <c r="AA621" s="27"/>
      <c r="AB621" s="27"/>
      <c r="AC621" s="56">
        <f t="shared" si="217"/>
        <v>0</v>
      </c>
      <c r="AE621" s="20">
        <f t="shared" si="218"/>
        <v>2497500</v>
      </c>
      <c r="AF621" s="20">
        <f t="shared" si="219"/>
        <v>1930068000.0000002</v>
      </c>
      <c r="AG621">
        <f t="shared" si="209"/>
        <v>0</v>
      </c>
      <c r="AH621">
        <f t="shared" si="210"/>
        <v>0</v>
      </c>
      <c r="AI621">
        <f t="shared" si="211"/>
        <v>16695949475.283735</v>
      </c>
    </row>
    <row r="622" spans="2:35" x14ac:dyDescent="0.25">
      <c r="B622" s="4"/>
      <c r="C622" s="4"/>
      <c r="D622" s="1"/>
      <c r="E622" s="4"/>
      <c r="F622" s="4"/>
      <c r="G622" s="4"/>
      <c r="H622" s="11"/>
      <c r="I622" s="4"/>
      <c r="J622" s="4"/>
      <c r="K622" s="5"/>
      <c r="L622" s="5"/>
      <c r="M622" s="8"/>
      <c r="N622" s="8"/>
      <c r="O622" s="8">
        <f>SUMIFS(EIAwtransport!$J$2:$J$675,EIAwtransport!$E$2:$E$675,Program_data!$E622,EIAwtransport!$H$2:$H$675,Program_data!$F622,EIAwtransport!$I$2:$I$675,Program_data!O$2)</f>
        <v>0</v>
      </c>
      <c r="P622" s="5">
        <f>SUMIFS(EIAwtransport!$J$2:$J$675,EIAwtransport!$E$2:$E$675,Program_data!$E622,EIAwtransport!$H$2:$H$675,Program_data!$F622,EIAwtransport!$I$2:$I$675,Program_data!P$2)</f>
        <v>0</v>
      </c>
      <c r="Q622" s="5">
        <f>SUMIFS(EIAwtransport!$J$2:$J$675,EIAwtransport!$E$2:$E$675,Program_data!$E622,EIAwtransport!$H$2:$H$675,Program_data!$F622,EIAwtransport!$I$2:$I$675,Program_data!Q$2)</f>
        <v>0</v>
      </c>
      <c r="R622" s="8">
        <f>SUMIFS(EIAwtransport!$J$2:$J$675,EIAwtransport!$E$2:$E$675,Program_data!$E622,EIAwtransport!$I$2:$I$675,Program_data!R$2)</f>
        <v>0</v>
      </c>
      <c r="S622" s="5">
        <f>SUMIFS(EIAwtransport!$J$2:$J$675,EIAwtransport!$E$2:$E$675,Program_data!$E622,EIAwtransport!$I$2:$I$675,Program_data!S$2)</f>
        <v>0</v>
      </c>
      <c r="T622" s="5">
        <f>SUMIFS(EIAwtransport!$J$2:$J$675,EIAwtransport!$E$2:$E$675,Program_data!$E622,EIAwtransport!$I$2:$I$675,Program_data!T$2)</f>
        <v>0</v>
      </c>
      <c r="U622" s="97" t="str">
        <f t="shared" si="212"/>
        <v/>
      </c>
      <c r="V622" s="24" t="str">
        <f t="shared" si="220"/>
        <v/>
      </c>
      <c r="W622" s="24" t="str">
        <f t="shared" si="213"/>
        <v/>
      </c>
      <c r="X622" s="25" t="str">
        <f t="shared" si="214"/>
        <v/>
      </c>
      <c r="Y622" s="8" t="str">
        <f t="shared" si="215"/>
        <v/>
      </c>
      <c r="Z622" s="27" t="str">
        <f t="shared" si="216"/>
        <v/>
      </c>
      <c r="AA622" s="27"/>
      <c r="AB622" s="27"/>
      <c r="AC622" s="56" t="str">
        <f t="shared" si="217"/>
        <v/>
      </c>
      <c r="AE622" s="20">
        <f t="shared" si="218"/>
        <v>0</v>
      </c>
      <c r="AF622" s="20">
        <f t="shared" si="219"/>
        <v>0</v>
      </c>
      <c r="AG622">
        <f t="shared" si="209"/>
        <v>0</v>
      </c>
      <c r="AH622">
        <f t="shared" si="210"/>
        <v>0</v>
      </c>
      <c r="AI622">
        <f t="shared" si="211"/>
        <v>0</v>
      </c>
    </row>
    <row r="623" spans="2:35" x14ac:dyDescent="0.25">
      <c r="B623" s="4">
        <v>2025</v>
      </c>
      <c r="C623" s="4" t="s">
        <v>33</v>
      </c>
      <c r="D623" s="1" t="s">
        <v>81</v>
      </c>
      <c r="E623" s="4" t="str">
        <f>D623&amp;"-"&amp;C623</f>
        <v>FortisBC-CAN</v>
      </c>
      <c r="F623" s="4" t="s">
        <v>155</v>
      </c>
      <c r="G623" s="4"/>
      <c r="H623" s="11" t="s">
        <v>420</v>
      </c>
      <c r="I623" s="4"/>
      <c r="J623" s="4" t="s">
        <v>155</v>
      </c>
      <c r="K623" s="5">
        <v>0</v>
      </c>
      <c r="L623" s="38"/>
      <c r="M623" s="8">
        <v>765900</v>
      </c>
      <c r="N623" s="8">
        <v>740000</v>
      </c>
      <c r="O623" s="8">
        <f>SUMIFS(EIAwtransport!$J$2:$J$675,EIAwtransport!$E$2:$E$675,Program_data!$E623,EIAwtransport!$H$2:$H$675,Program_data!$F623,EIAwtransport!$I$2:$I$675,Program_data!O$2)</f>
        <v>0</v>
      </c>
      <c r="P623" s="5">
        <f>SUMIFS(EIAwtransport!$J$2:$J$675,EIAwtransport!$E$2:$E$675,Program_data!$E623,EIAwtransport!$H$2:$H$675,Program_data!$F623,EIAwtransport!$I$2:$I$675,Program_data!P$2)</f>
        <v>0</v>
      </c>
      <c r="Q623" s="5">
        <f>SUMIFS(EIAwtransport!$J$2:$J$675,EIAwtransport!$E$2:$E$675,Program_data!$E623,EIAwtransport!$H$2:$H$675,Program_data!$F623,EIAwtransport!$I$2:$I$675,Program_data!Q$2)</f>
        <v>0</v>
      </c>
      <c r="R623" s="8">
        <f>SUMIFS(EIAwtransport!$J$2:$J$675,EIAwtransport!$E$2:$E$675,Program_data!$E623,EIAwtransport!$I$2:$I$675,Program_data!R$2)</f>
        <v>1429680000</v>
      </c>
      <c r="S623" s="5">
        <f>SUMIFS(EIAwtransport!$J$2:$J$675,EIAwtransport!$E$2:$E$675,Program_data!$E623,EIAwtransport!$I$2:$I$675,Program_data!S$2)</f>
        <v>158285451.98410821</v>
      </c>
      <c r="T623" s="5">
        <f>SUMIFS(EIAwtransport!$J$2:$J$675,EIAwtransport!$E$2:$E$675,Program_data!$E623,EIAwtransport!$I$2:$I$675,Program_data!T$2)</f>
        <v>1074614</v>
      </c>
      <c r="U623" s="24">
        <f t="shared" si="212"/>
        <v>0</v>
      </c>
      <c r="V623" s="24">
        <f t="shared" si="220"/>
        <v>0</v>
      </c>
      <c r="W623" s="24">
        <f t="shared" si="213"/>
        <v>5.3571428571428574E-4</v>
      </c>
      <c r="X623" s="25">
        <f t="shared" si="214"/>
        <v>4.6705853571428555E-4</v>
      </c>
      <c r="Y623" s="8" t="str">
        <f t="shared" si="215"/>
        <v/>
      </c>
      <c r="Z623" s="27">
        <f t="shared" si="216"/>
        <v>9.1025528376073223E-2</v>
      </c>
      <c r="AA623" s="27"/>
      <c r="AB623" s="27"/>
      <c r="AC623" s="56">
        <f t="shared" si="217"/>
        <v>0</v>
      </c>
      <c r="AE623" s="20">
        <f t="shared" si="218"/>
        <v>999000.00000000012</v>
      </c>
      <c r="AF623" s="20">
        <f t="shared" si="219"/>
        <v>1930068000.0000002</v>
      </c>
      <c r="AG623">
        <f t="shared" si="209"/>
        <v>0</v>
      </c>
      <c r="AH623">
        <f t="shared" si="210"/>
        <v>0</v>
      </c>
      <c r="AI623">
        <f t="shared" si="211"/>
        <v>16695949475.283735</v>
      </c>
    </row>
    <row r="624" spans="2:35" x14ac:dyDescent="0.25">
      <c r="B624" s="4">
        <v>2026</v>
      </c>
      <c r="C624" s="4" t="s">
        <v>33</v>
      </c>
      <c r="D624" s="1" t="s">
        <v>81</v>
      </c>
      <c r="E624" s="4" t="str">
        <f>D624&amp;"-"&amp;C624</f>
        <v>FortisBC-CAN</v>
      </c>
      <c r="F624" s="4" t="s">
        <v>155</v>
      </c>
      <c r="G624" s="4"/>
      <c r="H624" s="11" t="s">
        <v>420</v>
      </c>
      <c r="I624" s="4"/>
      <c r="J624" s="4" t="s">
        <v>155</v>
      </c>
      <c r="K624" s="5">
        <v>0</v>
      </c>
      <c r="L624" s="38"/>
      <c r="M624" s="8">
        <v>843600</v>
      </c>
      <c r="N624" s="8">
        <v>814000</v>
      </c>
      <c r="O624" s="8">
        <f>SUMIFS(EIAwtransport!$J$2:$J$675,EIAwtransport!$E$2:$E$675,Program_data!$E624,EIAwtransport!$H$2:$H$675,Program_data!$F624,EIAwtransport!$I$2:$I$675,Program_data!O$2)</f>
        <v>0</v>
      </c>
      <c r="P624" s="5">
        <f>SUMIFS(EIAwtransport!$J$2:$J$675,EIAwtransport!$E$2:$E$675,Program_data!$E624,EIAwtransport!$H$2:$H$675,Program_data!$F624,EIAwtransport!$I$2:$I$675,Program_data!P$2)</f>
        <v>0</v>
      </c>
      <c r="Q624" s="5">
        <f>SUMIFS(EIAwtransport!$J$2:$J$675,EIAwtransport!$E$2:$E$675,Program_data!$E624,EIAwtransport!$H$2:$H$675,Program_data!$F624,EIAwtransport!$I$2:$I$675,Program_data!Q$2)</f>
        <v>0</v>
      </c>
      <c r="R624" s="8">
        <f>SUMIFS(EIAwtransport!$J$2:$J$675,EIAwtransport!$E$2:$E$675,Program_data!$E624,EIAwtransport!$I$2:$I$675,Program_data!R$2)</f>
        <v>1429680000</v>
      </c>
      <c r="S624" s="5">
        <f>SUMIFS(EIAwtransport!$J$2:$J$675,EIAwtransport!$E$2:$E$675,Program_data!$E624,EIAwtransport!$I$2:$I$675,Program_data!S$2)</f>
        <v>158285451.98410821</v>
      </c>
      <c r="T624" s="5">
        <f>SUMIFS(EIAwtransport!$J$2:$J$675,EIAwtransport!$E$2:$E$675,Program_data!$E624,EIAwtransport!$I$2:$I$675,Program_data!T$2)</f>
        <v>1074614</v>
      </c>
      <c r="U624" s="24">
        <f t="shared" si="212"/>
        <v>0</v>
      </c>
      <c r="V624" s="24">
        <f t="shared" si="220"/>
        <v>0</v>
      </c>
      <c r="W624" s="24">
        <f t="shared" si="213"/>
        <v>5.9006211180124223E-4</v>
      </c>
      <c r="X624" s="25">
        <f t="shared" si="214"/>
        <v>5.1444128571428549E-4</v>
      </c>
      <c r="Y624" s="8" t="str">
        <f t="shared" si="215"/>
        <v/>
      </c>
      <c r="Z624" s="27">
        <f t="shared" si="216"/>
        <v>8.7148170455663712E-2</v>
      </c>
      <c r="AA624" s="27"/>
      <c r="AB624" s="27"/>
      <c r="AC624" s="56">
        <f t="shared" si="217"/>
        <v>0</v>
      </c>
      <c r="AE624" s="20">
        <f t="shared" si="218"/>
        <v>1098900</v>
      </c>
      <c r="AF624" s="20">
        <f t="shared" si="219"/>
        <v>1930068000.0000002</v>
      </c>
      <c r="AG624">
        <f t="shared" si="209"/>
        <v>0</v>
      </c>
      <c r="AH624">
        <f t="shared" si="210"/>
        <v>0</v>
      </c>
      <c r="AI624">
        <f t="shared" si="211"/>
        <v>16695949475.283735</v>
      </c>
    </row>
    <row r="625" spans="1:35" x14ac:dyDescent="0.25">
      <c r="B625" s="4">
        <v>2027</v>
      </c>
      <c r="C625" s="4" t="s">
        <v>33</v>
      </c>
      <c r="D625" s="1" t="s">
        <v>81</v>
      </c>
      <c r="E625" s="4" t="str">
        <f>D625&amp;"-"&amp;C625</f>
        <v>FortisBC-CAN</v>
      </c>
      <c r="F625" s="4" t="s">
        <v>155</v>
      </c>
      <c r="G625" s="4"/>
      <c r="H625" s="11" t="s">
        <v>420</v>
      </c>
      <c r="I625" s="4"/>
      <c r="J625" s="4" t="s">
        <v>155</v>
      </c>
      <c r="K625" s="5">
        <v>0</v>
      </c>
      <c r="L625" s="38"/>
      <c r="M625" s="8">
        <v>847300</v>
      </c>
      <c r="N625" s="8">
        <v>814000</v>
      </c>
      <c r="O625" s="8">
        <f>SUMIFS(EIAwtransport!$J$2:$J$675,EIAwtransport!$E$2:$E$675,Program_data!$E625,EIAwtransport!$H$2:$H$675,Program_data!$F625,EIAwtransport!$I$2:$I$675,Program_data!O$2)</f>
        <v>0</v>
      </c>
      <c r="P625" s="5">
        <f>SUMIFS(EIAwtransport!$J$2:$J$675,EIAwtransport!$E$2:$E$675,Program_data!$E625,EIAwtransport!$H$2:$H$675,Program_data!$F625,EIAwtransport!$I$2:$I$675,Program_data!P$2)</f>
        <v>0</v>
      </c>
      <c r="Q625" s="5">
        <f>SUMIFS(EIAwtransport!$J$2:$J$675,EIAwtransport!$E$2:$E$675,Program_data!$E625,EIAwtransport!$H$2:$H$675,Program_data!$F625,EIAwtransport!$I$2:$I$675,Program_data!Q$2)</f>
        <v>0</v>
      </c>
      <c r="R625" s="8">
        <f>SUMIFS(EIAwtransport!$J$2:$J$675,EIAwtransport!$E$2:$E$675,Program_data!$E625,EIAwtransport!$I$2:$I$675,Program_data!R$2)</f>
        <v>1429680000</v>
      </c>
      <c r="S625" s="5">
        <f>SUMIFS(EIAwtransport!$J$2:$J$675,EIAwtransport!$E$2:$E$675,Program_data!$E625,EIAwtransport!$I$2:$I$675,Program_data!S$2)</f>
        <v>158285451.98410821</v>
      </c>
      <c r="T625" s="5">
        <f>SUMIFS(EIAwtransport!$J$2:$J$675,EIAwtransport!$E$2:$E$675,Program_data!$E625,EIAwtransport!$I$2:$I$675,Program_data!T$2)</f>
        <v>1074614</v>
      </c>
      <c r="U625" s="24">
        <f t="shared" si="212"/>
        <v>0</v>
      </c>
      <c r="V625" s="24">
        <f t="shared" si="220"/>
        <v>0</v>
      </c>
      <c r="W625" s="24">
        <f t="shared" si="213"/>
        <v>5.9265010351966876E-4</v>
      </c>
      <c r="X625" s="25">
        <f t="shared" si="214"/>
        <v>5.1669760714285692E-4</v>
      </c>
      <c r="Y625" s="8" t="str">
        <f t="shared" si="215"/>
        <v/>
      </c>
      <c r="Z625" s="27">
        <f t="shared" si="216"/>
        <v>7.9259567158041028E-2</v>
      </c>
      <c r="AA625" s="27"/>
      <c r="AB625" s="27"/>
      <c r="AC625" s="56">
        <f t="shared" si="217"/>
        <v>0</v>
      </c>
      <c r="AE625" s="20">
        <f t="shared" si="218"/>
        <v>1098900</v>
      </c>
      <c r="AF625" s="20">
        <f t="shared" si="219"/>
        <v>1930068000.0000002</v>
      </c>
      <c r="AG625">
        <f t="shared" si="209"/>
        <v>0</v>
      </c>
      <c r="AH625">
        <f t="shared" si="210"/>
        <v>0</v>
      </c>
      <c r="AI625">
        <f t="shared" si="211"/>
        <v>16695949475.283735</v>
      </c>
    </row>
    <row r="626" spans="1:35" x14ac:dyDescent="0.25">
      <c r="B626" s="4"/>
      <c r="C626" s="4"/>
      <c r="D626" s="1"/>
      <c r="E626" s="4"/>
      <c r="F626" s="4"/>
      <c r="G626" s="4"/>
      <c r="H626" s="11"/>
      <c r="I626" s="4"/>
      <c r="J626" s="4"/>
      <c r="K626" s="5"/>
      <c r="L626" s="5"/>
      <c r="M626" s="8"/>
      <c r="N626" s="8"/>
      <c r="O626" s="8">
        <f>SUMIFS(EIAwtransport!$J$2:$J$675,EIAwtransport!$E$2:$E$675,Program_data!$E626,EIAwtransport!$H$2:$H$675,Program_data!$F626,EIAwtransport!$I$2:$I$675,Program_data!O$2)</f>
        <v>0</v>
      </c>
      <c r="P626" s="5">
        <f>SUMIFS(EIAwtransport!$J$2:$J$675,EIAwtransport!$E$2:$E$675,Program_data!$E626,EIAwtransport!$H$2:$H$675,Program_data!$F626,EIAwtransport!$I$2:$I$675,Program_data!P$2)</f>
        <v>0</v>
      </c>
      <c r="Q626" s="5">
        <f>SUMIFS(EIAwtransport!$J$2:$J$675,EIAwtransport!$E$2:$E$675,Program_data!$E626,EIAwtransport!$H$2:$H$675,Program_data!$F626,EIAwtransport!$I$2:$I$675,Program_data!Q$2)</f>
        <v>0</v>
      </c>
      <c r="R626" s="8">
        <f>SUMIFS(EIAwtransport!$J$2:$J$675,EIAwtransport!$E$2:$E$675,Program_data!$E626,EIAwtransport!$I$2:$I$675,Program_data!R$2)</f>
        <v>0</v>
      </c>
      <c r="S626" s="5">
        <f>SUMIFS(EIAwtransport!$J$2:$J$675,EIAwtransport!$E$2:$E$675,Program_data!$E626,EIAwtransport!$I$2:$I$675,Program_data!S$2)</f>
        <v>0</v>
      </c>
      <c r="T626" s="5">
        <f>SUMIFS(EIAwtransport!$J$2:$J$675,EIAwtransport!$E$2:$E$675,Program_data!$E626,EIAwtransport!$I$2:$I$675,Program_data!T$2)</f>
        <v>0</v>
      </c>
      <c r="U626" s="97" t="str">
        <f t="shared" si="212"/>
        <v/>
      </c>
      <c r="V626" s="24" t="str">
        <f t="shared" si="220"/>
        <v/>
      </c>
      <c r="W626" s="24" t="str">
        <f t="shared" si="213"/>
        <v/>
      </c>
      <c r="X626" s="25" t="str">
        <f t="shared" si="214"/>
        <v/>
      </c>
      <c r="Y626" s="8" t="str">
        <f t="shared" si="215"/>
        <v/>
      </c>
      <c r="Z626" s="27" t="str">
        <f t="shared" si="216"/>
        <v/>
      </c>
      <c r="AA626" s="27"/>
      <c r="AB626" s="27"/>
      <c r="AC626" s="56" t="str">
        <f t="shared" si="217"/>
        <v/>
      </c>
      <c r="AE626" s="20">
        <f t="shared" si="218"/>
        <v>0</v>
      </c>
      <c r="AF626" s="20">
        <f t="shared" si="219"/>
        <v>0</v>
      </c>
      <c r="AG626">
        <f t="shared" si="209"/>
        <v>0</v>
      </c>
      <c r="AH626">
        <f t="shared" si="210"/>
        <v>0</v>
      </c>
      <c r="AI626">
        <f t="shared" si="211"/>
        <v>0</v>
      </c>
    </row>
    <row r="627" spans="1:35" x14ac:dyDescent="0.25">
      <c r="B627" s="4">
        <v>2025</v>
      </c>
      <c r="C627" s="4" t="s">
        <v>33</v>
      </c>
      <c r="D627" s="1" t="s">
        <v>81</v>
      </c>
      <c r="E627" s="4" t="str">
        <f t="shared" ref="E627:E639" si="221">D627&amp;"-"&amp;C627</f>
        <v>FortisBC-CAN</v>
      </c>
      <c r="F627" s="4" t="s">
        <v>155</v>
      </c>
      <c r="G627" s="4"/>
      <c r="H627" s="11" t="s">
        <v>421</v>
      </c>
      <c r="I627" s="4"/>
      <c r="J627" s="4" t="s">
        <v>155</v>
      </c>
      <c r="K627" s="5">
        <v>0</v>
      </c>
      <c r="L627" s="38"/>
      <c r="M627" s="8">
        <v>1784140</v>
      </c>
      <c r="N627" s="8">
        <v>0</v>
      </c>
      <c r="O627" s="8">
        <f>SUMIFS(EIAwtransport!$J$2:$J$675,EIAwtransport!$E$2:$E$675,Program_data!$E627,EIAwtransport!$H$2:$H$675,Program_data!$F627,EIAwtransport!$I$2:$I$675,Program_data!O$2)</f>
        <v>0</v>
      </c>
      <c r="P627" s="5">
        <f>SUMIFS(EIAwtransport!$J$2:$J$675,EIAwtransport!$E$2:$E$675,Program_data!$E627,EIAwtransport!$H$2:$H$675,Program_data!$F627,EIAwtransport!$I$2:$I$675,Program_data!P$2)</f>
        <v>0</v>
      </c>
      <c r="Q627" s="5">
        <f>SUMIFS(EIAwtransport!$J$2:$J$675,EIAwtransport!$E$2:$E$675,Program_data!$E627,EIAwtransport!$H$2:$H$675,Program_data!$F627,EIAwtransport!$I$2:$I$675,Program_data!Q$2)</f>
        <v>0</v>
      </c>
      <c r="R627" s="8">
        <f>SUMIFS(EIAwtransport!$J$2:$J$675,EIAwtransport!$E$2:$E$675,Program_data!$E627,EIAwtransport!$I$2:$I$675,Program_data!R$2)</f>
        <v>1429680000</v>
      </c>
      <c r="S627" s="5">
        <f>SUMIFS(EIAwtransport!$J$2:$J$675,EIAwtransport!$E$2:$E$675,Program_data!$E627,EIAwtransport!$I$2:$I$675,Program_data!S$2)</f>
        <v>158285451.98410821</v>
      </c>
      <c r="T627" s="5">
        <f>SUMIFS(EIAwtransport!$J$2:$J$675,EIAwtransport!$E$2:$E$675,Program_data!$E627,EIAwtransport!$I$2:$I$675,Program_data!T$2)</f>
        <v>1074614</v>
      </c>
      <c r="U627" s="24">
        <f t="shared" si="212"/>
        <v>0</v>
      </c>
      <c r="V627" s="24">
        <f t="shared" si="220"/>
        <v>0</v>
      </c>
      <c r="W627" s="24">
        <f t="shared" si="213"/>
        <v>1.2479296066252588E-3</v>
      </c>
      <c r="X627" s="25">
        <f t="shared" si="214"/>
        <v>1.0879981928571425E-3</v>
      </c>
      <c r="Y627" s="8" t="str">
        <f t="shared" si="215"/>
        <v/>
      </c>
      <c r="Z627" s="27">
        <f t="shared" si="216"/>
        <v>0.21204111006252421</v>
      </c>
      <c r="AA627" s="27"/>
      <c r="AB627" s="27"/>
      <c r="AC627" s="56">
        <f t="shared" si="217"/>
        <v>0</v>
      </c>
      <c r="AE627" s="20">
        <f t="shared" si="218"/>
        <v>0</v>
      </c>
      <c r="AF627" s="20">
        <f t="shared" si="219"/>
        <v>1930068000.0000002</v>
      </c>
      <c r="AG627">
        <f t="shared" si="209"/>
        <v>0</v>
      </c>
      <c r="AH627">
        <f t="shared" si="210"/>
        <v>0</v>
      </c>
      <c r="AI627">
        <f t="shared" si="211"/>
        <v>16695949475.283735</v>
      </c>
    </row>
    <row r="628" spans="1:35" x14ac:dyDescent="0.25">
      <c r="B628" s="4">
        <v>2026</v>
      </c>
      <c r="C628" s="4" t="s">
        <v>33</v>
      </c>
      <c r="D628" s="1" t="s">
        <v>81</v>
      </c>
      <c r="E628" s="4" t="str">
        <f t="shared" si="221"/>
        <v>FortisBC-CAN</v>
      </c>
      <c r="F628" s="4" t="s">
        <v>155</v>
      </c>
      <c r="G628" s="4"/>
      <c r="H628" s="11" t="s">
        <v>421</v>
      </c>
      <c r="I628" s="4"/>
      <c r="J628" s="4" t="s">
        <v>155</v>
      </c>
      <c r="K628" s="5">
        <v>0</v>
      </c>
      <c r="L628" s="38"/>
      <c r="M628" s="8">
        <v>1828540</v>
      </c>
      <c r="N628" s="8">
        <v>0</v>
      </c>
      <c r="O628" s="8">
        <f>SUMIFS(EIAwtransport!$J$2:$J$675,EIAwtransport!$E$2:$E$675,Program_data!$E628,EIAwtransport!$H$2:$H$675,Program_data!$F628,EIAwtransport!$I$2:$I$675,Program_data!O$2)</f>
        <v>0</v>
      </c>
      <c r="P628" s="5">
        <f>SUMIFS(EIAwtransport!$J$2:$J$675,EIAwtransport!$E$2:$E$675,Program_data!$E628,EIAwtransport!$H$2:$H$675,Program_data!$F628,EIAwtransport!$I$2:$I$675,Program_data!P$2)</f>
        <v>0</v>
      </c>
      <c r="Q628" s="5">
        <f>SUMIFS(EIAwtransport!$J$2:$J$675,EIAwtransport!$E$2:$E$675,Program_data!$E628,EIAwtransport!$H$2:$H$675,Program_data!$F628,EIAwtransport!$I$2:$I$675,Program_data!Q$2)</f>
        <v>0</v>
      </c>
      <c r="R628" s="8">
        <f>SUMIFS(EIAwtransport!$J$2:$J$675,EIAwtransport!$E$2:$E$675,Program_data!$E628,EIAwtransport!$I$2:$I$675,Program_data!R$2)</f>
        <v>1429680000</v>
      </c>
      <c r="S628" s="5">
        <f>SUMIFS(EIAwtransport!$J$2:$J$675,EIAwtransport!$E$2:$E$675,Program_data!$E628,EIAwtransport!$I$2:$I$675,Program_data!S$2)</f>
        <v>158285451.98410821</v>
      </c>
      <c r="T628" s="5">
        <f>SUMIFS(EIAwtransport!$J$2:$J$675,EIAwtransport!$E$2:$E$675,Program_data!$E628,EIAwtransport!$I$2:$I$675,Program_data!T$2)</f>
        <v>1074614</v>
      </c>
      <c r="U628" s="24">
        <f t="shared" si="212"/>
        <v>0</v>
      </c>
      <c r="V628" s="24">
        <f t="shared" si="220"/>
        <v>0</v>
      </c>
      <c r="W628" s="24">
        <f t="shared" si="213"/>
        <v>1.2789855072463769E-3</v>
      </c>
      <c r="X628" s="25">
        <f t="shared" si="214"/>
        <v>1.1150740499999996E-3</v>
      </c>
      <c r="Y628" s="8" t="str">
        <f t="shared" si="215"/>
        <v/>
      </c>
      <c r="Z628" s="27">
        <f t="shared" si="216"/>
        <v>0.18889748175082896</v>
      </c>
      <c r="AA628" s="27"/>
      <c r="AB628" s="27"/>
      <c r="AC628" s="56">
        <f t="shared" si="217"/>
        <v>0</v>
      </c>
      <c r="AE628" s="20">
        <f t="shared" si="218"/>
        <v>0</v>
      </c>
      <c r="AF628" s="20">
        <f t="shared" si="219"/>
        <v>1930068000.0000002</v>
      </c>
      <c r="AG628">
        <f t="shared" si="209"/>
        <v>0</v>
      </c>
      <c r="AH628">
        <f t="shared" si="210"/>
        <v>0</v>
      </c>
      <c r="AI628">
        <f t="shared" si="211"/>
        <v>16695949475.283735</v>
      </c>
    </row>
    <row r="629" spans="1:35" x14ac:dyDescent="0.25">
      <c r="B629" s="4">
        <v>2027</v>
      </c>
      <c r="C629" s="4" t="s">
        <v>33</v>
      </c>
      <c r="D629" s="1" t="s">
        <v>81</v>
      </c>
      <c r="E629" s="4" t="str">
        <f t="shared" si="221"/>
        <v>FortisBC-CAN</v>
      </c>
      <c r="F629" s="4" t="s">
        <v>155</v>
      </c>
      <c r="G629" s="4"/>
      <c r="H629" s="11" t="s">
        <v>421</v>
      </c>
      <c r="I629" s="4"/>
      <c r="J629" s="4" t="s">
        <v>155</v>
      </c>
      <c r="K629" s="5">
        <v>0</v>
      </c>
      <c r="L629" s="38"/>
      <c r="M629" s="8">
        <v>1784140</v>
      </c>
      <c r="N629" s="8">
        <v>0</v>
      </c>
      <c r="O629" s="8">
        <f>SUMIFS(EIAwtransport!$J$2:$J$675,EIAwtransport!$E$2:$E$675,Program_data!$E629,EIAwtransport!$H$2:$H$675,Program_data!$F629,EIAwtransport!$I$2:$I$675,Program_data!O$2)</f>
        <v>0</v>
      </c>
      <c r="P629" s="5">
        <f>SUMIFS(EIAwtransport!$J$2:$J$675,EIAwtransport!$E$2:$E$675,Program_data!$E629,EIAwtransport!$H$2:$H$675,Program_data!$F629,EIAwtransport!$I$2:$I$675,Program_data!P$2)</f>
        <v>0</v>
      </c>
      <c r="Q629" s="5">
        <f>SUMIFS(EIAwtransport!$J$2:$J$675,EIAwtransport!$E$2:$E$675,Program_data!$E629,EIAwtransport!$H$2:$H$675,Program_data!$F629,EIAwtransport!$I$2:$I$675,Program_data!Q$2)</f>
        <v>0</v>
      </c>
      <c r="R629" s="8">
        <f>SUMIFS(EIAwtransport!$J$2:$J$675,EIAwtransport!$E$2:$E$675,Program_data!$E629,EIAwtransport!$I$2:$I$675,Program_data!R$2)</f>
        <v>1429680000</v>
      </c>
      <c r="S629" s="5">
        <f>SUMIFS(EIAwtransport!$J$2:$J$675,EIAwtransport!$E$2:$E$675,Program_data!$E629,EIAwtransport!$I$2:$I$675,Program_data!S$2)</f>
        <v>158285451.98410821</v>
      </c>
      <c r="T629" s="5">
        <f>SUMIFS(EIAwtransport!$J$2:$J$675,EIAwtransport!$E$2:$E$675,Program_data!$E629,EIAwtransport!$I$2:$I$675,Program_data!T$2)</f>
        <v>1074614</v>
      </c>
      <c r="U629" s="24">
        <f t="shared" si="212"/>
        <v>0</v>
      </c>
      <c r="V629" s="24">
        <f t="shared" si="220"/>
        <v>0</v>
      </c>
      <c r="W629" s="24">
        <f t="shared" si="213"/>
        <v>1.2479296066252588E-3</v>
      </c>
      <c r="X629" s="25">
        <f t="shared" si="214"/>
        <v>1.0879981928571425E-3</v>
      </c>
      <c r="Y629" s="8" t="str">
        <f t="shared" si="215"/>
        <v/>
      </c>
      <c r="Z629" s="27">
        <f t="shared" si="216"/>
        <v>0.16689503617295803</v>
      </c>
      <c r="AA629" s="27"/>
      <c r="AB629" s="27"/>
      <c r="AC629" s="56">
        <f t="shared" si="217"/>
        <v>0</v>
      </c>
      <c r="AE629" s="20">
        <f t="shared" si="218"/>
        <v>0</v>
      </c>
      <c r="AF629" s="20">
        <f t="shared" si="219"/>
        <v>1930068000.0000002</v>
      </c>
      <c r="AG629">
        <f t="shared" si="209"/>
        <v>0</v>
      </c>
      <c r="AH629">
        <f t="shared" si="210"/>
        <v>0</v>
      </c>
      <c r="AI629">
        <f t="shared" si="211"/>
        <v>16695949475.283735</v>
      </c>
    </row>
    <row r="630" spans="1:35" x14ac:dyDescent="0.25">
      <c r="A630" t="s">
        <v>310</v>
      </c>
      <c r="B630" s="4">
        <v>2024</v>
      </c>
      <c r="C630" s="4" t="s">
        <v>33</v>
      </c>
      <c r="D630" s="1" t="s">
        <v>81</v>
      </c>
      <c r="E630" s="4" t="str">
        <f t="shared" si="221"/>
        <v>FortisBC-CAN</v>
      </c>
      <c r="F630" s="4" t="s">
        <v>146</v>
      </c>
      <c r="G630" s="4"/>
      <c r="H630" s="11" t="s">
        <v>422</v>
      </c>
      <c r="I630" s="4"/>
      <c r="J630" s="4" t="s">
        <v>21</v>
      </c>
      <c r="K630" s="5">
        <v>1395044.5986349999</v>
      </c>
      <c r="L630" s="5">
        <f>K630/_xlfn.XLOOKUP(C630,'Utility target list'!$K$2:$K$8,'Utility target list'!$L$2:$L$8,1,0,1)</f>
        <v>1550049.5540388888</v>
      </c>
      <c r="M630" s="8">
        <v>25672820</v>
      </c>
      <c r="N630" s="8">
        <v>25672820</v>
      </c>
      <c r="O630" s="8">
        <f>SUMIFS(EIAwtransport!$J$2:$J$675,EIAwtransport!$E$2:$E$675,Program_data!$E630,EIAwtransport!$H$2:$H$675,Program_data!$F630,EIAwtransport!$I$2:$I$675,Program_data!O$2)</f>
        <v>555000000</v>
      </c>
      <c r="P630" s="5">
        <f>SUMIFS(EIAwtransport!$J$2:$J$675,EIAwtransport!$E$2:$E$675,Program_data!$E630,EIAwtransport!$H$2:$H$675,Program_data!$F630,EIAwtransport!$I$2:$I$675,Program_data!P$2)</f>
        <v>75825366.219932109</v>
      </c>
      <c r="Q630" s="5">
        <f>SUMIFS(EIAwtransport!$J$2:$J$675,EIAwtransport!$E$2:$E$675,Program_data!$E630,EIAwtransport!$H$2:$H$675,Program_data!$F630,EIAwtransport!$I$2:$I$675,Program_data!Q$2)</f>
        <v>98444</v>
      </c>
      <c r="R630" s="8">
        <f>SUMIFS(EIAwtransport!$J$2:$J$675,EIAwtransport!$E$2:$E$675,Program_data!$E630,EIAwtransport!$I$2:$I$675,Program_data!R$2)</f>
        <v>1429680000</v>
      </c>
      <c r="S630" s="5">
        <f>SUMIFS(EIAwtransport!$J$2:$J$675,EIAwtransport!$E$2:$E$675,Program_data!$E630,EIAwtransport!$I$2:$I$675,Program_data!S$2)</f>
        <v>158285451.98410821</v>
      </c>
      <c r="T630" s="5">
        <f>SUMIFS(EIAwtransport!$J$2:$J$675,EIAwtransport!$E$2:$E$675,Program_data!$E630,EIAwtransport!$I$2:$I$675,Program_data!T$2)</f>
        <v>1074614</v>
      </c>
      <c r="U630" s="55">
        <f t="shared" si="212"/>
        <v>8.5072135721972345E-4</v>
      </c>
      <c r="V630" s="24">
        <f t="shared" si="220"/>
        <v>9.4524595246635941E-4</v>
      </c>
      <c r="W630" s="24">
        <f t="shared" si="213"/>
        <v>1.7957039337474119E-2</v>
      </c>
      <c r="X630" s="25">
        <f t="shared" si="214"/>
        <v>1.5655711864285708E-2</v>
      </c>
      <c r="Y630" s="8">
        <f t="shared" si="215"/>
        <v>4.3423503731196735</v>
      </c>
      <c r="Z630" s="27">
        <f t="shared" si="216"/>
        <v>3.1491329764943794</v>
      </c>
      <c r="AA630" s="27"/>
      <c r="AB630" s="27"/>
      <c r="AC630" s="56">
        <f t="shared" si="217"/>
        <v>1.2223827856810013E-2</v>
      </c>
      <c r="AE630" s="20">
        <f t="shared" si="218"/>
        <v>34658307</v>
      </c>
      <c r="AF630" s="20">
        <f t="shared" si="219"/>
        <v>1930068000.0000002</v>
      </c>
      <c r="AG630">
        <f t="shared" si="209"/>
        <v>147149304.26401979</v>
      </c>
      <c r="AH630">
        <f t="shared" si="210"/>
        <v>163499226.960022</v>
      </c>
      <c r="AI630">
        <f t="shared" si="211"/>
        <v>16695949475.283735</v>
      </c>
    </row>
    <row r="631" spans="1:35" x14ac:dyDescent="0.25">
      <c r="B631" s="4">
        <v>2025</v>
      </c>
      <c r="C631" s="4" t="s">
        <v>33</v>
      </c>
      <c r="D631" s="1" t="s">
        <v>81</v>
      </c>
      <c r="E631" s="4" t="str">
        <f t="shared" si="221"/>
        <v>FortisBC-CAN</v>
      </c>
      <c r="F631" s="4" t="s">
        <v>146</v>
      </c>
      <c r="G631" s="4"/>
      <c r="H631" s="11" t="s">
        <v>422</v>
      </c>
      <c r="I631" s="4"/>
      <c r="J631" s="4" t="s">
        <v>142</v>
      </c>
      <c r="K631" s="5">
        <v>548577.58113800001</v>
      </c>
      <c r="L631" s="5">
        <f>K631/_xlfn.XLOOKUP(C631,'Utility target list'!$K$2:$K$8,'Utility target list'!$L$2:$L$8,1,0,1)</f>
        <v>609530.64570888889</v>
      </c>
      <c r="M631" s="8">
        <v>11864.42</v>
      </c>
      <c r="N631" s="8">
        <v>11864420</v>
      </c>
      <c r="O631" s="8">
        <f>SUMIFS(EIAwtransport!$J$2:$J$675,EIAwtransport!$E$2:$E$675,Program_data!$E631,EIAwtransport!$H$2:$H$675,Program_data!$F631,EIAwtransport!$I$2:$I$675,Program_data!O$2)</f>
        <v>555000000</v>
      </c>
      <c r="P631" s="5">
        <f>SUMIFS(EIAwtransport!$J$2:$J$675,EIAwtransport!$E$2:$E$675,Program_data!$E631,EIAwtransport!$H$2:$H$675,Program_data!$F631,EIAwtransport!$I$2:$I$675,Program_data!P$2)</f>
        <v>75825366.219932109</v>
      </c>
      <c r="Q631" s="5">
        <f>SUMIFS(EIAwtransport!$J$2:$J$675,EIAwtransport!$E$2:$E$675,Program_data!$E631,EIAwtransport!$H$2:$H$675,Program_data!$F631,EIAwtransport!$I$2:$I$675,Program_data!Q$2)</f>
        <v>98444</v>
      </c>
      <c r="R631" s="8">
        <f>SUMIFS(EIAwtransport!$J$2:$J$675,EIAwtransport!$E$2:$E$675,Program_data!$E631,EIAwtransport!$I$2:$I$675,Program_data!R$2)</f>
        <v>1429680000</v>
      </c>
      <c r="S631" s="5">
        <f>SUMIFS(EIAwtransport!$J$2:$J$675,EIAwtransport!$E$2:$E$675,Program_data!$E631,EIAwtransport!$I$2:$I$675,Program_data!S$2)</f>
        <v>158285451.98410821</v>
      </c>
      <c r="T631" s="5">
        <f>SUMIFS(EIAwtransport!$J$2:$J$675,EIAwtransport!$E$2:$E$675,Program_data!$E631,EIAwtransport!$I$2:$I$675,Program_data!T$2)</f>
        <v>1074614</v>
      </c>
      <c r="U631" s="24">
        <f t="shared" si="212"/>
        <v>3.3453171663663523E-4</v>
      </c>
      <c r="V631" s="24">
        <f t="shared" si="220"/>
        <v>3.7170190737403918E-4</v>
      </c>
      <c r="W631" s="24">
        <f t="shared" si="213"/>
        <v>8.2986542443064179E-6</v>
      </c>
      <c r="X631" s="25">
        <f t="shared" si="214"/>
        <v>7.2351202928571396E-6</v>
      </c>
      <c r="Y631" s="8">
        <f t="shared" si="215"/>
        <v>2.0165325859388787E-3</v>
      </c>
      <c r="Z631" s="27">
        <f t="shared" si="216"/>
        <v>1.4100601898102243E-3</v>
      </c>
      <c r="AA631" s="27"/>
      <c r="AB631" s="27"/>
      <c r="AC631" s="56">
        <f t="shared" si="217"/>
        <v>6.0259210282428994E-3</v>
      </c>
      <c r="AE631" s="20">
        <f t="shared" si="218"/>
        <v>16016967.000000002</v>
      </c>
      <c r="AF631" s="20">
        <f t="shared" si="219"/>
        <v>1930068000.0000002</v>
      </c>
      <c r="AG631">
        <f t="shared" si="209"/>
        <v>57863963.25843624</v>
      </c>
      <c r="AH631">
        <f t="shared" si="210"/>
        <v>64293292.509373605</v>
      </c>
      <c r="AI631">
        <f t="shared" si="211"/>
        <v>16695949475.283735</v>
      </c>
    </row>
    <row r="632" spans="1:35" x14ac:dyDescent="0.25">
      <c r="B632" s="4">
        <v>2026</v>
      </c>
      <c r="C632" s="4" t="s">
        <v>33</v>
      </c>
      <c r="D632" s="1" t="s">
        <v>81</v>
      </c>
      <c r="E632" s="4" t="str">
        <f t="shared" si="221"/>
        <v>FortisBC-CAN</v>
      </c>
      <c r="F632" s="4" t="s">
        <v>146</v>
      </c>
      <c r="G632" s="4"/>
      <c r="H632" s="11" t="s">
        <v>422</v>
      </c>
      <c r="I632" s="4"/>
      <c r="J632" s="4" t="s">
        <v>142</v>
      </c>
      <c r="K632" s="5">
        <v>297244.92073099996</v>
      </c>
      <c r="L632" s="5">
        <f>K632/_xlfn.XLOOKUP(C632,'Utility target list'!$K$2:$K$8,'Utility target list'!$L$2:$L$8,1,0,1)</f>
        <v>330272.13414555549</v>
      </c>
      <c r="M632" s="8">
        <v>6070960</v>
      </c>
      <c r="N632" s="8">
        <v>6070960</v>
      </c>
      <c r="O632" s="8">
        <f>SUMIFS(EIAwtransport!$J$2:$J$675,EIAwtransport!$E$2:$E$675,Program_data!$E632,EIAwtransport!$H$2:$H$675,Program_data!$F632,EIAwtransport!$I$2:$I$675,Program_data!O$2)</f>
        <v>555000000</v>
      </c>
      <c r="P632" s="5">
        <f>SUMIFS(EIAwtransport!$J$2:$J$675,EIAwtransport!$E$2:$E$675,Program_data!$E632,EIAwtransport!$H$2:$H$675,Program_data!$F632,EIAwtransport!$I$2:$I$675,Program_data!P$2)</f>
        <v>75825366.219932109</v>
      </c>
      <c r="Q632" s="5">
        <f>SUMIFS(EIAwtransport!$J$2:$J$675,EIAwtransport!$E$2:$E$675,Program_data!$E632,EIAwtransport!$H$2:$H$675,Program_data!$F632,EIAwtransport!$I$2:$I$675,Program_data!Q$2)</f>
        <v>98444</v>
      </c>
      <c r="R632" s="8">
        <f>SUMIFS(EIAwtransport!$J$2:$J$675,EIAwtransport!$E$2:$E$675,Program_data!$E632,EIAwtransport!$I$2:$I$675,Program_data!R$2)</f>
        <v>1429680000</v>
      </c>
      <c r="S632" s="5">
        <f>SUMIFS(EIAwtransport!$J$2:$J$675,EIAwtransport!$E$2:$E$675,Program_data!$E632,EIAwtransport!$I$2:$I$675,Program_data!S$2)</f>
        <v>158285451.98410821</v>
      </c>
      <c r="T632" s="5">
        <f>SUMIFS(EIAwtransport!$J$2:$J$675,EIAwtransport!$E$2:$E$675,Program_data!$E632,EIAwtransport!$I$2:$I$675,Program_data!T$2)</f>
        <v>1074614</v>
      </c>
      <c r="U632" s="24">
        <f t="shared" si="212"/>
        <v>1.8126488761604611E-4</v>
      </c>
      <c r="V632" s="24">
        <f t="shared" si="220"/>
        <v>2.0140543068449568E-4</v>
      </c>
      <c r="W632" s="24">
        <f t="shared" si="213"/>
        <v>4.2463768115942029E-3</v>
      </c>
      <c r="X632" s="25">
        <f t="shared" si="214"/>
        <v>3.7021721999999984E-3</v>
      </c>
      <c r="Y632" s="8">
        <f t="shared" si="215"/>
        <v>0.88868937592472563</v>
      </c>
      <c r="Z632" s="27">
        <f t="shared" si="216"/>
        <v>0.62716104422654828</v>
      </c>
      <c r="AA632" s="27"/>
      <c r="AB632" s="27"/>
      <c r="AC632" s="56">
        <f t="shared" si="217"/>
        <v>2.8664568072400459E-3</v>
      </c>
      <c r="AE632" s="20">
        <f t="shared" si="218"/>
        <v>8195796.0000000009</v>
      </c>
      <c r="AF632" s="20">
        <f t="shared" si="219"/>
        <v>1930068000.0000002</v>
      </c>
      <c r="AG632">
        <f t="shared" si="209"/>
        <v>31353394.238705877</v>
      </c>
      <c r="AH632">
        <f t="shared" si="210"/>
        <v>34837104.709673196</v>
      </c>
      <c r="AI632">
        <f t="shared" si="211"/>
        <v>16695949475.283735</v>
      </c>
    </row>
    <row r="633" spans="1:35" x14ac:dyDescent="0.25">
      <c r="B633" s="4">
        <v>2027</v>
      </c>
      <c r="C633" s="4" t="s">
        <v>33</v>
      </c>
      <c r="D633" s="1" t="s">
        <v>81</v>
      </c>
      <c r="E633" s="4" t="str">
        <f t="shared" si="221"/>
        <v>FortisBC-CAN</v>
      </c>
      <c r="F633" s="4" t="s">
        <v>146</v>
      </c>
      <c r="G633" s="4"/>
      <c r="H633" s="11" t="s">
        <v>422</v>
      </c>
      <c r="I633" s="4"/>
      <c r="J633" s="4" t="s">
        <v>142</v>
      </c>
      <c r="K633" s="5">
        <v>202264.16913999998</v>
      </c>
      <c r="L633" s="5">
        <f>K633/_xlfn.XLOOKUP(C633,'Utility target list'!$K$2:$K$8,'Utility target list'!$L$2:$L$8,1,0,1)</f>
        <v>224737.96571111109</v>
      </c>
      <c r="M633" s="8">
        <v>3805080</v>
      </c>
      <c r="N633" s="8">
        <v>3805080</v>
      </c>
      <c r="O633" s="8">
        <f>SUMIFS(EIAwtransport!$J$2:$J$675,EIAwtransport!$E$2:$E$675,Program_data!$E633,EIAwtransport!$H$2:$H$675,Program_data!$F633,EIAwtransport!$I$2:$I$675,Program_data!O$2)</f>
        <v>555000000</v>
      </c>
      <c r="P633" s="5">
        <f>SUMIFS(EIAwtransport!$J$2:$J$675,EIAwtransport!$E$2:$E$675,Program_data!$E633,EIAwtransport!$H$2:$H$675,Program_data!$F633,EIAwtransport!$I$2:$I$675,Program_data!P$2)</f>
        <v>75825366.219932109</v>
      </c>
      <c r="Q633" s="5">
        <f>SUMIFS(EIAwtransport!$J$2:$J$675,EIAwtransport!$E$2:$E$675,Program_data!$E633,EIAwtransport!$H$2:$H$675,Program_data!$F633,EIAwtransport!$I$2:$I$675,Program_data!Q$2)</f>
        <v>98444</v>
      </c>
      <c r="R633" s="8">
        <f>SUMIFS(EIAwtransport!$J$2:$J$675,EIAwtransport!$E$2:$E$675,Program_data!$E633,EIAwtransport!$I$2:$I$675,Program_data!R$2)</f>
        <v>1429680000</v>
      </c>
      <c r="S633" s="5">
        <f>SUMIFS(EIAwtransport!$J$2:$J$675,EIAwtransport!$E$2:$E$675,Program_data!$E633,EIAwtransport!$I$2:$I$675,Program_data!S$2)</f>
        <v>158285451.98410821</v>
      </c>
      <c r="T633" s="5">
        <f>SUMIFS(EIAwtransport!$J$2:$J$675,EIAwtransport!$E$2:$E$675,Program_data!$E633,EIAwtransport!$I$2:$I$675,Program_data!T$2)</f>
        <v>1074614</v>
      </c>
      <c r="U633" s="24">
        <f t="shared" si="212"/>
        <v>1.233440483953453E-4</v>
      </c>
      <c r="V633" s="24">
        <f t="shared" si="220"/>
        <v>1.3704894266149478E-4</v>
      </c>
      <c r="W633" s="24">
        <f t="shared" si="213"/>
        <v>2.6614906832298137E-3</v>
      </c>
      <c r="X633" s="25">
        <f t="shared" si="214"/>
        <v>2.3204009571428565E-3</v>
      </c>
      <c r="Y633" s="8">
        <f t="shared" si="215"/>
        <v>0.50787473319202614</v>
      </c>
      <c r="Z633" s="27">
        <f t="shared" si="216"/>
        <v>0.35594121775253013</v>
      </c>
      <c r="AA633" s="27"/>
      <c r="AB633" s="27"/>
      <c r="AC633" s="56">
        <f t="shared" si="217"/>
        <v>1.758416108345271E-3</v>
      </c>
      <c r="AE633" s="20">
        <f t="shared" si="218"/>
        <v>5136858</v>
      </c>
      <c r="AF633" s="20">
        <f t="shared" si="219"/>
        <v>1930068000.0000002</v>
      </c>
      <c r="AG633">
        <f t="shared" si="209"/>
        <v>21334824.560887199</v>
      </c>
      <c r="AH633">
        <f t="shared" si="210"/>
        <v>23705360.623207998</v>
      </c>
      <c r="AI633">
        <f t="shared" si="211"/>
        <v>16695949475.283735</v>
      </c>
    </row>
    <row r="634" spans="1:35" x14ac:dyDescent="0.25">
      <c r="B634" s="4"/>
      <c r="C634" s="4"/>
      <c r="D634" s="1"/>
      <c r="E634" s="4"/>
      <c r="F634" s="4"/>
      <c r="G634" s="4"/>
      <c r="H634" s="11"/>
      <c r="I634" s="4"/>
      <c r="J634" s="4"/>
      <c r="K634" s="5"/>
      <c r="L634" s="5"/>
      <c r="M634" s="8"/>
      <c r="N634" s="8"/>
      <c r="O634" s="8">
        <f>SUMIFS(EIAwtransport!$J$2:$J$675,EIAwtransport!$E$2:$E$675,Program_data!$E634,EIAwtransport!$H$2:$H$675,Program_data!$F634,EIAwtransport!$I$2:$I$675,Program_data!O$2)</f>
        <v>0</v>
      </c>
      <c r="P634" s="5">
        <f>SUMIFS(EIAwtransport!$J$2:$J$675,EIAwtransport!$E$2:$E$675,Program_data!$E634,EIAwtransport!$H$2:$H$675,Program_data!$F634,EIAwtransport!$I$2:$I$675,Program_data!P$2)</f>
        <v>0</v>
      </c>
      <c r="Q634" s="5">
        <f>SUMIFS(EIAwtransport!$J$2:$J$675,EIAwtransport!$E$2:$E$675,Program_data!$E634,EIAwtransport!$H$2:$H$675,Program_data!$F634,EIAwtransport!$I$2:$I$675,Program_data!Q$2)</f>
        <v>0</v>
      </c>
      <c r="R634" s="8">
        <f>SUMIFS(EIAwtransport!$J$2:$J$675,EIAwtransport!$E$2:$E$675,Program_data!$E634,EIAwtransport!$I$2:$I$675,Program_data!R$2)</f>
        <v>0</v>
      </c>
      <c r="S634" s="5">
        <f>SUMIFS(EIAwtransport!$J$2:$J$675,EIAwtransport!$E$2:$E$675,Program_data!$E634,EIAwtransport!$I$2:$I$675,Program_data!S$2)</f>
        <v>0</v>
      </c>
      <c r="T634" s="5">
        <f>SUMIFS(EIAwtransport!$J$2:$J$675,EIAwtransport!$E$2:$E$675,Program_data!$E634,EIAwtransport!$I$2:$I$675,Program_data!T$2)</f>
        <v>0</v>
      </c>
      <c r="U634" s="97" t="str">
        <f t="shared" si="212"/>
        <v/>
      </c>
      <c r="V634" s="24" t="str">
        <f t="shared" si="220"/>
        <v/>
      </c>
      <c r="W634" s="24" t="str">
        <f t="shared" si="213"/>
        <v/>
      </c>
      <c r="X634" s="25" t="str">
        <f t="shared" si="214"/>
        <v/>
      </c>
      <c r="Y634" s="8" t="str">
        <f t="shared" si="215"/>
        <v/>
      </c>
      <c r="Z634" s="27" t="str">
        <f t="shared" si="216"/>
        <v/>
      </c>
      <c r="AA634" s="27"/>
      <c r="AB634" s="27"/>
      <c r="AC634" s="56" t="str">
        <f t="shared" ref="AC634" si="222">IFERROR(K634/SUMIFS($M$3:$M$1234,$E$3:$E$1234,E634,$B$3:$B$1234,B634),"")</f>
        <v/>
      </c>
      <c r="AE634" s="20">
        <f t="shared" si="218"/>
        <v>0</v>
      </c>
      <c r="AF634" s="20">
        <f t="shared" si="219"/>
        <v>0</v>
      </c>
      <c r="AG634">
        <f t="shared" ref="AG634:AG697" si="223">K634*105.48</f>
        <v>0</v>
      </c>
      <c r="AH634">
        <f t="shared" ref="AH634:AH697" si="224">L634*105.48</f>
        <v>0</v>
      </c>
      <c r="AI634">
        <f t="shared" ref="AI634:AI697" si="225">S634*105.48</f>
        <v>0</v>
      </c>
    </row>
    <row r="635" spans="1:35" x14ac:dyDescent="0.25">
      <c r="B635" s="4">
        <v>2025</v>
      </c>
      <c r="C635" s="4" t="s">
        <v>33</v>
      </c>
      <c r="D635" s="1" t="s">
        <v>81</v>
      </c>
      <c r="E635" s="4" t="str">
        <f t="shared" si="221"/>
        <v>FortisBC-CAN</v>
      </c>
      <c r="F635" s="4" t="s">
        <v>155</v>
      </c>
      <c r="G635" s="4"/>
      <c r="H635" s="11" t="s">
        <v>423</v>
      </c>
      <c r="I635" s="4"/>
      <c r="J635" s="4" t="s">
        <v>155</v>
      </c>
      <c r="K635" s="5">
        <v>0</v>
      </c>
      <c r="L635" s="38"/>
      <c r="M635" s="8">
        <v>667480</v>
      </c>
      <c r="N635" s="8">
        <v>0</v>
      </c>
      <c r="O635" s="8">
        <f>SUMIFS(EIAwtransport!$J$2:$J$675,EIAwtransport!$E$2:$E$675,Program_data!$E635,EIAwtransport!$H$2:$H$675,Program_data!$F635,EIAwtransport!$I$2:$I$675,Program_data!O$2)</f>
        <v>0</v>
      </c>
      <c r="P635" s="5">
        <f>SUMIFS(EIAwtransport!$J$2:$J$675,EIAwtransport!$E$2:$E$675,Program_data!$E635,EIAwtransport!$H$2:$H$675,Program_data!$F635,EIAwtransport!$I$2:$I$675,Program_data!P$2)</f>
        <v>0</v>
      </c>
      <c r="Q635" s="5">
        <f>SUMIFS(EIAwtransport!$J$2:$J$675,EIAwtransport!$E$2:$E$675,Program_data!$E635,EIAwtransport!$H$2:$H$675,Program_data!$F635,EIAwtransport!$I$2:$I$675,Program_data!Q$2)</f>
        <v>0</v>
      </c>
      <c r="R635" s="8">
        <f>SUMIFS(EIAwtransport!$J$2:$J$675,EIAwtransport!$E$2:$E$675,Program_data!$E635,EIAwtransport!$I$2:$I$675,Program_data!R$2)</f>
        <v>1429680000</v>
      </c>
      <c r="S635" s="5">
        <f>SUMIFS(EIAwtransport!$J$2:$J$675,EIAwtransport!$E$2:$E$675,Program_data!$E635,EIAwtransport!$I$2:$I$675,Program_data!S$2)</f>
        <v>158285451.98410821</v>
      </c>
      <c r="T635" s="5">
        <f>SUMIFS(EIAwtransport!$J$2:$J$675,EIAwtransport!$E$2:$E$675,Program_data!$E635,EIAwtransport!$I$2:$I$675,Program_data!T$2)</f>
        <v>1074614</v>
      </c>
      <c r="U635" s="24">
        <f t="shared" si="212"/>
        <v>0</v>
      </c>
      <c r="V635" s="24">
        <f t="shared" si="220"/>
        <v>0</v>
      </c>
      <c r="W635" s="24">
        <f t="shared" si="213"/>
        <v>4.6687370600414081E-4</v>
      </c>
      <c r="X635" s="25">
        <f t="shared" si="214"/>
        <v>4.070403857142856E-4</v>
      </c>
      <c r="Y635" s="8" t="str">
        <f t="shared" si="215"/>
        <v/>
      </c>
      <c r="Z635" s="27">
        <f t="shared" si="216"/>
        <v>7.9328528111321794E-2</v>
      </c>
      <c r="AA635" s="27"/>
      <c r="AB635" s="27"/>
      <c r="AC635" s="56">
        <f t="shared" ref="AC635:AC698" si="226">IFERROR(K635/SUMIFS($M$3:$M$1234,$E$3:$E$1234,E635,$B$3:$B$1234,B635),"")</f>
        <v>0</v>
      </c>
      <c r="AE635" s="20">
        <f t="shared" si="218"/>
        <v>0</v>
      </c>
      <c r="AF635" s="20">
        <f t="shared" si="219"/>
        <v>1930068000.0000002</v>
      </c>
      <c r="AG635">
        <f t="shared" si="223"/>
        <v>0</v>
      </c>
      <c r="AH635">
        <f t="shared" si="224"/>
        <v>0</v>
      </c>
      <c r="AI635">
        <f t="shared" si="225"/>
        <v>16695949475.283735</v>
      </c>
    </row>
    <row r="636" spans="1:35" x14ac:dyDescent="0.25">
      <c r="B636" s="4">
        <v>2026</v>
      </c>
      <c r="C636" s="4" t="s">
        <v>33</v>
      </c>
      <c r="D636" s="1" t="s">
        <v>81</v>
      </c>
      <c r="E636" s="4" t="str">
        <f t="shared" si="221"/>
        <v>FortisBC-CAN</v>
      </c>
      <c r="F636" s="4" t="s">
        <v>155</v>
      </c>
      <c r="G636" s="4"/>
      <c r="H636" s="11" t="s">
        <v>423</v>
      </c>
      <c r="I636" s="4"/>
      <c r="J636" s="4" t="s">
        <v>155</v>
      </c>
      <c r="K636" s="5">
        <v>0</v>
      </c>
      <c r="L636" s="38"/>
      <c r="M636" s="8">
        <v>133200</v>
      </c>
      <c r="N636" s="8">
        <v>0</v>
      </c>
      <c r="O636" s="8">
        <f>SUMIFS(EIAwtransport!$J$2:$J$675,EIAwtransport!$E$2:$E$675,Program_data!$E636,EIAwtransport!$H$2:$H$675,Program_data!$F636,EIAwtransport!$I$2:$I$675,Program_data!O$2)</f>
        <v>0</v>
      </c>
      <c r="P636" s="5">
        <f>SUMIFS(EIAwtransport!$J$2:$J$675,EIAwtransport!$E$2:$E$675,Program_data!$E636,EIAwtransport!$H$2:$H$675,Program_data!$F636,EIAwtransport!$I$2:$I$675,Program_data!P$2)</f>
        <v>0</v>
      </c>
      <c r="Q636" s="5">
        <f>SUMIFS(EIAwtransport!$J$2:$J$675,EIAwtransport!$E$2:$E$675,Program_data!$E636,EIAwtransport!$H$2:$H$675,Program_data!$F636,EIAwtransport!$I$2:$I$675,Program_data!Q$2)</f>
        <v>0</v>
      </c>
      <c r="R636" s="8">
        <f>SUMIFS(EIAwtransport!$J$2:$J$675,EIAwtransport!$E$2:$E$675,Program_data!$E636,EIAwtransport!$I$2:$I$675,Program_data!R$2)</f>
        <v>1429680000</v>
      </c>
      <c r="S636" s="5">
        <f>SUMIFS(EIAwtransport!$J$2:$J$675,EIAwtransport!$E$2:$E$675,Program_data!$E636,EIAwtransport!$I$2:$I$675,Program_data!S$2)</f>
        <v>158285451.98410821</v>
      </c>
      <c r="T636" s="5">
        <f>SUMIFS(EIAwtransport!$J$2:$J$675,EIAwtransport!$E$2:$E$675,Program_data!$E636,EIAwtransport!$I$2:$I$675,Program_data!T$2)</f>
        <v>1074614</v>
      </c>
      <c r="U636" s="24">
        <f t="shared" si="212"/>
        <v>0</v>
      </c>
      <c r="V636" s="24">
        <f t="shared" si="220"/>
        <v>0</v>
      </c>
      <c r="W636" s="24">
        <f t="shared" si="213"/>
        <v>9.3167701863354041E-5</v>
      </c>
      <c r="X636" s="25">
        <f t="shared" si="214"/>
        <v>8.1227571428571399E-5</v>
      </c>
      <c r="Y636" s="8" t="str">
        <f t="shared" si="215"/>
        <v/>
      </c>
      <c r="Z636" s="27">
        <f t="shared" si="216"/>
        <v>1.3760237440367954E-2</v>
      </c>
      <c r="AA636" s="27"/>
      <c r="AB636" s="27"/>
      <c r="AC636" s="56">
        <f t="shared" si="226"/>
        <v>0</v>
      </c>
      <c r="AE636" s="20">
        <f t="shared" si="218"/>
        <v>0</v>
      </c>
      <c r="AF636" s="20">
        <f t="shared" si="219"/>
        <v>1930068000.0000002</v>
      </c>
      <c r="AG636">
        <f t="shared" si="223"/>
        <v>0</v>
      </c>
      <c r="AH636">
        <f t="shared" si="224"/>
        <v>0</v>
      </c>
      <c r="AI636">
        <f t="shared" si="225"/>
        <v>16695949475.283735</v>
      </c>
    </row>
    <row r="637" spans="1:35" x14ac:dyDescent="0.25">
      <c r="B637" s="4">
        <v>2027</v>
      </c>
      <c r="C637" s="4" t="s">
        <v>33</v>
      </c>
      <c r="D637" s="1" t="s">
        <v>81</v>
      </c>
      <c r="E637" s="4" t="str">
        <f t="shared" si="221"/>
        <v>FortisBC-CAN</v>
      </c>
      <c r="F637" s="4" t="s">
        <v>155</v>
      </c>
      <c r="G637" s="4"/>
      <c r="H637" s="11" t="s">
        <v>423</v>
      </c>
      <c r="I637" s="4"/>
      <c r="J637" s="4" t="s">
        <v>155</v>
      </c>
      <c r="K637" s="5">
        <v>0</v>
      </c>
      <c r="L637" s="38"/>
      <c r="M637" s="8">
        <v>92500</v>
      </c>
      <c r="N637" s="8">
        <v>0</v>
      </c>
      <c r="O637" s="8">
        <f>SUMIFS(EIAwtransport!$J$2:$J$675,EIAwtransport!$E$2:$E$675,Program_data!$E637,EIAwtransport!$H$2:$H$675,Program_data!$F637,EIAwtransport!$I$2:$I$675,Program_data!O$2)</f>
        <v>0</v>
      </c>
      <c r="P637" s="5">
        <f>SUMIFS(EIAwtransport!$J$2:$J$675,EIAwtransport!$E$2:$E$675,Program_data!$E637,EIAwtransport!$H$2:$H$675,Program_data!$F637,EIAwtransport!$I$2:$I$675,Program_data!P$2)</f>
        <v>0</v>
      </c>
      <c r="Q637" s="5">
        <f>SUMIFS(EIAwtransport!$J$2:$J$675,EIAwtransport!$E$2:$E$675,Program_data!$E637,EIAwtransport!$H$2:$H$675,Program_data!$F637,EIAwtransport!$I$2:$I$675,Program_data!Q$2)</f>
        <v>0</v>
      </c>
      <c r="R637" s="8">
        <f>SUMIFS(EIAwtransport!$J$2:$J$675,EIAwtransport!$E$2:$E$675,Program_data!$E637,EIAwtransport!$I$2:$I$675,Program_data!R$2)</f>
        <v>1429680000</v>
      </c>
      <c r="S637" s="5">
        <f>SUMIFS(EIAwtransport!$J$2:$J$675,EIAwtransport!$E$2:$E$675,Program_data!$E637,EIAwtransport!$I$2:$I$675,Program_data!S$2)</f>
        <v>158285451.98410821</v>
      </c>
      <c r="T637" s="5">
        <f>SUMIFS(EIAwtransport!$J$2:$J$675,EIAwtransport!$E$2:$E$675,Program_data!$E637,EIAwtransport!$I$2:$I$675,Program_data!T$2)</f>
        <v>1074614</v>
      </c>
      <c r="U637" s="24">
        <f t="shared" si="212"/>
        <v>0</v>
      </c>
      <c r="V637" s="24">
        <f t="shared" si="220"/>
        <v>0</v>
      </c>
      <c r="W637" s="24">
        <f t="shared" si="213"/>
        <v>6.4699792960662531E-5</v>
      </c>
      <c r="X637" s="25">
        <f t="shared" si="214"/>
        <v>5.6408035714285695E-5</v>
      </c>
      <c r="Y637" s="8" t="str">
        <f t="shared" si="215"/>
        <v/>
      </c>
      <c r="Z637" s="27">
        <f t="shared" si="216"/>
        <v>8.6527911744586281E-3</v>
      </c>
      <c r="AA637" s="27"/>
      <c r="AB637" s="27"/>
      <c r="AC637" s="56">
        <f t="shared" si="226"/>
        <v>0</v>
      </c>
      <c r="AE637" s="20">
        <f t="shared" si="218"/>
        <v>0</v>
      </c>
      <c r="AF637" s="20">
        <f t="shared" si="219"/>
        <v>1930068000.0000002</v>
      </c>
      <c r="AG637">
        <f t="shared" si="223"/>
        <v>0</v>
      </c>
      <c r="AH637">
        <f t="shared" si="224"/>
        <v>0</v>
      </c>
      <c r="AI637">
        <f t="shared" si="225"/>
        <v>16695949475.283735</v>
      </c>
    </row>
    <row r="638" spans="1:35" x14ac:dyDescent="0.25">
      <c r="B638" s="4">
        <v>2024</v>
      </c>
      <c r="C638" s="4" t="s">
        <v>49</v>
      </c>
      <c r="D638" s="1" t="s">
        <v>424</v>
      </c>
      <c r="E638" s="4" t="str">
        <f t="shared" si="221"/>
        <v>PSE-WA</v>
      </c>
      <c r="F638" s="4" t="s">
        <v>143</v>
      </c>
      <c r="G638" s="4"/>
      <c r="H638" s="11" t="s">
        <v>425</v>
      </c>
      <c r="I638" s="4"/>
      <c r="J638" s="4" t="s">
        <v>27</v>
      </c>
      <c r="K638" s="5">
        <v>21918</v>
      </c>
      <c r="L638" s="5">
        <f>K638/_xlfn.XLOOKUP(C638,'Utility target list'!$K$2:$K$8,'Utility target list'!$L$2:$L$8,1,0,1)</f>
        <v>21918</v>
      </c>
      <c r="M638" s="8">
        <v>1584340.85</v>
      </c>
      <c r="N638" s="8">
        <v>1513744.25</v>
      </c>
      <c r="O638" s="8">
        <f>SUMIFS(EIAwtransport!$J$2:$J$675,EIAwtransport!$E$2:$E$675,Program_data!$E638,EIAwtransport!$H$2:$H$675,Program_data!$F638,EIAwtransport!$I$2:$I$675,Program_data!O$2)</f>
        <v>0</v>
      </c>
      <c r="P638" s="5">
        <f>SUMIFS(EIAwtransport!$J$2:$J$675,EIAwtransport!$E$2:$E$675,Program_data!$E638,EIAwtransport!$H$2:$H$675,Program_data!$F638,EIAwtransport!$I$2:$I$675,Program_data!P$2)</f>
        <v>0</v>
      </c>
      <c r="Q638" s="5">
        <f>SUMIFS(EIAwtransport!$J$2:$J$675,EIAwtransport!$E$2:$E$675,Program_data!$E638,EIAwtransport!$H$2:$H$675,Program_data!$F638,EIAwtransport!$I$2:$I$675,Program_data!Q$2)</f>
        <v>0</v>
      </c>
      <c r="R638" s="8">
        <f>SUMIFS(EIAwtransport!$J$2:$J$675,EIAwtransport!$E$2:$E$675,Program_data!$E638,EIAwtransport!$I$2:$I$675,Program_data!R$2)</f>
        <v>1056069000</v>
      </c>
      <c r="S638" s="5">
        <f>SUMIFS(EIAwtransport!$J$2:$J$675,EIAwtransport!$E$2:$E$675,Program_data!$E638,EIAwtransport!$I$2:$I$675,Program_data!S$2)</f>
        <v>116976400</v>
      </c>
      <c r="T638" s="5">
        <f>SUMIFS(EIAwtransport!$J$2:$J$675,EIAwtransport!$E$2:$E$675,Program_data!$E638,EIAwtransport!$I$2:$I$675,Program_data!T$2)</f>
        <v>860438</v>
      </c>
      <c r="U638" s="24">
        <f t="shared" si="212"/>
        <v>1.8086016201875473E-5</v>
      </c>
      <c r="V638" s="24">
        <f t="shared" si="220"/>
        <v>1.8086016201875473E-5</v>
      </c>
      <c r="W638" s="24">
        <f t="shared" si="213"/>
        <v>1.5002247485722997E-3</v>
      </c>
      <c r="X638" s="25">
        <f t="shared" si="214"/>
        <v>1.3073462123548295E-3</v>
      </c>
      <c r="Y638" s="8">
        <f t="shared" si="215"/>
        <v>72.284918788210604</v>
      </c>
      <c r="Z638" s="27">
        <f t="shared" si="216"/>
        <v>0.44267886091561776</v>
      </c>
      <c r="AA638" s="32" t="s">
        <v>426</v>
      </c>
      <c r="AB638" s="27"/>
      <c r="AC638" s="56">
        <f t="shared" si="226"/>
        <v>7.5167332657761978E-4</v>
      </c>
      <c r="AE638" s="20">
        <f t="shared" si="218"/>
        <v>2043554.7375</v>
      </c>
      <c r="AF638" s="20">
        <f t="shared" si="219"/>
        <v>1425693150</v>
      </c>
      <c r="AG638">
        <f t="shared" si="223"/>
        <v>2311910.64</v>
      </c>
      <c r="AH638">
        <f t="shared" si="224"/>
        <v>2311910.64</v>
      </c>
      <c r="AI638">
        <f t="shared" si="225"/>
        <v>12338670672</v>
      </c>
    </row>
    <row r="639" spans="1:35" x14ac:dyDescent="0.25">
      <c r="B639" s="4">
        <v>2024</v>
      </c>
      <c r="C639" s="4" t="s">
        <v>49</v>
      </c>
      <c r="D639" s="1" t="s">
        <v>424</v>
      </c>
      <c r="E639" s="4" t="str">
        <f t="shared" si="221"/>
        <v>PSE-WA</v>
      </c>
      <c r="F639" s="4" t="s">
        <v>135</v>
      </c>
      <c r="G639" s="4"/>
      <c r="H639" s="11" t="s">
        <v>427</v>
      </c>
      <c r="I639" s="4"/>
      <c r="J639" s="4" t="s">
        <v>21</v>
      </c>
      <c r="K639" s="5">
        <v>210684.6</v>
      </c>
      <c r="L639" s="5">
        <f>K639/_xlfn.XLOOKUP(C639,'Utility target list'!$K$2:$K$8,'Utility target list'!$L$2:$L$8,1,0,1)</f>
        <v>210684.6</v>
      </c>
      <c r="M639" s="8">
        <v>1567939.2</v>
      </c>
      <c r="N639" s="8">
        <v>1344050</v>
      </c>
      <c r="O639" s="8">
        <f>SUMIFS(EIAwtransport!$J$2:$J$675,EIAwtransport!$E$2:$E$675,Program_data!$E639,EIAwtransport!$H$2:$H$675,Program_data!$F639,EIAwtransport!$I$2:$I$675,Program_data!O$2)</f>
        <v>722022000</v>
      </c>
      <c r="P639" s="5">
        <f>SUMIFS(EIAwtransport!$J$2:$J$675,EIAwtransport!$E$2:$E$675,Program_data!$E639,EIAwtransport!$H$2:$H$675,Program_data!$F639,EIAwtransport!$I$2:$I$675,Program_data!P$2)</f>
        <v>61102800</v>
      </c>
      <c r="Q639" s="5">
        <f>SUMIFS(EIAwtransport!$J$2:$J$675,EIAwtransport!$E$2:$E$675,Program_data!$E639,EIAwtransport!$H$2:$H$675,Program_data!$F639,EIAwtransport!$I$2:$I$675,Program_data!Q$2)</f>
        <v>801186</v>
      </c>
      <c r="R639" s="8">
        <f>SUMIFS(EIAwtransport!$J$2:$J$675,EIAwtransport!$E$2:$E$675,Program_data!$E639,EIAwtransport!$I$2:$I$675,Program_data!R$2)</f>
        <v>1056069000</v>
      </c>
      <c r="S639" s="5">
        <f>SUMIFS(EIAwtransport!$J$2:$J$675,EIAwtransport!$E$2:$E$675,Program_data!$E639,EIAwtransport!$I$2:$I$675,Program_data!S$2)</f>
        <v>116976400</v>
      </c>
      <c r="T639" s="5">
        <f>SUMIFS(EIAwtransport!$J$2:$J$675,EIAwtransport!$E$2:$E$675,Program_data!$E639,EIAwtransport!$I$2:$I$675,Program_data!T$2)</f>
        <v>860438</v>
      </c>
      <c r="U639" s="24">
        <f t="shared" si="212"/>
        <v>1.7385003600171791E-4</v>
      </c>
      <c r="V639" s="24">
        <f t="shared" si="220"/>
        <v>1.7385003600171791E-4</v>
      </c>
      <c r="W639" s="24">
        <f t="shared" si="213"/>
        <v>1.4846938978419024E-3</v>
      </c>
      <c r="X639" s="25">
        <f t="shared" si="214"/>
        <v>1.2938121076172854E-3</v>
      </c>
      <c r="Y639" s="8">
        <f t="shared" si="215"/>
        <v>0.70032736526252826</v>
      </c>
      <c r="Z639" s="27">
        <f t="shared" si="216"/>
        <v>0.438096094688807</v>
      </c>
      <c r="AA639" s="33" t="s">
        <v>428</v>
      </c>
      <c r="AB639" s="27"/>
      <c r="AC639" s="56">
        <f t="shared" si="226"/>
        <v>7.2253852605472764E-3</v>
      </c>
      <c r="AE639" s="20">
        <f t="shared" si="218"/>
        <v>1814467.5000000002</v>
      </c>
      <c r="AF639" s="20">
        <f t="shared" si="219"/>
        <v>1425693150</v>
      </c>
      <c r="AG639">
        <f t="shared" si="223"/>
        <v>22223011.608000003</v>
      </c>
      <c r="AH639">
        <f t="shared" si="224"/>
        <v>22223011.608000003</v>
      </c>
      <c r="AI639">
        <f t="shared" si="225"/>
        <v>12338670672</v>
      </c>
    </row>
    <row r="640" spans="1:35" x14ac:dyDescent="0.25">
      <c r="B640" s="4">
        <v>2024</v>
      </c>
      <c r="C640" s="4" t="s">
        <v>49</v>
      </c>
      <c r="D640" s="1" t="s">
        <v>424</v>
      </c>
      <c r="E640" s="4" t="str">
        <f t="shared" ref="E640:E703" si="227">D640&amp;"-"&amp;C640</f>
        <v>PSE-WA</v>
      </c>
      <c r="F640" s="4" t="s">
        <v>135</v>
      </c>
      <c r="G640" s="4"/>
      <c r="H640" s="11" t="s">
        <v>429</v>
      </c>
      <c r="I640" s="4"/>
      <c r="J640" s="4" t="s">
        <v>21</v>
      </c>
      <c r="K640" s="5">
        <v>61231.1</v>
      </c>
      <c r="L640" s="5">
        <f>K640/_xlfn.XLOOKUP(C640,'Utility target list'!$K$2:$K$8,'Utility target list'!$L$2:$L$8,1,0,1)</f>
        <v>61231.1</v>
      </c>
      <c r="M640" s="8">
        <v>662890.5</v>
      </c>
      <c r="N640" s="8">
        <v>456400</v>
      </c>
      <c r="O640" s="8">
        <f>SUMIFS(EIAwtransport!$J$2:$J$675,EIAwtransport!$E$2:$E$675,Program_data!$E640,EIAwtransport!$H$2:$H$675,Program_data!$F640,EIAwtransport!$I$2:$I$675,Program_data!O$2)</f>
        <v>722022000</v>
      </c>
      <c r="P640" s="5">
        <f>SUMIFS(EIAwtransport!$J$2:$J$675,EIAwtransport!$E$2:$E$675,Program_data!$E640,EIAwtransport!$H$2:$H$675,Program_data!$F640,EIAwtransport!$I$2:$I$675,Program_data!P$2)</f>
        <v>61102800</v>
      </c>
      <c r="Q640" s="5">
        <f>SUMIFS(EIAwtransport!$J$2:$J$675,EIAwtransport!$E$2:$E$675,Program_data!$E640,EIAwtransport!$H$2:$H$675,Program_data!$F640,EIAwtransport!$I$2:$I$675,Program_data!Q$2)</f>
        <v>801186</v>
      </c>
      <c r="R640" s="8">
        <f>SUMIFS(EIAwtransport!$J$2:$J$675,EIAwtransport!$E$2:$E$675,Program_data!$E640,EIAwtransport!$I$2:$I$675,Program_data!R$2)</f>
        <v>1056069000</v>
      </c>
      <c r="S640" s="5">
        <f>SUMIFS(EIAwtransport!$J$2:$J$675,EIAwtransport!$E$2:$E$675,Program_data!$E640,EIAwtransport!$I$2:$I$675,Program_data!S$2)</f>
        <v>116976400</v>
      </c>
      <c r="T640" s="5">
        <f>SUMIFS(EIAwtransport!$J$2:$J$675,EIAwtransport!$E$2:$E$675,Program_data!$E640,EIAwtransport!$I$2:$I$675,Program_data!T$2)</f>
        <v>860438</v>
      </c>
      <c r="U640" s="24">
        <f t="shared" ref="U640:U658" si="228">IFERROR(K640/10.36/S640,"")</f>
        <v>5.0525899564680045E-5</v>
      </c>
      <c r="V640" s="24">
        <f t="shared" si="220"/>
        <v>5.0525899564680045E-5</v>
      </c>
      <c r="W640" s="24">
        <f t="shared" ref="W640:W658" si="229">IFERROR(M640/R640,"")</f>
        <v>6.2769620166864095E-4</v>
      </c>
      <c r="X640" s="25">
        <f t="shared" ref="X640:X658" si="230">IFERROR(M640/S640/10.36,"")</f>
        <v>5.4699554352903243E-4</v>
      </c>
      <c r="Y640" s="8">
        <f t="shared" si="215"/>
        <v>0.29608313723042323</v>
      </c>
      <c r="Z640" s="27">
        <f t="shared" si="216"/>
        <v>0.18521747479513914</v>
      </c>
      <c r="AA640" s="27"/>
      <c r="AB640" s="27"/>
      <c r="AC640" s="56">
        <f t="shared" si="226"/>
        <v>2.0999080494117574E-3</v>
      </c>
      <c r="AE640" s="20">
        <f t="shared" si="218"/>
        <v>616140</v>
      </c>
      <c r="AF640" s="20">
        <f t="shared" si="219"/>
        <v>1425693150</v>
      </c>
      <c r="AG640">
        <f t="shared" si="223"/>
        <v>6458656.4280000003</v>
      </c>
      <c r="AH640">
        <f t="shared" si="224"/>
        <v>6458656.4280000003</v>
      </c>
      <c r="AI640">
        <f t="shared" si="225"/>
        <v>12338670672</v>
      </c>
    </row>
    <row r="641" spans="2:35" x14ac:dyDescent="0.25">
      <c r="B641" s="4">
        <v>2024</v>
      </c>
      <c r="C641" s="4" t="s">
        <v>49</v>
      </c>
      <c r="D641" s="1" t="s">
        <v>424</v>
      </c>
      <c r="E641" s="4" t="str">
        <f t="shared" si="227"/>
        <v>PSE-WA</v>
      </c>
      <c r="F641" s="4" t="s">
        <v>135</v>
      </c>
      <c r="G641" s="4"/>
      <c r="H641" s="11" t="s">
        <v>430</v>
      </c>
      <c r="I641" s="4"/>
      <c r="J641" s="4" t="s">
        <v>21</v>
      </c>
      <c r="K641" s="5">
        <v>4836</v>
      </c>
      <c r="L641" s="5">
        <f>K641/_xlfn.XLOOKUP(C641,'Utility target list'!$K$2:$K$8,'Utility target list'!$L$2:$L$8,1,0,1)</f>
        <v>4836</v>
      </c>
      <c r="M641" s="8">
        <v>0</v>
      </c>
      <c r="N641" s="8">
        <v>0</v>
      </c>
      <c r="O641" s="8">
        <f>SUMIFS(EIAwtransport!$J$2:$J$675,EIAwtransport!$E$2:$E$675,Program_data!$E641,EIAwtransport!$H$2:$H$675,Program_data!$F641,EIAwtransport!$I$2:$I$675,Program_data!O$2)</f>
        <v>722022000</v>
      </c>
      <c r="P641" s="5">
        <f>SUMIFS(EIAwtransport!$J$2:$J$675,EIAwtransport!$E$2:$E$675,Program_data!$E641,EIAwtransport!$H$2:$H$675,Program_data!$F641,EIAwtransport!$I$2:$I$675,Program_data!P$2)</f>
        <v>61102800</v>
      </c>
      <c r="Q641" s="5">
        <f>SUMIFS(EIAwtransport!$J$2:$J$675,EIAwtransport!$E$2:$E$675,Program_data!$E641,EIAwtransport!$H$2:$H$675,Program_data!$F641,EIAwtransport!$I$2:$I$675,Program_data!Q$2)</f>
        <v>801186</v>
      </c>
      <c r="R641" s="8">
        <f>SUMIFS(EIAwtransport!$J$2:$J$675,EIAwtransport!$E$2:$E$675,Program_data!$E641,EIAwtransport!$I$2:$I$675,Program_data!R$2)</f>
        <v>1056069000</v>
      </c>
      <c r="S641" s="5">
        <f>SUMIFS(EIAwtransport!$J$2:$J$675,EIAwtransport!$E$2:$E$675,Program_data!$E641,EIAwtransport!$I$2:$I$675,Program_data!S$2)</f>
        <v>116976400</v>
      </c>
      <c r="T641" s="5">
        <f>SUMIFS(EIAwtransport!$J$2:$J$675,EIAwtransport!$E$2:$E$675,Program_data!$E641,EIAwtransport!$I$2:$I$675,Program_data!T$2)</f>
        <v>860438</v>
      </c>
      <c r="U641" s="24">
        <f t="shared" si="228"/>
        <v>3.9905089128693204E-6</v>
      </c>
      <c r="V641" s="24">
        <f t="shared" si="220"/>
        <v>3.9905089128693204E-6</v>
      </c>
      <c r="W641" s="24">
        <f t="shared" si="229"/>
        <v>0</v>
      </c>
      <c r="X641" s="25">
        <f t="shared" si="230"/>
        <v>0</v>
      </c>
      <c r="Y641" s="8">
        <f t="shared" si="215"/>
        <v>0</v>
      </c>
      <c r="Z641" s="27">
        <f t="shared" si="216"/>
        <v>0</v>
      </c>
      <c r="AA641" s="27"/>
      <c r="AB641" s="27"/>
      <c r="AC641" s="56">
        <f t="shared" si="226"/>
        <v>1.6584963077513319E-4</v>
      </c>
      <c r="AE641" s="20">
        <f t="shared" si="218"/>
        <v>0</v>
      </c>
      <c r="AF641" s="20">
        <f t="shared" si="219"/>
        <v>1425693150</v>
      </c>
      <c r="AG641">
        <f t="shared" si="223"/>
        <v>510101.28</v>
      </c>
      <c r="AH641">
        <f t="shared" si="224"/>
        <v>510101.28</v>
      </c>
      <c r="AI641">
        <f t="shared" si="225"/>
        <v>12338670672</v>
      </c>
    </row>
    <row r="642" spans="2:35" x14ac:dyDescent="0.25">
      <c r="B642" s="4">
        <v>2024</v>
      </c>
      <c r="C642" s="4" t="s">
        <v>49</v>
      </c>
      <c r="D642" s="1" t="s">
        <v>424</v>
      </c>
      <c r="E642" s="4" t="str">
        <f t="shared" si="227"/>
        <v>PSE-WA</v>
      </c>
      <c r="F642" s="4" t="s">
        <v>135</v>
      </c>
      <c r="G642" s="4"/>
      <c r="H642" s="11" t="s">
        <v>431</v>
      </c>
      <c r="I642" s="4"/>
      <c r="J642" s="4" t="s">
        <v>21</v>
      </c>
      <c r="K642" s="5">
        <v>291510.59999999998</v>
      </c>
      <c r="L642" s="5">
        <f>K642/_xlfn.XLOOKUP(C642,'Utility target list'!$K$2:$K$8,'Utility target list'!$L$2:$L$8,1,0,1)</f>
        <v>291510.59999999998</v>
      </c>
      <c r="M642" s="8">
        <v>2172016.2000000002</v>
      </c>
      <c r="N642" s="8">
        <v>1351050</v>
      </c>
      <c r="O642" s="8">
        <f>SUMIFS(EIAwtransport!$J$2:$J$675,EIAwtransport!$E$2:$E$675,Program_data!$E642,EIAwtransport!$H$2:$H$675,Program_data!$F642,EIAwtransport!$I$2:$I$675,Program_data!O$2)</f>
        <v>722022000</v>
      </c>
      <c r="P642" s="5">
        <f>SUMIFS(EIAwtransport!$J$2:$J$675,EIAwtransport!$E$2:$E$675,Program_data!$E642,EIAwtransport!$H$2:$H$675,Program_data!$F642,EIAwtransport!$I$2:$I$675,Program_data!P$2)</f>
        <v>61102800</v>
      </c>
      <c r="Q642" s="5">
        <f>SUMIFS(EIAwtransport!$J$2:$J$675,EIAwtransport!$E$2:$E$675,Program_data!$E642,EIAwtransport!$H$2:$H$675,Program_data!$F642,EIAwtransport!$I$2:$I$675,Program_data!Q$2)</f>
        <v>801186</v>
      </c>
      <c r="R642" s="8">
        <f>SUMIFS(EIAwtransport!$J$2:$J$675,EIAwtransport!$E$2:$E$675,Program_data!$E642,EIAwtransport!$I$2:$I$675,Program_data!R$2)</f>
        <v>1056069000</v>
      </c>
      <c r="S642" s="5">
        <f>SUMIFS(EIAwtransport!$J$2:$J$675,EIAwtransport!$E$2:$E$675,Program_data!$E642,EIAwtransport!$I$2:$I$675,Program_data!S$2)</f>
        <v>116976400</v>
      </c>
      <c r="T642" s="5">
        <f>SUMIFS(EIAwtransport!$J$2:$J$675,EIAwtransport!$E$2:$E$675,Program_data!$E642,EIAwtransport!$I$2:$I$675,Program_data!T$2)</f>
        <v>860438</v>
      </c>
      <c r="U642" s="24">
        <f t="shared" si="228"/>
        <v>2.4054500568566653E-4</v>
      </c>
      <c r="V642" s="24">
        <f t="shared" si="220"/>
        <v>2.4054500568566653E-4</v>
      </c>
      <c r="W642" s="24">
        <f t="shared" si="229"/>
        <v>2.0566991361359913E-3</v>
      </c>
      <c r="X642" s="25">
        <f t="shared" si="230"/>
        <v>1.7922766759711651E-3</v>
      </c>
      <c r="Y642" s="8">
        <f t="shared" si="215"/>
        <v>0.97014117808492117</v>
      </c>
      <c r="Z642" s="27">
        <f t="shared" si="216"/>
        <v>0.60688055686140308</v>
      </c>
      <c r="AA642" s="27"/>
      <c r="AB642" s="27"/>
      <c r="AC642" s="56">
        <f t="shared" si="226"/>
        <v>9.9972963972368781E-3</v>
      </c>
      <c r="AE642" s="20">
        <f t="shared" si="218"/>
        <v>1823917.5000000002</v>
      </c>
      <c r="AF642" s="20">
        <f t="shared" si="219"/>
        <v>1425693150</v>
      </c>
      <c r="AG642">
        <f t="shared" si="223"/>
        <v>30748538.088</v>
      </c>
      <c r="AH642">
        <f t="shared" si="224"/>
        <v>30748538.088</v>
      </c>
      <c r="AI642">
        <f t="shared" si="225"/>
        <v>12338670672</v>
      </c>
    </row>
    <row r="643" spans="2:35" x14ac:dyDescent="0.25">
      <c r="B643" s="4">
        <v>2024</v>
      </c>
      <c r="C643" s="4" t="s">
        <v>49</v>
      </c>
      <c r="D643" s="1" t="s">
        <v>424</v>
      </c>
      <c r="E643" s="4" t="str">
        <f t="shared" si="227"/>
        <v>PSE-WA</v>
      </c>
      <c r="F643" s="4" t="s">
        <v>135</v>
      </c>
      <c r="G643" s="4"/>
      <c r="H643" s="11" t="s">
        <v>432</v>
      </c>
      <c r="I643" s="4"/>
      <c r="J643" s="4" t="s">
        <v>27</v>
      </c>
      <c r="K643" s="5">
        <v>334873.13429999998</v>
      </c>
      <c r="L643" s="5">
        <f>K643/_xlfn.XLOOKUP(C643,'Utility target list'!$K$2:$K$8,'Utility target list'!$L$2:$L$8,1,0,1)</f>
        <v>334873.13429999998</v>
      </c>
      <c r="M643" s="8">
        <v>7117960.5000000009</v>
      </c>
      <c r="N643" s="8">
        <v>6573783.8000000007</v>
      </c>
      <c r="O643" s="8">
        <f>SUMIFS(EIAwtransport!$J$2:$J$675,EIAwtransport!$E$2:$E$675,Program_data!$E643,EIAwtransport!$H$2:$H$675,Program_data!$F643,EIAwtransport!$I$2:$I$675,Program_data!O$2)</f>
        <v>722022000</v>
      </c>
      <c r="P643" s="5">
        <f>SUMIFS(EIAwtransport!$J$2:$J$675,EIAwtransport!$E$2:$E$675,Program_data!$E643,EIAwtransport!$H$2:$H$675,Program_data!$F643,EIAwtransport!$I$2:$I$675,Program_data!P$2)</f>
        <v>61102800</v>
      </c>
      <c r="Q643" s="5">
        <f>SUMIFS(EIAwtransport!$J$2:$J$675,EIAwtransport!$E$2:$E$675,Program_data!$E643,EIAwtransport!$H$2:$H$675,Program_data!$F643,EIAwtransport!$I$2:$I$675,Program_data!Q$2)</f>
        <v>801186</v>
      </c>
      <c r="R643" s="8">
        <f>SUMIFS(EIAwtransport!$J$2:$J$675,EIAwtransport!$E$2:$E$675,Program_data!$E643,EIAwtransport!$I$2:$I$675,Program_data!R$2)</f>
        <v>1056069000</v>
      </c>
      <c r="S643" s="5">
        <f>SUMIFS(EIAwtransport!$J$2:$J$675,EIAwtransport!$E$2:$E$675,Program_data!$E643,EIAwtransport!$I$2:$I$675,Program_data!S$2)</f>
        <v>116976400</v>
      </c>
      <c r="T643" s="5">
        <f>SUMIFS(EIAwtransport!$J$2:$J$675,EIAwtransport!$E$2:$E$675,Program_data!$E643,EIAwtransport!$I$2:$I$675,Program_data!T$2)</f>
        <v>860438</v>
      </c>
      <c r="U643" s="24">
        <f t="shared" si="228"/>
        <v>2.7632634969078471E-4</v>
      </c>
      <c r="V643" s="24">
        <f t="shared" si="220"/>
        <v>2.7632634969078471E-4</v>
      </c>
      <c r="W643" s="24">
        <f t="shared" si="229"/>
        <v>6.7400524965698276E-3</v>
      </c>
      <c r="X643" s="25">
        <f t="shared" si="230"/>
        <v>5.8735080266132693E-3</v>
      </c>
      <c r="Y643" s="8">
        <f t="shared" si="215"/>
        <v>3.1792702950520972</v>
      </c>
      <c r="Z643" s="27">
        <f t="shared" si="216"/>
        <v>1.9888211846474586</v>
      </c>
      <c r="AA643" s="27"/>
      <c r="AB643" s="27"/>
      <c r="AC643" s="56">
        <f t="shared" si="226"/>
        <v>1.1484405641060088E-2</v>
      </c>
      <c r="AE643" s="20">
        <f t="shared" si="218"/>
        <v>8874608.1300000008</v>
      </c>
      <c r="AF643" s="20">
        <f t="shared" si="219"/>
        <v>1425693150</v>
      </c>
      <c r="AG643">
        <f t="shared" si="223"/>
        <v>35322418.205963999</v>
      </c>
      <c r="AH643">
        <f t="shared" si="224"/>
        <v>35322418.205963999</v>
      </c>
      <c r="AI643">
        <f t="shared" si="225"/>
        <v>12338670672</v>
      </c>
    </row>
    <row r="644" spans="2:35" x14ac:dyDescent="0.25">
      <c r="B644" s="4">
        <v>2024</v>
      </c>
      <c r="C644" s="4" t="s">
        <v>49</v>
      </c>
      <c r="D644" s="1" t="s">
        <v>424</v>
      </c>
      <c r="E644" s="4" t="str">
        <f t="shared" si="227"/>
        <v>PSE-WA</v>
      </c>
      <c r="F644" s="4" t="s">
        <v>135</v>
      </c>
      <c r="G644" s="4"/>
      <c r="H644" s="11" t="s">
        <v>433</v>
      </c>
      <c r="I644" s="4"/>
      <c r="J644" s="4" t="s">
        <v>157</v>
      </c>
      <c r="K644" s="5">
        <v>1244780.1099999999</v>
      </c>
      <c r="L644" s="5">
        <f>K644/_xlfn.XLOOKUP(C644,'Utility target list'!$K$2:$K$8,'Utility target list'!$L$2:$L$8,1,0,1)</f>
        <v>1244780.1099999999</v>
      </c>
      <c r="M644" s="8">
        <v>1934234.59</v>
      </c>
      <c r="N644" s="8">
        <v>910192.29</v>
      </c>
      <c r="O644" s="8">
        <f>SUMIFS(EIAwtransport!$J$2:$J$675,EIAwtransport!$E$2:$E$675,Program_data!$E644,EIAwtransport!$H$2:$H$675,Program_data!$F644,EIAwtransport!$I$2:$I$675,Program_data!O$2)</f>
        <v>722022000</v>
      </c>
      <c r="P644" s="5">
        <f>SUMIFS(EIAwtransport!$J$2:$J$675,EIAwtransport!$E$2:$E$675,Program_data!$E644,EIAwtransport!$H$2:$H$675,Program_data!$F644,EIAwtransport!$I$2:$I$675,Program_data!P$2)</f>
        <v>61102800</v>
      </c>
      <c r="Q644" s="5">
        <f>SUMIFS(EIAwtransport!$J$2:$J$675,EIAwtransport!$E$2:$E$675,Program_data!$E644,EIAwtransport!$H$2:$H$675,Program_data!$F644,EIAwtransport!$I$2:$I$675,Program_data!Q$2)</f>
        <v>801186</v>
      </c>
      <c r="R644" s="8">
        <f>SUMIFS(EIAwtransport!$J$2:$J$675,EIAwtransport!$E$2:$E$675,Program_data!$E644,EIAwtransport!$I$2:$I$675,Program_data!R$2)</f>
        <v>1056069000</v>
      </c>
      <c r="S644" s="5">
        <f>SUMIFS(EIAwtransport!$J$2:$J$675,EIAwtransport!$E$2:$E$675,Program_data!$E644,EIAwtransport!$I$2:$I$675,Program_data!S$2)</f>
        <v>116976400</v>
      </c>
      <c r="T644" s="5">
        <f>SUMIFS(EIAwtransport!$J$2:$J$675,EIAwtransport!$E$2:$E$675,Program_data!$E644,EIAwtransport!$I$2:$I$675,Program_data!T$2)</f>
        <v>860438</v>
      </c>
      <c r="U644" s="24">
        <f t="shared" si="228"/>
        <v>1.0271518038704412E-3</v>
      </c>
      <c r="V644" s="24">
        <f t="shared" si="220"/>
        <v>1.0271518038704412E-3</v>
      </c>
      <c r="W644" s="24">
        <f t="shared" si="229"/>
        <v>1.831541868949851E-3</v>
      </c>
      <c r="X644" s="25">
        <f t="shared" si="230"/>
        <v>1.5960670742297637E-3</v>
      </c>
      <c r="Y644" s="8">
        <f t="shared" ref="Y644:Y707" si="231">IFERROR(M644/SUMIFS($K$3:$K$1492,$E$3:$E$1492,E644,$B$3:$B$1492,B644,$F$3:$F$1492,F644,$A$3:$A$1492,""),"")</f>
        <v>0.86393491164347869</v>
      </c>
      <c r="Z644" s="27">
        <f t="shared" ref="Z644:Z707" si="232">IFERROR(M644/SUMIFS($K$3:$K$1492,$E$3:$E$1492,E644,$B$3:$B$1492,B644,$A$3:$A$1492,""),"")</f>
        <v>0.54044226975829535</v>
      </c>
      <c r="AA644" s="27"/>
      <c r="AB644" s="27"/>
      <c r="AC644" s="56">
        <f t="shared" si="226"/>
        <v>4.2689479247255926E-2</v>
      </c>
      <c r="AE644" s="20">
        <f t="shared" si="218"/>
        <v>1228759.5915000001</v>
      </c>
      <c r="AF644" s="20">
        <f t="shared" si="219"/>
        <v>1425693150</v>
      </c>
      <c r="AG644">
        <f t="shared" si="223"/>
        <v>131299406.00279999</v>
      </c>
      <c r="AH644">
        <f t="shared" si="224"/>
        <v>131299406.00279999</v>
      </c>
      <c r="AI644">
        <f t="shared" si="225"/>
        <v>12338670672</v>
      </c>
    </row>
    <row r="645" spans="2:35" x14ac:dyDescent="0.25">
      <c r="B645" s="4">
        <v>2024</v>
      </c>
      <c r="C645" s="4" t="s">
        <v>49</v>
      </c>
      <c r="D645" s="1" t="s">
        <v>424</v>
      </c>
      <c r="E645" s="4" t="str">
        <f t="shared" si="227"/>
        <v>PSE-WA</v>
      </c>
      <c r="F645" s="4" t="s">
        <v>135</v>
      </c>
      <c r="G645" s="4"/>
      <c r="H645" s="11" t="s">
        <v>434</v>
      </c>
      <c r="I645" s="4"/>
      <c r="J645" s="4" t="s">
        <v>21</v>
      </c>
      <c r="K645" s="5">
        <v>71727</v>
      </c>
      <c r="L645" s="5">
        <f>K645/_xlfn.XLOOKUP(C645,'Utility target list'!$K$2:$K$8,'Utility target list'!$L$2:$L$8,1,0,1)</f>
        <v>71727</v>
      </c>
      <c r="M645" s="8">
        <v>510345</v>
      </c>
      <c r="N645" s="8">
        <v>366650</v>
      </c>
      <c r="O645" s="8">
        <f>SUMIFS(EIAwtransport!$J$2:$J$675,EIAwtransport!$E$2:$E$675,Program_data!$E645,EIAwtransport!$H$2:$H$675,Program_data!$F645,EIAwtransport!$I$2:$I$675,Program_data!O$2)</f>
        <v>722022000</v>
      </c>
      <c r="P645" s="5">
        <f>SUMIFS(EIAwtransport!$J$2:$J$675,EIAwtransport!$E$2:$E$675,Program_data!$E645,EIAwtransport!$H$2:$H$675,Program_data!$F645,EIAwtransport!$I$2:$I$675,Program_data!P$2)</f>
        <v>61102800</v>
      </c>
      <c r="Q645" s="5">
        <f>SUMIFS(EIAwtransport!$J$2:$J$675,EIAwtransport!$E$2:$E$675,Program_data!$E645,EIAwtransport!$H$2:$H$675,Program_data!$F645,EIAwtransport!$I$2:$I$675,Program_data!Q$2)</f>
        <v>801186</v>
      </c>
      <c r="R645" s="8">
        <f>SUMIFS(EIAwtransport!$J$2:$J$675,EIAwtransport!$E$2:$E$675,Program_data!$E645,EIAwtransport!$I$2:$I$675,Program_data!R$2)</f>
        <v>1056069000</v>
      </c>
      <c r="S645" s="5">
        <f>SUMIFS(EIAwtransport!$J$2:$J$675,EIAwtransport!$E$2:$E$675,Program_data!$E645,EIAwtransport!$I$2:$I$675,Program_data!S$2)</f>
        <v>116976400</v>
      </c>
      <c r="T645" s="5">
        <f>SUMIFS(EIAwtransport!$J$2:$J$675,EIAwtransport!$E$2:$E$675,Program_data!$E645,EIAwtransport!$I$2:$I$675,Program_data!T$2)</f>
        <v>860438</v>
      </c>
      <c r="U645" s="24">
        <f t="shared" si="228"/>
        <v>5.9186772703345284E-5</v>
      </c>
      <c r="V645" s="24">
        <f t="shared" si="220"/>
        <v>5.9186772703345284E-5</v>
      </c>
      <c r="W645" s="24">
        <f t="shared" si="229"/>
        <v>4.832496740269812E-4</v>
      </c>
      <c r="X645" s="25">
        <f t="shared" si="230"/>
        <v>4.2111998989625586E-4</v>
      </c>
      <c r="Y645" s="8">
        <f t="shared" si="231"/>
        <v>0.22794797733541261</v>
      </c>
      <c r="Z645" s="27">
        <f t="shared" si="232"/>
        <v>0.14259491148888886</v>
      </c>
      <c r="AA645" s="27"/>
      <c r="AB645" s="27"/>
      <c r="AC645" s="56">
        <f t="shared" si="226"/>
        <v>2.4598627929296895E-3</v>
      </c>
      <c r="AE645" s="20">
        <f t="shared" si="218"/>
        <v>494977.50000000006</v>
      </c>
      <c r="AF645" s="20">
        <f t="shared" si="219"/>
        <v>1425693150</v>
      </c>
      <c r="AG645">
        <f t="shared" si="223"/>
        <v>7565763.96</v>
      </c>
      <c r="AH645">
        <f t="shared" si="224"/>
        <v>7565763.96</v>
      </c>
      <c r="AI645">
        <f t="shared" si="225"/>
        <v>12338670672</v>
      </c>
    </row>
    <row r="646" spans="2:35" x14ac:dyDescent="0.25">
      <c r="B646" s="4">
        <v>2024</v>
      </c>
      <c r="C646" s="4" t="s">
        <v>49</v>
      </c>
      <c r="D646" s="1" t="s">
        <v>424</v>
      </c>
      <c r="E646" s="4" t="str">
        <f t="shared" si="227"/>
        <v>PSE-WA</v>
      </c>
      <c r="F646" s="4" t="s">
        <v>135</v>
      </c>
      <c r="G646" s="4"/>
      <c r="H646" s="11" t="s">
        <v>435</v>
      </c>
      <c r="I646" s="4"/>
      <c r="J646" s="4" t="s">
        <v>32</v>
      </c>
      <c r="K646" s="5">
        <v>547.4</v>
      </c>
      <c r="L646" s="5">
        <f>K646/_xlfn.XLOOKUP(C646,'Utility target list'!$K$2:$K$8,'Utility target list'!$L$2:$L$8,1,0,1)</f>
        <v>547.4</v>
      </c>
      <c r="M646" s="8">
        <v>14800</v>
      </c>
      <c r="N646" s="8">
        <v>14800</v>
      </c>
      <c r="O646" s="8">
        <f>SUMIFS(EIAwtransport!$J$2:$J$675,EIAwtransport!$E$2:$E$675,Program_data!$E646,EIAwtransport!$H$2:$H$675,Program_data!$F646,EIAwtransport!$I$2:$I$675,Program_data!O$2)</f>
        <v>722022000</v>
      </c>
      <c r="P646" s="5">
        <f>SUMIFS(EIAwtransport!$J$2:$J$675,EIAwtransport!$E$2:$E$675,Program_data!$E646,EIAwtransport!$H$2:$H$675,Program_data!$F646,EIAwtransport!$I$2:$I$675,Program_data!P$2)</f>
        <v>61102800</v>
      </c>
      <c r="Q646" s="5">
        <f>SUMIFS(EIAwtransport!$J$2:$J$675,EIAwtransport!$E$2:$E$675,Program_data!$E646,EIAwtransport!$H$2:$H$675,Program_data!$F646,EIAwtransport!$I$2:$I$675,Program_data!Q$2)</f>
        <v>801186</v>
      </c>
      <c r="R646" s="8">
        <f>SUMIFS(EIAwtransport!$J$2:$J$675,EIAwtransport!$E$2:$E$675,Program_data!$E646,EIAwtransport!$I$2:$I$675,Program_data!R$2)</f>
        <v>1056069000</v>
      </c>
      <c r="S646" s="5">
        <f>SUMIFS(EIAwtransport!$J$2:$J$675,EIAwtransport!$E$2:$E$675,Program_data!$E646,EIAwtransport!$I$2:$I$675,Program_data!S$2)</f>
        <v>116976400</v>
      </c>
      <c r="T646" s="5">
        <f>SUMIFS(EIAwtransport!$J$2:$J$675,EIAwtransport!$E$2:$E$675,Program_data!$E646,EIAwtransport!$I$2:$I$675,Program_data!T$2)</f>
        <v>860438</v>
      </c>
      <c r="U646" s="24">
        <f t="shared" si="228"/>
        <v>4.5169656304893841E-7</v>
      </c>
      <c r="V646" s="24">
        <f t="shared" si="220"/>
        <v>4.5169656304893841E-7</v>
      </c>
      <c r="W646" s="24">
        <f t="shared" si="229"/>
        <v>1.4014235812243328E-5</v>
      </c>
      <c r="X646" s="25">
        <f t="shared" si="230"/>
        <v>1.2212475581155075E-5</v>
      </c>
      <c r="Y646" s="8">
        <f t="shared" si="231"/>
        <v>6.6104891094536178E-3</v>
      </c>
      <c r="Z646" s="27">
        <f t="shared" si="232"/>
        <v>4.135251036133508E-3</v>
      </c>
      <c r="AA646" s="27"/>
      <c r="AB646" s="27"/>
      <c r="AC646" s="56">
        <f t="shared" si="226"/>
        <v>1.8772971026945391E-5</v>
      </c>
      <c r="AE646" s="20">
        <f t="shared" si="218"/>
        <v>19980</v>
      </c>
      <c r="AF646" s="20">
        <f t="shared" si="219"/>
        <v>1425693150</v>
      </c>
      <c r="AG646">
        <f t="shared" si="223"/>
        <v>57739.752</v>
      </c>
      <c r="AH646">
        <f t="shared" si="224"/>
        <v>57739.752</v>
      </c>
      <c r="AI646">
        <f t="shared" si="225"/>
        <v>12338670672</v>
      </c>
    </row>
    <row r="647" spans="2:35" x14ac:dyDescent="0.25">
      <c r="B647" s="4">
        <v>2024</v>
      </c>
      <c r="C647" s="4" t="s">
        <v>49</v>
      </c>
      <c r="D647" s="1" t="s">
        <v>424</v>
      </c>
      <c r="E647" s="4" t="str">
        <f t="shared" si="227"/>
        <v>PSE-WA</v>
      </c>
      <c r="F647" s="4" t="s">
        <v>143</v>
      </c>
      <c r="G647" s="4"/>
      <c r="H647" s="11" t="s">
        <v>436</v>
      </c>
      <c r="I647" s="4"/>
      <c r="J647" s="4" t="s">
        <v>155</v>
      </c>
      <c r="K647" s="5">
        <v>0</v>
      </c>
      <c r="L647" s="28"/>
      <c r="M647" s="8">
        <v>75866</v>
      </c>
      <c r="N647" s="8">
        <v>0</v>
      </c>
      <c r="O647" s="8">
        <f>SUMIFS(EIAwtransport!$J$2:$J$675,EIAwtransport!$E$2:$E$675,Program_data!$E647,EIAwtransport!$H$2:$H$675,Program_data!$F647,EIAwtransport!$I$2:$I$675,Program_data!O$2)</f>
        <v>0</v>
      </c>
      <c r="P647" s="5">
        <f>SUMIFS(EIAwtransport!$J$2:$J$675,EIAwtransport!$E$2:$E$675,Program_data!$E647,EIAwtransport!$H$2:$H$675,Program_data!$F647,EIAwtransport!$I$2:$I$675,Program_data!P$2)</f>
        <v>0</v>
      </c>
      <c r="Q647" s="5">
        <f>SUMIFS(EIAwtransport!$J$2:$J$675,EIAwtransport!$E$2:$E$675,Program_data!$E647,EIAwtransport!$H$2:$H$675,Program_data!$F647,EIAwtransport!$I$2:$I$675,Program_data!Q$2)</f>
        <v>0</v>
      </c>
      <c r="R647" s="8">
        <f>SUMIFS(EIAwtransport!$J$2:$J$675,EIAwtransport!$E$2:$E$675,Program_data!$E647,EIAwtransport!$I$2:$I$675,Program_data!R$2)</f>
        <v>1056069000</v>
      </c>
      <c r="S647" s="5">
        <f>SUMIFS(EIAwtransport!$J$2:$J$675,EIAwtransport!$E$2:$E$675,Program_data!$E647,EIAwtransport!$I$2:$I$675,Program_data!S$2)</f>
        <v>116976400</v>
      </c>
      <c r="T647" s="5">
        <f>SUMIFS(EIAwtransport!$J$2:$J$675,EIAwtransport!$E$2:$E$675,Program_data!$E647,EIAwtransport!$I$2:$I$675,Program_data!T$2)</f>
        <v>860438</v>
      </c>
      <c r="U647" s="24">
        <f t="shared" si="228"/>
        <v>0</v>
      </c>
      <c r="V647" s="24">
        <f t="shared" si="220"/>
        <v>0</v>
      </c>
      <c r="W647" s="24">
        <f t="shared" si="229"/>
        <v>7.183810906294948E-5</v>
      </c>
      <c r="X647" s="25">
        <f t="shared" si="230"/>
        <v>6.2602140029723719E-5</v>
      </c>
      <c r="Y647" s="8">
        <f t="shared" si="231"/>
        <v>3.4613559631353223</v>
      </c>
      <c r="Z647" s="27">
        <f t="shared" si="232"/>
        <v>2.1197632101844912E-2</v>
      </c>
      <c r="AA647" s="27"/>
      <c r="AB647" s="27"/>
      <c r="AC647" s="56">
        <f t="shared" si="226"/>
        <v>0</v>
      </c>
      <c r="AE647" s="20">
        <f t="shared" si="218"/>
        <v>0</v>
      </c>
      <c r="AF647" s="20">
        <f t="shared" si="219"/>
        <v>1425693150</v>
      </c>
      <c r="AG647">
        <f t="shared" si="223"/>
        <v>0</v>
      </c>
      <c r="AH647">
        <f t="shared" si="224"/>
        <v>0</v>
      </c>
      <c r="AI647">
        <f t="shared" si="225"/>
        <v>12338670672</v>
      </c>
    </row>
    <row r="648" spans="2:35" x14ac:dyDescent="0.25">
      <c r="B648" s="4">
        <v>2024</v>
      </c>
      <c r="C648" s="4" t="s">
        <v>49</v>
      </c>
      <c r="D648" s="1" t="s">
        <v>424</v>
      </c>
      <c r="E648" s="4" t="str">
        <f t="shared" si="227"/>
        <v>PSE-WA</v>
      </c>
      <c r="F648" s="4" t="s">
        <v>135</v>
      </c>
      <c r="G648" s="4"/>
      <c r="H648" s="11" t="s">
        <v>437</v>
      </c>
      <c r="I648" s="4"/>
      <c r="J648" s="4" t="s">
        <v>21</v>
      </c>
      <c r="K648" s="5">
        <v>14676.16</v>
      </c>
      <c r="L648" s="5">
        <f>K648/_xlfn.XLOOKUP(C648,'Utility target list'!$K$2:$K$8,'Utility target list'!$L$2:$L$8,1,0,1)</f>
        <v>14676.16</v>
      </c>
      <c r="M648" s="8">
        <v>279950.28000000003</v>
      </c>
      <c r="N648" s="8">
        <v>167802.5</v>
      </c>
      <c r="O648" s="8">
        <f>SUMIFS(EIAwtransport!$J$2:$J$675,EIAwtransport!$E$2:$E$675,Program_data!$E648,EIAwtransport!$H$2:$H$675,Program_data!$F648,EIAwtransport!$I$2:$I$675,Program_data!O$2)</f>
        <v>722022000</v>
      </c>
      <c r="P648" s="5">
        <f>SUMIFS(EIAwtransport!$J$2:$J$675,EIAwtransport!$E$2:$E$675,Program_data!$E648,EIAwtransport!$H$2:$H$675,Program_data!$F648,EIAwtransport!$I$2:$I$675,Program_data!P$2)</f>
        <v>61102800</v>
      </c>
      <c r="Q648" s="5">
        <f>SUMIFS(EIAwtransport!$J$2:$J$675,EIAwtransport!$E$2:$E$675,Program_data!$E648,EIAwtransport!$H$2:$H$675,Program_data!$F648,EIAwtransport!$I$2:$I$675,Program_data!Q$2)</f>
        <v>801186</v>
      </c>
      <c r="R648" s="8">
        <f>SUMIFS(EIAwtransport!$J$2:$J$675,EIAwtransport!$E$2:$E$675,Program_data!$E648,EIAwtransport!$I$2:$I$675,Program_data!R$2)</f>
        <v>1056069000</v>
      </c>
      <c r="S648" s="5">
        <f>SUMIFS(EIAwtransport!$J$2:$J$675,EIAwtransport!$E$2:$E$675,Program_data!$E648,EIAwtransport!$I$2:$I$675,Program_data!S$2)</f>
        <v>116976400</v>
      </c>
      <c r="T648" s="5">
        <f>SUMIFS(EIAwtransport!$J$2:$J$675,EIAwtransport!$E$2:$E$675,Program_data!$E648,EIAwtransport!$I$2:$I$675,Program_data!T$2)</f>
        <v>860438</v>
      </c>
      <c r="U648" s="24">
        <f t="shared" si="228"/>
        <v>1.2110286866562493E-5</v>
      </c>
      <c r="V648" s="24">
        <f t="shared" si="220"/>
        <v>1.2110286866562493E-5</v>
      </c>
      <c r="W648" s="24">
        <f t="shared" si="229"/>
        <v>2.6508711078537486E-4</v>
      </c>
      <c r="X648" s="25">
        <f t="shared" si="230"/>
        <v>2.3100580800253557E-4</v>
      </c>
      <c r="Y648" s="8">
        <f t="shared" si="231"/>
        <v>0.12504109980597913</v>
      </c>
      <c r="Z648" s="27">
        <f t="shared" si="232"/>
        <v>7.8220586853774712E-2</v>
      </c>
      <c r="AA648" s="27"/>
      <c r="AB648" s="27"/>
      <c r="AC648" s="56">
        <f t="shared" si="226"/>
        <v>5.0331590512753906E-4</v>
      </c>
      <c r="AE648" s="20">
        <f t="shared" si="218"/>
        <v>226533.37500000003</v>
      </c>
      <c r="AF648" s="20">
        <f t="shared" si="219"/>
        <v>1425693150</v>
      </c>
      <c r="AG648">
        <f t="shared" si="223"/>
        <v>1548041.3568</v>
      </c>
      <c r="AH648">
        <f t="shared" si="224"/>
        <v>1548041.3568</v>
      </c>
      <c r="AI648">
        <f t="shared" si="225"/>
        <v>12338670672</v>
      </c>
    </row>
    <row r="649" spans="2:35" x14ac:dyDescent="0.25">
      <c r="B649" s="4">
        <v>2024</v>
      </c>
      <c r="C649" s="4" t="s">
        <v>49</v>
      </c>
      <c r="D649" s="1" t="s">
        <v>424</v>
      </c>
      <c r="E649" s="4" t="str">
        <f t="shared" si="227"/>
        <v>PSE-WA</v>
      </c>
      <c r="F649" s="4" t="s">
        <v>135</v>
      </c>
      <c r="G649" s="4"/>
      <c r="H649" s="11" t="s">
        <v>438</v>
      </c>
      <c r="I649" s="4"/>
      <c r="J649" s="4" t="s">
        <v>32</v>
      </c>
      <c r="K649" s="5">
        <v>4000</v>
      </c>
      <c r="L649" s="5">
        <f>K649/_xlfn.XLOOKUP(C649,'Utility target list'!$K$2:$K$8,'Utility target list'!$L$2:$L$8,1,0,1)</f>
        <v>4000</v>
      </c>
      <c r="M649" s="8">
        <v>38789</v>
      </c>
      <c r="N649" s="8">
        <v>28350</v>
      </c>
      <c r="O649" s="8">
        <f>SUMIFS(EIAwtransport!$J$2:$J$675,EIAwtransport!$E$2:$E$675,Program_data!$E649,EIAwtransport!$H$2:$H$675,Program_data!$F649,EIAwtransport!$I$2:$I$675,Program_data!O$2)</f>
        <v>722022000</v>
      </c>
      <c r="P649" s="5">
        <f>SUMIFS(EIAwtransport!$J$2:$J$675,EIAwtransport!$E$2:$E$675,Program_data!$E649,EIAwtransport!$H$2:$H$675,Program_data!$F649,EIAwtransport!$I$2:$I$675,Program_data!P$2)</f>
        <v>61102800</v>
      </c>
      <c r="Q649" s="5">
        <f>SUMIFS(EIAwtransport!$J$2:$J$675,EIAwtransport!$E$2:$E$675,Program_data!$E649,EIAwtransport!$H$2:$H$675,Program_data!$F649,EIAwtransport!$I$2:$I$675,Program_data!Q$2)</f>
        <v>801186</v>
      </c>
      <c r="R649" s="8">
        <f>SUMIFS(EIAwtransport!$J$2:$J$675,EIAwtransport!$E$2:$E$675,Program_data!$E649,EIAwtransport!$I$2:$I$675,Program_data!R$2)</f>
        <v>1056069000</v>
      </c>
      <c r="S649" s="5">
        <f>SUMIFS(EIAwtransport!$J$2:$J$675,EIAwtransport!$E$2:$E$675,Program_data!$E649,EIAwtransport!$I$2:$I$675,Program_data!S$2)</f>
        <v>116976400</v>
      </c>
      <c r="T649" s="5">
        <f>SUMIFS(EIAwtransport!$J$2:$J$675,EIAwtransport!$E$2:$E$675,Program_data!$E649,EIAwtransport!$I$2:$I$675,Program_data!T$2)</f>
        <v>860438</v>
      </c>
      <c r="U649" s="24">
        <f t="shared" si="228"/>
        <v>3.3006690759878583E-6</v>
      </c>
      <c r="V649" s="24">
        <f t="shared" si="220"/>
        <v>3.3006690759878583E-6</v>
      </c>
      <c r="W649" s="24">
        <f t="shared" si="229"/>
        <v>3.6729607629804491E-5</v>
      </c>
      <c r="X649" s="25">
        <f t="shared" si="230"/>
        <v>3.2007413197123259E-5</v>
      </c>
      <c r="Y649" s="8">
        <f t="shared" si="231"/>
        <v>1.7325287977472729E-2</v>
      </c>
      <c r="Z649" s="27">
        <f t="shared" si="232"/>
        <v>1.0837990029769097E-2</v>
      </c>
      <c r="AA649" s="27"/>
      <c r="AB649" s="27"/>
      <c r="AC649" s="56">
        <f t="shared" si="226"/>
        <v>1.3717918178257502E-4</v>
      </c>
      <c r="AE649" s="20">
        <f t="shared" si="218"/>
        <v>38272.5</v>
      </c>
      <c r="AF649" s="20">
        <f t="shared" si="219"/>
        <v>1425693150</v>
      </c>
      <c r="AG649">
        <f t="shared" si="223"/>
        <v>421920</v>
      </c>
      <c r="AH649">
        <f t="shared" si="224"/>
        <v>421920</v>
      </c>
      <c r="AI649">
        <f t="shared" si="225"/>
        <v>12338670672</v>
      </c>
    </row>
    <row r="650" spans="2:35" x14ac:dyDescent="0.25">
      <c r="B650" s="4">
        <v>2024</v>
      </c>
      <c r="C650" s="4" t="s">
        <v>49</v>
      </c>
      <c r="D650" s="1" t="s">
        <v>424</v>
      </c>
      <c r="E650" s="4" t="str">
        <f t="shared" si="227"/>
        <v>PSE-WA</v>
      </c>
      <c r="F650" s="4" t="s">
        <v>146</v>
      </c>
      <c r="G650" s="4"/>
      <c r="H650" s="11" t="s">
        <v>439</v>
      </c>
      <c r="I650" s="4"/>
      <c r="J650" s="4" t="s">
        <v>21</v>
      </c>
      <c r="K650" s="5">
        <v>393000</v>
      </c>
      <c r="L650" s="5">
        <f>K650/_xlfn.XLOOKUP(C650,'Utility target list'!$K$2:$K$8,'Utility target list'!$L$2:$L$8,1,0,1)</f>
        <v>393000</v>
      </c>
      <c r="M650" s="8">
        <v>2796140.4000000004</v>
      </c>
      <c r="N650" s="8">
        <v>1744850</v>
      </c>
      <c r="O650" s="8">
        <f>SUMIFS(EIAwtransport!$J$2:$J$675,EIAwtransport!$E$2:$E$675,Program_data!$E650,EIAwtransport!$H$2:$H$675,Program_data!$F650,EIAwtransport!$I$2:$I$675,Program_data!O$2)</f>
        <v>334047000</v>
      </c>
      <c r="P650" s="5">
        <f>SUMIFS(EIAwtransport!$J$2:$J$675,EIAwtransport!$E$2:$E$675,Program_data!$E650,EIAwtransport!$H$2:$H$675,Program_data!$F650,EIAwtransport!$I$2:$I$675,Program_data!P$2)</f>
        <v>55873600</v>
      </c>
      <c r="Q650" s="5">
        <f>SUMIFS(EIAwtransport!$J$2:$J$675,EIAwtransport!$E$2:$E$675,Program_data!$E650,EIAwtransport!$H$2:$H$675,Program_data!$F650,EIAwtransport!$I$2:$I$675,Program_data!Q$2)</f>
        <v>59252</v>
      </c>
      <c r="R650" s="8">
        <f>SUMIFS(EIAwtransport!$J$2:$J$675,EIAwtransport!$E$2:$E$675,Program_data!$E650,EIAwtransport!$I$2:$I$675,Program_data!R$2)</f>
        <v>1056069000</v>
      </c>
      <c r="S650" s="5">
        <f>SUMIFS(EIAwtransport!$J$2:$J$675,EIAwtransport!$E$2:$E$675,Program_data!$E650,EIAwtransport!$I$2:$I$675,Program_data!S$2)</f>
        <v>116976400</v>
      </c>
      <c r="T650" s="5">
        <f>SUMIFS(EIAwtransport!$J$2:$J$675,EIAwtransport!$E$2:$E$675,Program_data!$E650,EIAwtransport!$I$2:$I$675,Program_data!T$2)</f>
        <v>860438</v>
      </c>
      <c r="U650" s="24">
        <f t="shared" si="228"/>
        <v>3.2429073671580709E-4</v>
      </c>
      <c r="V650" s="24">
        <f t="shared" si="220"/>
        <v>3.2429073671580709E-4</v>
      </c>
      <c r="W650" s="24">
        <f t="shared" si="229"/>
        <v>2.647687224982459E-3</v>
      </c>
      <c r="X650" s="25">
        <f t="shared" si="230"/>
        <v>2.3072835376000806E-3</v>
      </c>
      <c r="Y650" s="8">
        <f t="shared" si="231"/>
        <v>2.1211798159240645</v>
      </c>
      <c r="Z650" s="27">
        <f t="shared" si="232"/>
        <v>0.78126638420775429</v>
      </c>
      <c r="AA650" s="27"/>
      <c r="AB650" s="27"/>
      <c r="AC650" s="56">
        <f t="shared" si="226"/>
        <v>1.3477854610137995E-2</v>
      </c>
      <c r="AE650" s="20">
        <f t="shared" si="218"/>
        <v>2355547.5</v>
      </c>
      <c r="AF650" s="20">
        <f t="shared" si="219"/>
        <v>1425693150</v>
      </c>
      <c r="AG650">
        <f t="shared" si="223"/>
        <v>41453640</v>
      </c>
      <c r="AH650">
        <f t="shared" si="224"/>
        <v>41453640</v>
      </c>
      <c r="AI650">
        <f t="shared" si="225"/>
        <v>12338670672</v>
      </c>
    </row>
    <row r="651" spans="2:35" x14ac:dyDescent="0.25">
      <c r="B651" s="4">
        <v>2024</v>
      </c>
      <c r="C651" s="4" t="s">
        <v>49</v>
      </c>
      <c r="D651" s="1" t="s">
        <v>424</v>
      </c>
      <c r="E651" s="4" t="str">
        <f t="shared" si="227"/>
        <v>PSE-WA</v>
      </c>
      <c r="F651" s="4" t="s">
        <v>146</v>
      </c>
      <c r="G651" s="4"/>
      <c r="H651" s="11" t="s">
        <v>440</v>
      </c>
      <c r="I651" s="4"/>
      <c r="J651" s="4" t="s">
        <v>32</v>
      </c>
      <c r="K651" s="5">
        <v>20000</v>
      </c>
      <c r="L651" s="5">
        <f>K651/_xlfn.XLOOKUP(C651,'Utility target list'!$K$2:$K$8,'Utility target list'!$L$2:$L$8,1,0,1)</f>
        <v>20000</v>
      </c>
      <c r="M651" s="8">
        <v>256995.3</v>
      </c>
      <c r="N651" s="8">
        <v>146000</v>
      </c>
      <c r="O651" s="8">
        <f>SUMIFS(EIAwtransport!$J$2:$J$675,EIAwtransport!$E$2:$E$675,Program_data!$E651,EIAwtransport!$H$2:$H$675,Program_data!$F651,EIAwtransport!$I$2:$I$675,Program_data!O$2)</f>
        <v>334047000</v>
      </c>
      <c r="P651" s="5">
        <f>SUMIFS(EIAwtransport!$J$2:$J$675,EIAwtransport!$E$2:$E$675,Program_data!$E651,EIAwtransport!$H$2:$H$675,Program_data!$F651,EIAwtransport!$I$2:$I$675,Program_data!P$2)</f>
        <v>55873600</v>
      </c>
      <c r="Q651" s="5">
        <f>SUMIFS(EIAwtransport!$J$2:$J$675,EIAwtransport!$E$2:$E$675,Program_data!$E651,EIAwtransport!$H$2:$H$675,Program_data!$F651,EIAwtransport!$I$2:$I$675,Program_data!Q$2)</f>
        <v>59252</v>
      </c>
      <c r="R651" s="8">
        <f>SUMIFS(EIAwtransport!$J$2:$J$675,EIAwtransport!$E$2:$E$675,Program_data!$E651,EIAwtransport!$I$2:$I$675,Program_data!R$2)</f>
        <v>1056069000</v>
      </c>
      <c r="S651" s="5">
        <f>SUMIFS(EIAwtransport!$J$2:$J$675,EIAwtransport!$E$2:$E$675,Program_data!$E651,EIAwtransport!$I$2:$I$675,Program_data!S$2)</f>
        <v>116976400</v>
      </c>
      <c r="T651" s="5">
        <f>SUMIFS(EIAwtransport!$J$2:$J$675,EIAwtransport!$E$2:$E$675,Program_data!$E651,EIAwtransport!$I$2:$I$675,Program_data!T$2)</f>
        <v>860438</v>
      </c>
      <c r="U651" s="24">
        <f t="shared" si="228"/>
        <v>1.6503345379939293E-5</v>
      </c>
      <c r="V651" s="24">
        <f t="shared" si="220"/>
        <v>1.6503345379939293E-5</v>
      </c>
      <c r="W651" s="24">
        <f t="shared" si="229"/>
        <v>2.4335086059717689E-4</v>
      </c>
      <c r="X651" s="25">
        <f t="shared" si="230"/>
        <v>2.1206410984605563E-4</v>
      </c>
      <c r="Y651" s="8">
        <f t="shared" si="231"/>
        <v>0.19495918128694453</v>
      </c>
      <c r="Z651" s="27">
        <f t="shared" si="232"/>
        <v>7.1806762203137947E-2</v>
      </c>
      <c r="AA651" s="27"/>
      <c r="AB651" s="27"/>
      <c r="AC651" s="56">
        <f t="shared" si="226"/>
        <v>6.8589590891287514E-4</v>
      </c>
      <c r="AE651" s="20">
        <f t="shared" si="218"/>
        <v>197100</v>
      </c>
      <c r="AF651" s="20">
        <f t="shared" si="219"/>
        <v>1425693150</v>
      </c>
      <c r="AG651">
        <f t="shared" si="223"/>
        <v>2109600</v>
      </c>
      <c r="AH651">
        <f t="shared" si="224"/>
        <v>2109600</v>
      </c>
      <c r="AI651">
        <f t="shared" si="225"/>
        <v>12338670672</v>
      </c>
    </row>
    <row r="652" spans="2:35" x14ac:dyDescent="0.25">
      <c r="B652" s="4">
        <v>2024</v>
      </c>
      <c r="C652" s="4" t="s">
        <v>49</v>
      </c>
      <c r="D652" s="1" t="s">
        <v>424</v>
      </c>
      <c r="E652" s="4" t="str">
        <f t="shared" si="227"/>
        <v>PSE-WA</v>
      </c>
      <c r="F652" s="4" t="s">
        <v>146</v>
      </c>
      <c r="G652" s="4"/>
      <c r="H652" s="11" t="s">
        <v>441</v>
      </c>
      <c r="I652" s="4"/>
      <c r="J652" s="4" t="s">
        <v>68</v>
      </c>
      <c r="K652" s="5">
        <v>382502</v>
      </c>
      <c r="L652" s="5">
        <f>K652/_xlfn.XLOOKUP(C652,'Utility target list'!$K$2:$K$8,'Utility target list'!$L$2:$L$8,1,0,1)</f>
        <v>382502</v>
      </c>
      <c r="M652" s="8">
        <v>961255.5</v>
      </c>
      <c r="N652" s="8">
        <v>272516</v>
      </c>
      <c r="O652" s="8">
        <f>SUMIFS(EIAwtransport!$J$2:$J$675,EIAwtransport!$E$2:$E$675,Program_data!$E652,EIAwtransport!$H$2:$H$675,Program_data!$F652,EIAwtransport!$I$2:$I$675,Program_data!O$2)</f>
        <v>334047000</v>
      </c>
      <c r="P652" s="5">
        <f>SUMIFS(EIAwtransport!$J$2:$J$675,EIAwtransport!$E$2:$E$675,Program_data!$E652,EIAwtransport!$H$2:$H$675,Program_data!$F652,EIAwtransport!$I$2:$I$675,Program_data!P$2)</f>
        <v>55873600</v>
      </c>
      <c r="Q652" s="5">
        <f>SUMIFS(EIAwtransport!$J$2:$J$675,EIAwtransport!$E$2:$E$675,Program_data!$E652,EIAwtransport!$H$2:$H$675,Program_data!$F652,EIAwtransport!$I$2:$I$675,Program_data!Q$2)</f>
        <v>59252</v>
      </c>
      <c r="R652" s="8">
        <f>SUMIFS(EIAwtransport!$J$2:$J$675,EIAwtransport!$E$2:$E$675,Program_data!$E652,EIAwtransport!$I$2:$I$675,Program_data!R$2)</f>
        <v>1056069000</v>
      </c>
      <c r="S652" s="5">
        <f>SUMIFS(EIAwtransport!$J$2:$J$675,EIAwtransport!$E$2:$E$675,Program_data!$E652,EIAwtransport!$I$2:$I$675,Program_data!S$2)</f>
        <v>116976400</v>
      </c>
      <c r="T652" s="5">
        <f>SUMIFS(EIAwtransport!$J$2:$J$675,EIAwtransport!$E$2:$E$675,Program_data!$E652,EIAwtransport!$I$2:$I$675,Program_data!T$2)</f>
        <v>860438</v>
      </c>
      <c r="U652" s="24">
        <f t="shared" si="228"/>
        <v>3.1562813072587694E-4</v>
      </c>
      <c r="V652" s="24">
        <f t="shared" si="220"/>
        <v>3.1562813072587694E-4</v>
      </c>
      <c r="W652" s="24">
        <f t="shared" si="229"/>
        <v>9.1022035491999107E-4</v>
      </c>
      <c r="X652" s="25">
        <f t="shared" si="230"/>
        <v>7.9319657574331178E-4</v>
      </c>
      <c r="Y652" s="8">
        <f t="shared" si="231"/>
        <v>0.72921794790633332</v>
      </c>
      <c r="Z652" s="27">
        <f t="shared" si="232"/>
        <v>0.26858329745702925</v>
      </c>
      <c r="AA652" s="27"/>
      <c r="AB652" s="27"/>
      <c r="AC652" s="56">
        <f t="shared" si="226"/>
        <v>1.3117827847549628E-2</v>
      </c>
      <c r="AE652" s="20">
        <f t="shared" si="218"/>
        <v>367896.60000000003</v>
      </c>
      <c r="AF652" s="20">
        <f t="shared" si="219"/>
        <v>1425693150</v>
      </c>
      <c r="AG652">
        <f t="shared" si="223"/>
        <v>40346310.960000001</v>
      </c>
      <c r="AH652">
        <f t="shared" si="224"/>
        <v>40346310.960000001</v>
      </c>
      <c r="AI652">
        <f t="shared" si="225"/>
        <v>12338670672</v>
      </c>
    </row>
    <row r="653" spans="2:35" x14ac:dyDescent="0.25">
      <c r="B653" s="4">
        <v>2024</v>
      </c>
      <c r="C653" s="4" t="s">
        <v>49</v>
      </c>
      <c r="D653" s="1" t="s">
        <v>424</v>
      </c>
      <c r="E653" s="4" t="str">
        <f t="shared" si="227"/>
        <v>PSE-WA</v>
      </c>
      <c r="F653" s="4" t="s">
        <v>146</v>
      </c>
      <c r="G653" s="4"/>
      <c r="H653" s="11" t="s">
        <v>442</v>
      </c>
      <c r="I653" s="4"/>
      <c r="J653" s="4" t="s">
        <v>21</v>
      </c>
      <c r="K653" s="5">
        <v>522698.55</v>
      </c>
      <c r="L653" s="5">
        <f>K653/_xlfn.XLOOKUP(C653,'Utility target list'!$K$2:$K$8,'Utility target list'!$L$2:$L$8,1,0,1)</f>
        <v>522698.55</v>
      </c>
      <c r="M653" s="8">
        <v>3810211.1</v>
      </c>
      <c r="N653" s="8">
        <v>2059289</v>
      </c>
      <c r="O653" s="8">
        <f>SUMIFS(EIAwtransport!$J$2:$J$675,EIAwtransport!$E$2:$E$675,Program_data!$E653,EIAwtransport!$H$2:$H$675,Program_data!$F653,EIAwtransport!$I$2:$I$675,Program_data!O$2)</f>
        <v>334047000</v>
      </c>
      <c r="P653" s="5">
        <f>SUMIFS(EIAwtransport!$J$2:$J$675,EIAwtransport!$E$2:$E$675,Program_data!$E653,EIAwtransport!$H$2:$H$675,Program_data!$F653,EIAwtransport!$I$2:$I$675,Program_data!P$2)</f>
        <v>55873600</v>
      </c>
      <c r="Q653" s="5">
        <f>SUMIFS(EIAwtransport!$J$2:$J$675,EIAwtransport!$E$2:$E$675,Program_data!$E653,EIAwtransport!$H$2:$H$675,Program_data!$F653,EIAwtransport!$I$2:$I$675,Program_data!Q$2)</f>
        <v>59252</v>
      </c>
      <c r="R653" s="8">
        <f>SUMIFS(EIAwtransport!$J$2:$J$675,EIAwtransport!$E$2:$E$675,Program_data!$E653,EIAwtransport!$I$2:$I$675,Program_data!R$2)</f>
        <v>1056069000</v>
      </c>
      <c r="S653" s="5">
        <f>SUMIFS(EIAwtransport!$J$2:$J$675,EIAwtransport!$E$2:$E$675,Program_data!$E653,EIAwtransport!$I$2:$I$675,Program_data!S$2)</f>
        <v>116976400</v>
      </c>
      <c r="T653" s="5">
        <f>SUMIFS(EIAwtransport!$J$2:$J$675,EIAwtransport!$E$2:$E$675,Program_data!$E653,EIAwtransport!$I$2:$I$675,Program_data!T$2)</f>
        <v>860438</v>
      </c>
      <c r="U653" s="24">
        <f t="shared" si="228"/>
        <v>4.3131373501217337E-4</v>
      </c>
      <c r="V653" s="24">
        <f t="shared" si="220"/>
        <v>4.3131373501217337E-4</v>
      </c>
      <c r="W653" s="24">
        <f t="shared" si="229"/>
        <v>3.6079187060693951E-3</v>
      </c>
      <c r="X653" s="25">
        <f t="shared" si="230"/>
        <v>3.1440614876889201E-3</v>
      </c>
      <c r="Y653" s="8">
        <f t="shared" si="231"/>
        <v>2.8904638979250921</v>
      </c>
      <c r="Z653" s="27">
        <f t="shared" si="232"/>
        <v>1.0646067161596211</v>
      </c>
      <c r="AA653" s="27"/>
      <c r="AB653" s="27"/>
      <c r="AC653" s="56">
        <f t="shared" si="226"/>
        <v>1.7925839851984593E-2</v>
      </c>
      <c r="AE653" s="20">
        <f t="shared" si="218"/>
        <v>2780040.1500000004</v>
      </c>
      <c r="AF653" s="20">
        <f t="shared" si="219"/>
        <v>1425693150</v>
      </c>
      <c r="AG653">
        <f t="shared" si="223"/>
        <v>55134243.053999998</v>
      </c>
      <c r="AH653">
        <f t="shared" si="224"/>
        <v>55134243.053999998</v>
      </c>
      <c r="AI653">
        <f t="shared" si="225"/>
        <v>12338670672</v>
      </c>
    </row>
    <row r="654" spans="2:35" x14ac:dyDescent="0.25">
      <c r="B654" s="4">
        <v>2024</v>
      </c>
      <c r="C654" s="4" t="s">
        <v>49</v>
      </c>
      <c r="D654" s="1" t="s">
        <v>424</v>
      </c>
      <c r="E654" s="4" t="str">
        <f t="shared" si="227"/>
        <v>PSE-WA</v>
      </c>
      <c r="F654" s="4" t="s">
        <v>135</v>
      </c>
      <c r="G654" s="4"/>
      <c r="H654" s="11" t="s">
        <v>443</v>
      </c>
      <c r="I654" s="4"/>
      <c r="J654" s="4" t="s">
        <v>155</v>
      </c>
      <c r="K654" s="5"/>
      <c r="L654" s="28"/>
      <c r="M654" s="8">
        <v>1590236</v>
      </c>
      <c r="N654" s="8"/>
      <c r="O654" s="8">
        <f>SUMIFS(EIAwtransport!$J$2:$J$675,EIAwtransport!$E$2:$E$675,Program_data!$E654,EIAwtransport!$H$2:$H$675,Program_data!$F654,EIAwtransport!$I$2:$I$675,Program_data!O$2)</f>
        <v>722022000</v>
      </c>
      <c r="P654" s="5">
        <f>SUMIFS(EIAwtransport!$J$2:$J$675,EIAwtransport!$E$2:$E$675,Program_data!$E654,EIAwtransport!$H$2:$H$675,Program_data!$F654,EIAwtransport!$I$2:$I$675,Program_data!P$2)</f>
        <v>61102800</v>
      </c>
      <c r="Q654" s="5">
        <f>SUMIFS(EIAwtransport!$J$2:$J$675,EIAwtransport!$E$2:$E$675,Program_data!$E654,EIAwtransport!$H$2:$H$675,Program_data!$F654,EIAwtransport!$I$2:$I$675,Program_data!Q$2)</f>
        <v>801186</v>
      </c>
      <c r="R654" s="8">
        <f>SUMIFS(EIAwtransport!$J$2:$J$675,EIAwtransport!$E$2:$E$675,Program_data!$E654,EIAwtransport!$I$2:$I$675,Program_data!R$2)</f>
        <v>1056069000</v>
      </c>
      <c r="S654" s="5">
        <f>SUMIFS(EIAwtransport!$J$2:$J$675,EIAwtransport!$E$2:$E$675,Program_data!$E654,EIAwtransport!$I$2:$I$675,Program_data!S$2)</f>
        <v>116976400</v>
      </c>
      <c r="T654" s="5">
        <f>SUMIFS(EIAwtransport!$J$2:$J$675,EIAwtransport!$E$2:$E$675,Program_data!$E654,EIAwtransport!$I$2:$I$675,Program_data!T$2)</f>
        <v>860438</v>
      </c>
      <c r="U654" s="24">
        <f t="shared" si="228"/>
        <v>0</v>
      </c>
      <c r="V654" s="24">
        <f t="shared" si="220"/>
        <v>0</v>
      </c>
      <c r="W654" s="24">
        <f t="shared" si="229"/>
        <v>1.5058069122377421E-3</v>
      </c>
      <c r="X654" s="25">
        <f t="shared" si="230"/>
        <v>1.312210697180657E-3</v>
      </c>
      <c r="Y654" s="8">
        <f t="shared" si="231"/>
        <v>0.71028633509872185</v>
      </c>
      <c r="Z654" s="27">
        <f t="shared" si="232"/>
        <v>0.44432601802005439</v>
      </c>
      <c r="AA654" s="27"/>
      <c r="AB654" s="27"/>
      <c r="AC654" s="56">
        <f t="shared" si="226"/>
        <v>0</v>
      </c>
      <c r="AE654" s="20">
        <f t="shared" si="218"/>
        <v>0</v>
      </c>
      <c r="AF654" s="20">
        <f t="shared" si="219"/>
        <v>1425693150</v>
      </c>
      <c r="AG654">
        <f t="shared" si="223"/>
        <v>0</v>
      </c>
      <c r="AH654">
        <f t="shared" si="224"/>
        <v>0</v>
      </c>
      <c r="AI654">
        <f t="shared" si="225"/>
        <v>12338670672</v>
      </c>
    </row>
    <row r="655" spans="2:35" x14ac:dyDescent="0.25">
      <c r="B655" s="4">
        <v>2024</v>
      </c>
      <c r="C655" s="4" t="s">
        <v>49</v>
      </c>
      <c r="D655" s="1" t="s">
        <v>424</v>
      </c>
      <c r="E655" s="4" t="str">
        <f t="shared" si="227"/>
        <v>PSE-WA</v>
      </c>
      <c r="F655" s="4" t="s">
        <v>135</v>
      </c>
      <c r="G655" s="4"/>
      <c r="H655" s="11" t="s">
        <v>444</v>
      </c>
      <c r="I655" s="4"/>
      <c r="J655" s="4" t="s">
        <v>155</v>
      </c>
      <c r="K655" s="5"/>
      <c r="L655" s="28"/>
      <c r="M655" s="8">
        <v>286553</v>
      </c>
      <c r="N655" s="8"/>
      <c r="O655" s="8">
        <f>SUMIFS(EIAwtransport!$J$2:$J$675,EIAwtransport!$E$2:$E$675,Program_data!$E655,EIAwtransport!$H$2:$H$675,Program_data!$F655,EIAwtransport!$I$2:$I$675,Program_data!O$2)</f>
        <v>722022000</v>
      </c>
      <c r="P655" s="5">
        <f>SUMIFS(EIAwtransport!$J$2:$J$675,EIAwtransport!$E$2:$E$675,Program_data!$E655,EIAwtransport!$H$2:$H$675,Program_data!$F655,EIAwtransport!$I$2:$I$675,Program_data!P$2)</f>
        <v>61102800</v>
      </c>
      <c r="Q655" s="5">
        <f>SUMIFS(EIAwtransport!$J$2:$J$675,EIAwtransport!$E$2:$E$675,Program_data!$E655,EIAwtransport!$H$2:$H$675,Program_data!$F655,EIAwtransport!$I$2:$I$675,Program_data!Q$2)</f>
        <v>801186</v>
      </c>
      <c r="R655" s="8">
        <f>SUMIFS(EIAwtransport!$J$2:$J$675,EIAwtransport!$E$2:$E$675,Program_data!$E655,EIAwtransport!$I$2:$I$675,Program_data!R$2)</f>
        <v>1056069000</v>
      </c>
      <c r="S655" s="5">
        <f>SUMIFS(EIAwtransport!$J$2:$J$675,EIAwtransport!$E$2:$E$675,Program_data!$E655,EIAwtransport!$I$2:$I$675,Program_data!S$2)</f>
        <v>116976400</v>
      </c>
      <c r="T655" s="5">
        <f>SUMIFS(EIAwtransport!$J$2:$J$675,EIAwtransport!$E$2:$E$675,Program_data!$E655,EIAwtransport!$I$2:$I$675,Program_data!T$2)</f>
        <v>860438</v>
      </c>
      <c r="U655" s="24">
        <f t="shared" si="228"/>
        <v>0</v>
      </c>
      <c r="V655" s="24">
        <f t="shared" si="220"/>
        <v>0</v>
      </c>
      <c r="W655" s="24">
        <f t="shared" si="229"/>
        <v>2.7133927802065966E-4</v>
      </c>
      <c r="X655" s="25">
        <f t="shared" si="230"/>
        <v>2.3645415643288719E-4</v>
      </c>
      <c r="Y655" s="8">
        <f t="shared" si="231"/>
        <v>0.127990235525761</v>
      </c>
      <c r="Z655" s="27">
        <f t="shared" si="232"/>
        <v>8.0065445280889533E-2</v>
      </c>
      <c r="AA655" s="27"/>
      <c r="AB655" s="27"/>
      <c r="AC655" s="56">
        <f t="shared" si="226"/>
        <v>0</v>
      </c>
      <c r="AE655" s="20">
        <f t="shared" si="218"/>
        <v>0</v>
      </c>
      <c r="AF655" s="20">
        <f t="shared" si="219"/>
        <v>1425693150</v>
      </c>
      <c r="AG655">
        <f t="shared" si="223"/>
        <v>0</v>
      </c>
      <c r="AH655">
        <f t="shared" si="224"/>
        <v>0</v>
      </c>
      <c r="AI655">
        <f t="shared" si="225"/>
        <v>12338670672</v>
      </c>
    </row>
    <row r="656" spans="2:35" x14ac:dyDescent="0.25">
      <c r="B656" s="4">
        <v>2024</v>
      </c>
      <c r="C656" s="4" t="s">
        <v>49</v>
      </c>
      <c r="D656" s="1" t="s">
        <v>424</v>
      </c>
      <c r="E656" s="4" t="str">
        <f t="shared" si="227"/>
        <v>PSE-WA</v>
      </c>
      <c r="F656" s="4" t="s">
        <v>135</v>
      </c>
      <c r="G656" s="4"/>
      <c r="H656" s="11" t="s">
        <v>445</v>
      </c>
      <c r="I656" s="4"/>
      <c r="J656" s="4" t="s">
        <v>155</v>
      </c>
      <c r="K656" s="5"/>
      <c r="L656" s="28"/>
      <c r="M656" s="8">
        <v>2823358</v>
      </c>
      <c r="N656" s="8"/>
      <c r="O656" s="8">
        <f>SUMIFS(EIAwtransport!$J$2:$J$675,EIAwtransport!$E$2:$E$675,Program_data!$E656,EIAwtransport!$H$2:$H$675,Program_data!$F656,EIAwtransport!$I$2:$I$675,Program_data!O$2)</f>
        <v>722022000</v>
      </c>
      <c r="P656" s="5">
        <f>SUMIFS(EIAwtransport!$J$2:$J$675,EIAwtransport!$E$2:$E$675,Program_data!$E656,EIAwtransport!$H$2:$H$675,Program_data!$F656,EIAwtransport!$I$2:$I$675,Program_data!P$2)</f>
        <v>61102800</v>
      </c>
      <c r="Q656" s="5">
        <f>SUMIFS(EIAwtransport!$J$2:$J$675,EIAwtransport!$E$2:$E$675,Program_data!$E656,EIAwtransport!$H$2:$H$675,Program_data!$F656,EIAwtransport!$I$2:$I$675,Program_data!Q$2)</f>
        <v>801186</v>
      </c>
      <c r="R656" s="8">
        <f>SUMIFS(EIAwtransport!$J$2:$J$675,EIAwtransport!$E$2:$E$675,Program_data!$E656,EIAwtransport!$I$2:$I$675,Program_data!R$2)</f>
        <v>1056069000</v>
      </c>
      <c r="S656" s="5">
        <f>SUMIFS(EIAwtransport!$J$2:$J$675,EIAwtransport!$E$2:$E$675,Program_data!$E656,EIAwtransport!$I$2:$I$675,Program_data!S$2)</f>
        <v>116976400</v>
      </c>
      <c r="T656" s="5">
        <f>SUMIFS(EIAwtransport!$J$2:$J$675,EIAwtransport!$E$2:$E$675,Program_data!$E656,EIAwtransport!$I$2:$I$675,Program_data!T$2)</f>
        <v>860438</v>
      </c>
      <c r="U656" s="24">
        <f t="shared" si="228"/>
        <v>0</v>
      </c>
      <c r="V656" s="24">
        <f t="shared" si="220"/>
        <v>0</v>
      </c>
      <c r="W656" s="24">
        <f t="shared" si="229"/>
        <v>2.6734597834043041E-3</v>
      </c>
      <c r="X656" s="25">
        <f t="shared" si="230"/>
        <v>2.3297426102607318E-3</v>
      </c>
      <c r="Y656" s="8">
        <f t="shared" si="231"/>
        <v>1.2610660345330236</v>
      </c>
      <c r="Z656" s="27">
        <f t="shared" si="232"/>
        <v>0.78887122262674514</v>
      </c>
      <c r="AA656" s="27"/>
      <c r="AB656" s="27"/>
      <c r="AC656" s="56">
        <f t="shared" si="226"/>
        <v>0</v>
      </c>
      <c r="AE656" s="20">
        <f t="shared" si="218"/>
        <v>0</v>
      </c>
      <c r="AF656" s="20">
        <f t="shared" si="219"/>
        <v>1425693150</v>
      </c>
      <c r="AG656">
        <f t="shared" si="223"/>
        <v>0</v>
      </c>
      <c r="AH656">
        <f t="shared" si="224"/>
        <v>0</v>
      </c>
      <c r="AI656">
        <f t="shared" si="225"/>
        <v>12338670672</v>
      </c>
    </row>
    <row r="657" spans="2:35" x14ac:dyDescent="0.25">
      <c r="B657" s="4">
        <v>2024</v>
      </c>
      <c r="C657" s="4" t="s">
        <v>49</v>
      </c>
      <c r="D657" s="1" t="s">
        <v>424</v>
      </c>
      <c r="E657" s="4" t="str">
        <f t="shared" si="227"/>
        <v>PSE-WA</v>
      </c>
      <c r="F657" s="4" t="s">
        <v>135</v>
      </c>
      <c r="G657" s="4"/>
      <c r="H657" s="11" t="s">
        <v>446</v>
      </c>
      <c r="I657" s="4"/>
      <c r="J657" s="4" t="s">
        <v>155</v>
      </c>
      <c r="K657" s="5"/>
      <c r="L657" s="28"/>
      <c r="M657" s="8">
        <v>495062</v>
      </c>
      <c r="N657" s="8"/>
      <c r="O657" s="8">
        <f>SUMIFS(EIAwtransport!$J$2:$J$675,EIAwtransport!$E$2:$E$675,Program_data!$E657,EIAwtransport!$H$2:$H$675,Program_data!$F657,EIAwtransport!$I$2:$I$675,Program_data!O$2)</f>
        <v>722022000</v>
      </c>
      <c r="P657" s="5">
        <f>SUMIFS(EIAwtransport!$J$2:$J$675,EIAwtransport!$E$2:$E$675,Program_data!$E657,EIAwtransport!$H$2:$H$675,Program_data!$F657,EIAwtransport!$I$2:$I$675,Program_data!P$2)</f>
        <v>61102800</v>
      </c>
      <c r="Q657" s="5">
        <f>SUMIFS(EIAwtransport!$J$2:$J$675,EIAwtransport!$E$2:$E$675,Program_data!$E657,EIAwtransport!$H$2:$H$675,Program_data!$F657,EIAwtransport!$I$2:$I$675,Program_data!Q$2)</f>
        <v>801186</v>
      </c>
      <c r="R657" s="8">
        <f>SUMIFS(EIAwtransport!$J$2:$J$675,EIAwtransport!$E$2:$E$675,Program_data!$E657,EIAwtransport!$I$2:$I$675,Program_data!R$2)</f>
        <v>1056069000</v>
      </c>
      <c r="S657" s="5">
        <f>SUMIFS(EIAwtransport!$J$2:$J$675,EIAwtransport!$E$2:$E$675,Program_data!$E657,EIAwtransport!$I$2:$I$675,Program_data!S$2)</f>
        <v>116976400</v>
      </c>
      <c r="T657" s="5">
        <f>SUMIFS(EIAwtransport!$J$2:$J$675,EIAwtransport!$E$2:$E$675,Program_data!$E657,EIAwtransport!$I$2:$I$675,Program_data!T$2)</f>
        <v>860438</v>
      </c>
      <c r="U657" s="24">
        <f t="shared" si="228"/>
        <v>0</v>
      </c>
      <c r="V657" s="24">
        <f t="shared" si="220"/>
        <v>0</v>
      </c>
      <c r="W657" s="24">
        <f t="shared" si="229"/>
        <v>4.6877808173518968E-4</v>
      </c>
      <c r="X657" s="25">
        <f t="shared" si="230"/>
        <v>4.0850895852417531E-4</v>
      </c>
      <c r="Y657" s="8">
        <f t="shared" si="231"/>
        <v>0.22112175402056264</v>
      </c>
      <c r="Z657" s="27">
        <f t="shared" si="232"/>
        <v>0.13832470597637342</v>
      </c>
      <c r="AA657" s="27"/>
      <c r="AB657" s="27"/>
      <c r="AC657" s="56">
        <f t="shared" si="226"/>
        <v>0</v>
      </c>
      <c r="AE657" s="20">
        <f t="shared" si="218"/>
        <v>0</v>
      </c>
      <c r="AF657" s="20">
        <f t="shared" si="219"/>
        <v>1425693150</v>
      </c>
      <c r="AG657">
        <f t="shared" si="223"/>
        <v>0</v>
      </c>
      <c r="AH657">
        <f t="shared" si="224"/>
        <v>0</v>
      </c>
      <c r="AI657">
        <f t="shared" si="225"/>
        <v>12338670672</v>
      </c>
    </row>
    <row r="658" spans="2:35" x14ac:dyDescent="0.25">
      <c r="B658" s="4">
        <v>2024</v>
      </c>
      <c r="C658" s="4" t="s">
        <v>49</v>
      </c>
      <c r="D658" s="1" t="s">
        <v>424</v>
      </c>
      <c r="E658" s="4" t="str">
        <f t="shared" si="227"/>
        <v>PSE-WA</v>
      </c>
      <c r="F658" s="4" t="s">
        <v>135</v>
      </c>
      <c r="G658" s="4"/>
      <c r="H658" s="11" t="s">
        <v>447</v>
      </c>
      <c r="I658" s="4"/>
      <c r="J658" s="4" t="s">
        <v>155</v>
      </c>
      <c r="K658" s="5"/>
      <c r="L658" s="28"/>
      <c r="M658" s="8">
        <v>180000</v>
      </c>
      <c r="N658" s="8"/>
      <c r="O658" s="8">
        <f>SUMIFS(EIAwtransport!$J$2:$J$675,EIAwtransport!$E$2:$E$675,Program_data!$E658,EIAwtransport!$H$2:$H$675,Program_data!$F658,EIAwtransport!$I$2:$I$675,Program_data!O$2)</f>
        <v>722022000</v>
      </c>
      <c r="P658" s="5">
        <f>SUMIFS(EIAwtransport!$J$2:$J$675,EIAwtransport!$E$2:$E$675,Program_data!$E658,EIAwtransport!$H$2:$H$675,Program_data!$F658,EIAwtransport!$I$2:$I$675,Program_data!P$2)</f>
        <v>61102800</v>
      </c>
      <c r="Q658" s="5">
        <f>SUMIFS(EIAwtransport!$J$2:$J$675,EIAwtransport!$E$2:$E$675,Program_data!$E658,EIAwtransport!$H$2:$H$675,Program_data!$F658,EIAwtransport!$I$2:$I$675,Program_data!Q$2)</f>
        <v>801186</v>
      </c>
      <c r="R658" s="8">
        <f>SUMIFS(EIAwtransport!$J$2:$J$675,EIAwtransport!$E$2:$E$675,Program_data!$E658,EIAwtransport!$I$2:$I$675,Program_data!R$2)</f>
        <v>1056069000</v>
      </c>
      <c r="S658" s="5">
        <f>SUMIFS(EIAwtransport!$J$2:$J$675,EIAwtransport!$E$2:$E$675,Program_data!$E658,EIAwtransport!$I$2:$I$675,Program_data!S$2)</f>
        <v>116976400</v>
      </c>
      <c r="T658" s="5">
        <f>SUMIFS(EIAwtransport!$J$2:$J$675,EIAwtransport!$E$2:$E$675,Program_data!$E658,EIAwtransport!$I$2:$I$675,Program_data!T$2)</f>
        <v>860438</v>
      </c>
      <c r="U658" s="24">
        <f t="shared" si="228"/>
        <v>0</v>
      </c>
      <c r="V658" s="24">
        <f t="shared" si="220"/>
        <v>0</v>
      </c>
      <c r="W658" s="24">
        <f t="shared" si="229"/>
        <v>1.7044340852728372E-4</v>
      </c>
      <c r="X658" s="25">
        <f t="shared" si="230"/>
        <v>1.4853010841945363E-4</v>
      </c>
      <c r="Y658" s="8">
        <f t="shared" si="231"/>
        <v>8.0397840520381847E-2</v>
      </c>
      <c r="Z658" s="27">
        <f t="shared" si="232"/>
        <v>5.0293593682704828E-2</v>
      </c>
      <c r="AA658" s="27"/>
      <c r="AB658" s="27"/>
      <c r="AC658" s="56">
        <f t="shared" si="226"/>
        <v>0</v>
      </c>
      <c r="AE658" s="20">
        <f t="shared" si="218"/>
        <v>0</v>
      </c>
      <c r="AF658" s="20">
        <f t="shared" si="219"/>
        <v>1425693150</v>
      </c>
      <c r="AG658">
        <f t="shared" si="223"/>
        <v>0</v>
      </c>
      <c r="AH658">
        <f t="shared" si="224"/>
        <v>0</v>
      </c>
      <c r="AI658">
        <f t="shared" si="225"/>
        <v>12338670672</v>
      </c>
    </row>
    <row r="659" spans="2:35" x14ac:dyDescent="0.25">
      <c r="B659" s="4">
        <v>2025</v>
      </c>
      <c r="C659" s="4" t="s">
        <v>49</v>
      </c>
      <c r="D659" s="1" t="s">
        <v>424</v>
      </c>
      <c r="E659" s="4" t="str">
        <f t="shared" si="227"/>
        <v>PSE-WA</v>
      </c>
      <c r="F659" s="4" t="s">
        <v>143</v>
      </c>
      <c r="G659" s="4"/>
      <c r="H659" s="11" t="s">
        <v>425</v>
      </c>
      <c r="I659" s="4"/>
      <c r="J659" s="4" t="s">
        <v>27</v>
      </c>
      <c r="K659" s="5">
        <v>21918</v>
      </c>
      <c r="L659" s="5">
        <f>K659/_xlfn.XLOOKUP(C659,'Utility target list'!$K$2:$K$8,'Utility target list'!$L$2:$L$8,1,0,1)</f>
        <v>21918</v>
      </c>
      <c r="M659" s="8">
        <v>1586032</v>
      </c>
      <c r="N659" s="8">
        <v>1513744</v>
      </c>
      <c r="O659" s="8">
        <f>SUMIFS(EIAwtransport!$J$2:$J$675,EIAwtransport!$E$2:$E$675,Program_data!$E659,EIAwtransport!$H$2:$H$675,Program_data!$F659,EIAwtransport!$I$2:$I$675,Program_data!O$2)</f>
        <v>0</v>
      </c>
      <c r="P659" s="5">
        <f>SUMIFS(EIAwtransport!$J$2:$J$675,EIAwtransport!$E$2:$E$675,Program_data!$E659,EIAwtransport!$H$2:$H$675,Program_data!$F659,EIAwtransport!$I$2:$I$675,Program_data!P$2)</f>
        <v>0</v>
      </c>
      <c r="Q659" s="5">
        <f>SUMIFS(EIAwtransport!$J$2:$J$675,EIAwtransport!$E$2:$E$675,Program_data!$E659,EIAwtransport!$H$2:$H$675,Program_data!$F659,EIAwtransport!$I$2:$I$675,Program_data!Q$2)</f>
        <v>0</v>
      </c>
      <c r="R659" s="8">
        <f>SUMIFS(EIAwtransport!$J$2:$J$675,EIAwtransport!$E$2:$E$675,Program_data!$E659,EIAwtransport!$I$2:$I$675,Program_data!R$2)</f>
        <v>1056069000</v>
      </c>
      <c r="S659" s="5">
        <f>SUMIFS(EIAwtransport!$J$2:$J$675,EIAwtransport!$E$2:$E$675,Program_data!$E659,EIAwtransport!$I$2:$I$675,Program_data!S$2)</f>
        <v>116976400</v>
      </c>
      <c r="T659" s="5">
        <f>SUMIFS(EIAwtransport!$J$2:$J$675,EIAwtransport!$E$2:$E$675,Program_data!$E659,EIAwtransport!$I$2:$I$675,Program_data!T$2)</f>
        <v>860438</v>
      </c>
      <c r="U659" s="24">
        <f t="shared" ref="U659:U722" si="233">IFERROR(K659/10.36/S659,"")</f>
        <v>1.8086016201875473E-5</v>
      </c>
      <c r="V659" s="24">
        <f t="shared" si="220"/>
        <v>1.8086016201875473E-5</v>
      </c>
      <c r="W659" s="24">
        <f t="shared" ref="W659:W722" si="234">IFERROR(M659/R659,"")</f>
        <v>1.5018261117408049E-3</v>
      </c>
      <c r="X659" s="25">
        <f t="shared" ref="X659:X722" si="235">IFERROR(M659/S659/10.36,"")</f>
        <v>1.3087416939817937E-3</v>
      </c>
      <c r="Y659" s="8">
        <f t="shared" si="231"/>
        <v>72.362076831827721</v>
      </c>
      <c r="Z659" s="27">
        <f t="shared" si="232"/>
        <v>0.45704287125483112</v>
      </c>
      <c r="AA659" s="27"/>
      <c r="AB659" s="27"/>
      <c r="AC659" s="56">
        <f t="shared" si="226"/>
        <v>7.5394010066637946E-4</v>
      </c>
      <c r="AE659" s="20">
        <f t="shared" si="218"/>
        <v>2043554.4000000001</v>
      </c>
      <c r="AF659" s="20">
        <f t="shared" si="219"/>
        <v>1425693150</v>
      </c>
      <c r="AG659">
        <f t="shared" si="223"/>
        <v>2311910.64</v>
      </c>
      <c r="AH659">
        <f t="shared" si="224"/>
        <v>2311910.64</v>
      </c>
      <c r="AI659">
        <f t="shared" si="225"/>
        <v>12338670672</v>
      </c>
    </row>
    <row r="660" spans="2:35" x14ac:dyDescent="0.25">
      <c r="B660" s="4">
        <v>2025</v>
      </c>
      <c r="C660" s="4" t="s">
        <v>49</v>
      </c>
      <c r="D660" s="1" t="s">
        <v>424</v>
      </c>
      <c r="E660" s="4" t="str">
        <f t="shared" si="227"/>
        <v>PSE-WA</v>
      </c>
      <c r="F660" s="4" t="s">
        <v>135</v>
      </c>
      <c r="G660" s="4"/>
      <c r="H660" s="11" t="s">
        <v>427</v>
      </c>
      <c r="I660" s="4"/>
      <c r="J660" s="4" t="s">
        <v>142</v>
      </c>
      <c r="K660" s="5">
        <v>209523</v>
      </c>
      <c r="L660" s="5">
        <f>K660/_xlfn.XLOOKUP(C660,'Utility target list'!$K$2:$K$8,'Utility target list'!$L$2:$L$8,1,0,1)</f>
        <v>209523</v>
      </c>
      <c r="M660" s="8">
        <v>1642716</v>
      </c>
      <c r="N660" s="8">
        <v>1417550</v>
      </c>
      <c r="O660" s="8">
        <f>SUMIFS(EIAwtransport!$J$2:$J$675,EIAwtransport!$E$2:$E$675,Program_data!$E660,EIAwtransport!$H$2:$H$675,Program_data!$F660,EIAwtransport!$I$2:$I$675,Program_data!O$2)</f>
        <v>722022000</v>
      </c>
      <c r="P660" s="5">
        <f>SUMIFS(EIAwtransport!$J$2:$J$675,EIAwtransport!$E$2:$E$675,Program_data!$E660,EIAwtransport!$H$2:$H$675,Program_data!$F660,EIAwtransport!$I$2:$I$675,Program_data!P$2)</f>
        <v>61102800</v>
      </c>
      <c r="Q660" s="5">
        <f>SUMIFS(EIAwtransport!$J$2:$J$675,EIAwtransport!$E$2:$E$675,Program_data!$E660,EIAwtransport!$H$2:$H$675,Program_data!$F660,EIAwtransport!$I$2:$I$675,Program_data!Q$2)</f>
        <v>801186</v>
      </c>
      <c r="R660" s="8">
        <f>SUMIFS(EIAwtransport!$J$2:$J$675,EIAwtransport!$E$2:$E$675,Program_data!$E660,EIAwtransport!$I$2:$I$675,Program_data!R$2)</f>
        <v>1056069000</v>
      </c>
      <c r="S660" s="5">
        <f>SUMIFS(EIAwtransport!$J$2:$J$675,EIAwtransport!$E$2:$E$675,Program_data!$E660,EIAwtransport!$I$2:$I$675,Program_data!S$2)</f>
        <v>116976400</v>
      </c>
      <c r="T660" s="5">
        <f>SUMIFS(EIAwtransport!$J$2:$J$675,EIAwtransport!$E$2:$E$675,Program_data!$E660,EIAwtransport!$I$2:$I$675,Program_data!T$2)</f>
        <v>860438</v>
      </c>
      <c r="U660" s="24">
        <f t="shared" si="233"/>
        <v>1.7289152170205102E-4</v>
      </c>
      <c r="V660" s="24">
        <f t="shared" si="220"/>
        <v>1.7289152170205102E-4</v>
      </c>
      <c r="W660" s="24">
        <f t="shared" si="234"/>
        <v>1.5555006349016968E-3</v>
      </c>
      <c r="X660" s="25">
        <f t="shared" si="235"/>
        <v>1.3555154754576178E-3</v>
      </c>
      <c r="Y660" s="8">
        <f t="shared" si="231"/>
        <v>0.73901176639951771</v>
      </c>
      <c r="Z660" s="27">
        <f t="shared" si="232"/>
        <v>0.47337735764237493</v>
      </c>
      <c r="AA660" s="27"/>
      <c r="AB660" s="27"/>
      <c r="AC660" s="56">
        <f t="shared" si="226"/>
        <v>7.207217433703888E-3</v>
      </c>
      <c r="AE660" s="20">
        <f t="shared" si="218"/>
        <v>1913692.5000000002</v>
      </c>
      <c r="AF660" s="20">
        <f t="shared" si="219"/>
        <v>1425693150</v>
      </c>
      <c r="AG660">
        <f t="shared" si="223"/>
        <v>22100486.039999999</v>
      </c>
      <c r="AH660">
        <f t="shared" si="224"/>
        <v>22100486.039999999</v>
      </c>
      <c r="AI660">
        <f t="shared" si="225"/>
        <v>12338670672</v>
      </c>
    </row>
    <row r="661" spans="2:35" x14ac:dyDescent="0.25">
      <c r="B661" s="4">
        <v>2025</v>
      </c>
      <c r="C661" s="4" t="s">
        <v>49</v>
      </c>
      <c r="D661" s="1" t="s">
        <v>424</v>
      </c>
      <c r="E661" s="4" t="str">
        <f t="shared" si="227"/>
        <v>PSE-WA</v>
      </c>
      <c r="F661" s="4" t="s">
        <v>135</v>
      </c>
      <c r="G661" s="4"/>
      <c r="H661" s="11" t="s">
        <v>429</v>
      </c>
      <c r="I661" s="4"/>
      <c r="J661" s="4" t="s">
        <v>142</v>
      </c>
      <c r="K661" s="5">
        <v>61231</v>
      </c>
      <c r="L661" s="5">
        <f>K661/_xlfn.XLOOKUP(C661,'Utility target list'!$K$2:$K$8,'Utility target list'!$L$2:$L$8,1,0,1)</f>
        <v>61231</v>
      </c>
      <c r="M661" s="8">
        <v>666299</v>
      </c>
      <c r="N661" s="8">
        <v>456400</v>
      </c>
      <c r="O661" s="8">
        <f>SUMIFS(EIAwtransport!$J$2:$J$675,EIAwtransport!$E$2:$E$675,Program_data!$E661,EIAwtransport!$H$2:$H$675,Program_data!$F661,EIAwtransport!$I$2:$I$675,Program_data!O$2)</f>
        <v>722022000</v>
      </c>
      <c r="P661" s="5">
        <f>SUMIFS(EIAwtransport!$J$2:$J$675,EIAwtransport!$E$2:$E$675,Program_data!$E661,EIAwtransport!$H$2:$H$675,Program_data!$F661,EIAwtransport!$I$2:$I$675,Program_data!P$2)</f>
        <v>61102800</v>
      </c>
      <c r="Q661" s="5">
        <f>SUMIFS(EIAwtransport!$J$2:$J$675,EIAwtransport!$E$2:$E$675,Program_data!$E661,EIAwtransport!$H$2:$H$675,Program_data!$F661,EIAwtransport!$I$2:$I$675,Program_data!Q$2)</f>
        <v>801186</v>
      </c>
      <c r="R661" s="8">
        <f>SUMIFS(EIAwtransport!$J$2:$J$675,EIAwtransport!$E$2:$E$675,Program_data!$E661,EIAwtransport!$I$2:$I$675,Program_data!R$2)</f>
        <v>1056069000</v>
      </c>
      <c r="S661" s="5">
        <f>SUMIFS(EIAwtransport!$J$2:$J$675,EIAwtransport!$E$2:$E$675,Program_data!$E661,EIAwtransport!$I$2:$I$675,Program_data!S$2)</f>
        <v>116976400</v>
      </c>
      <c r="T661" s="5">
        <f>SUMIFS(EIAwtransport!$J$2:$J$675,EIAwtransport!$E$2:$E$675,Program_data!$E661,EIAwtransport!$I$2:$I$675,Program_data!T$2)</f>
        <v>860438</v>
      </c>
      <c r="U661" s="24">
        <f t="shared" si="233"/>
        <v>5.052581704795314E-5</v>
      </c>
      <c r="V661" s="24">
        <f t="shared" si="220"/>
        <v>5.052581704795314E-5</v>
      </c>
      <c r="W661" s="24">
        <f t="shared" si="234"/>
        <v>6.3092373699067013E-4</v>
      </c>
      <c r="X661" s="25">
        <f t="shared" si="235"/>
        <v>5.4980812616540857E-4</v>
      </c>
      <c r="Y661" s="8">
        <f t="shared" si="231"/>
        <v>0.29974919641632047</v>
      </c>
      <c r="Z661" s="27">
        <f t="shared" si="232"/>
        <v>0.19200571493779617</v>
      </c>
      <c r="AA661" s="27"/>
      <c r="AB661" s="27"/>
      <c r="AC661" s="56">
        <f t="shared" si="226"/>
        <v>2.1062371705403357E-3</v>
      </c>
      <c r="AE661" s="20">
        <f t="shared" si="218"/>
        <v>616140</v>
      </c>
      <c r="AF661" s="20">
        <f t="shared" si="219"/>
        <v>1425693150</v>
      </c>
      <c r="AG661">
        <f t="shared" si="223"/>
        <v>6458645.8799999999</v>
      </c>
      <c r="AH661">
        <f t="shared" si="224"/>
        <v>6458645.8799999999</v>
      </c>
      <c r="AI661">
        <f t="shared" si="225"/>
        <v>12338670672</v>
      </c>
    </row>
    <row r="662" spans="2:35" x14ac:dyDescent="0.25">
      <c r="B662" s="4">
        <v>2025</v>
      </c>
      <c r="C662" s="4" t="s">
        <v>49</v>
      </c>
      <c r="D662" s="1" t="s">
        <v>424</v>
      </c>
      <c r="E662" s="4" t="str">
        <f t="shared" si="227"/>
        <v>PSE-WA</v>
      </c>
      <c r="F662" s="4" t="s">
        <v>135</v>
      </c>
      <c r="G662" s="4"/>
      <c r="H662" s="11" t="s">
        <v>430</v>
      </c>
      <c r="I662" s="4"/>
      <c r="J662" s="4" t="s">
        <v>142</v>
      </c>
      <c r="K662" s="5">
        <v>4836</v>
      </c>
      <c r="L662" s="5">
        <f>K662/_xlfn.XLOOKUP(C662,'Utility target list'!$K$2:$K$8,'Utility target list'!$L$2:$L$8,1,0,1)</f>
        <v>4836</v>
      </c>
      <c r="M662" s="34">
        <v>0</v>
      </c>
      <c r="N662" s="8">
        <v>0</v>
      </c>
      <c r="O662" s="8">
        <f>SUMIFS(EIAwtransport!$J$2:$J$675,EIAwtransport!$E$2:$E$675,Program_data!$E662,EIAwtransport!$H$2:$H$675,Program_data!$F662,EIAwtransport!$I$2:$I$675,Program_data!O$2)</f>
        <v>722022000</v>
      </c>
      <c r="P662" s="5">
        <f>SUMIFS(EIAwtransport!$J$2:$J$675,EIAwtransport!$E$2:$E$675,Program_data!$E662,EIAwtransport!$H$2:$H$675,Program_data!$F662,EIAwtransport!$I$2:$I$675,Program_data!P$2)</f>
        <v>61102800</v>
      </c>
      <c r="Q662" s="5">
        <f>SUMIFS(EIAwtransport!$J$2:$J$675,EIAwtransport!$E$2:$E$675,Program_data!$E662,EIAwtransport!$H$2:$H$675,Program_data!$F662,EIAwtransport!$I$2:$I$675,Program_data!Q$2)</f>
        <v>801186</v>
      </c>
      <c r="R662" s="8">
        <f>SUMIFS(EIAwtransport!$J$2:$J$675,EIAwtransport!$E$2:$E$675,Program_data!$E662,EIAwtransport!$I$2:$I$675,Program_data!R$2)</f>
        <v>1056069000</v>
      </c>
      <c r="S662" s="5">
        <f>SUMIFS(EIAwtransport!$J$2:$J$675,EIAwtransport!$E$2:$E$675,Program_data!$E662,EIAwtransport!$I$2:$I$675,Program_data!S$2)</f>
        <v>116976400</v>
      </c>
      <c r="T662" s="5">
        <f>SUMIFS(EIAwtransport!$J$2:$J$675,EIAwtransport!$E$2:$E$675,Program_data!$E662,EIAwtransport!$I$2:$I$675,Program_data!T$2)</f>
        <v>860438</v>
      </c>
      <c r="U662" s="24">
        <f t="shared" si="233"/>
        <v>3.9905089128693204E-6</v>
      </c>
      <c r="V662" s="24">
        <f t="shared" si="220"/>
        <v>3.9905089128693204E-6</v>
      </c>
      <c r="W662" s="24">
        <f t="shared" si="234"/>
        <v>0</v>
      </c>
      <c r="X662" s="25">
        <f t="shared" si="235"/>
        <v>0</v>
      </c>
      <c r="Y662" s="8">
        <f t="shared" si="231"/>
        <v>0</v>
      </c>
      <c r="Z662" s="27">
        <f t="shared" si="232"/>
        <v>0</v>
      </c>
      <c r="AA662" s="27"/>
      <c r="AB662" s="27"/>
      <c r="AC662" s="56">
        <f t="shared" si="226"/>
        <v>1.6634977310076699E-4</v>
      </c>
      <c r="AE662" s="20">
        <f t="shared" si="218"/>
        <v>0</v>
      </c>
      <c r="AF662" s="20">
        <f t="shared" si="219"/>
        <v>1425693150</v>
      </c>
      <c r="AG662">
        <f t="shared" si="223"/>
        <v>510101.28</v>
      </c>
      <c r="AH662">
        <f t="shared" si="224"/>
        <v>510101.28</v>
      </c>
      <c r="AI662">
        <f t="shared" si="225"/>
        <v>12338670672</v>
      </c>
    </row>
    <row r="663" spans="2:35" x14ac:dyDescent="0.25">
      <c r="B663" s="4">
        <v>2025</v>
      </c>
      <c r="C663" s="4" t="s">
        <v>49</v>
      </c>
      <c r="D663" s="1" t="s">
        <v>424</v>
      </c>
      <c r="E663" s="4" t="str">
        <f t="shared" si="227"/>
        <v>PSE-WA</v>
      </c>
      <c r="F663" s="4" t="s">
        <v>135</v>
      </c>
      <c r="G663" s="4"/>
      <c r="H663" s="11" t="s">
        <v>431</v>
      </c>
      <c r="I663" s="4"/>
      <c r="J663" s="4" t="s">
        <v>142</v>
      </c>
      <c r="K663" s="5">
        <v>262087</v>
      </c>
      <c r="L663" s="5">
        <f>K663/_xlfn.XLOOKUP(C663,'Utility target list'!$K$2:$K$8,'Utility target list'!$L$2:$L$8,1,0,1)</f>
        <v>262087</v>
      </c>
      <c r="M663" s="8">
        <v>2184034</v>
      </c>
      <c r="N663" s="8">
        <v>1214550</v>
      </c>
      <c r="O663" s="8">
        <f>SUMIFS(EIAwtransport!$J$2:$J$675,EIAwtransport!$E$2:$E$675,Program_data!$E663,EIAwtransport!$H$2:$H$675,Program_data!$F663,EIAwtransport!$I$2:$I$675,Program_data!O$2)</f>
        <v>722022000</v>
      </c>
      <c r="P663" s="5">
        <f>SUMIFS(EIAwtransport!$J$2:$J$675,EIAwtransport!$E$2:$E$675,Program_data!$E663,EIAwtransport!$H$2:$H$675,Program_data!$F663,EIAwtransport!$I$2:$I$675,Program_data!P$2)</f>
        <v>61102800</v>
      </c>
      <c r="Q663" s="5">
        <f>SUMIFS(EIAwtransport!$J$2:$J$675,EIAwtransport!$E$2:$E$675,Program_data!$E663,EIAwtransport!$H$2:$H$675,Program_data!$F663,EIAwtransport!$I$2:$I$675,Program_data!Q$2)</f>
        <v>801186</v>
      </c>
      <c r="R663" s="8">
        <f>SUMIFS(EIAwtransport!$J$2:$J$675,EIAwtransport!$E$2:$E$675,Program_data!$E663,EIAwtransport!$I$2:$I$675,Program_data!R$2)</f>
        <v>1056069000</v>
      </c>
      <c r="S663" s="5">
        <f>SUMIFS(EIAwtransport!$J$2:$J$675,EIAwtransport!$E$2:$E$675,Program_data!$E663,EIAwtransport!$I$2:$I$675,Program_data!S$2)</f>
        <v>116976400</v>
      </c>
      <c r="T663" s="5">
        <f>SUMIFS(EIAwtransport!$J$2:$J$675,EIAwtransport!$E$2:$E$675,Program_data!$E663,EIAwtransport!$I$2:$I$675,Program_data!T$2)</f>
        <v>860438</v>
      </c>
      <c r="U663" s="24">
        <f t="shared" si="233"/>
        <v>2.1626561402960745E-4</v>
      </c>
      <c r="V663" s="24">
        <f t="shared" si="220"/>
        <v>2.1626561402960745E-4</v>
      </c>
      <c r="W663" s="24">
        <f t="shared" si="234"/>
        <v>2.0680788849970978E-3</v>
      </c>
      <c r="X663" s="25">
        <f t="shared" si="235"/>
        <v>1.8021933711765165E-3</v>
      </c>
      <c r="Y663" s="8">
        <f t="shared" si="231"/>
        <v>0.98253552300982294</v>
      </c>
      <c r="Z663" s="27">
        <f t="shared" si="232"/>
        <v>0.62936761066496383</v>
      </c>
      <c r="AA663" s="27"/>
      <c r="AB663" s="27"/>
      <c r="AC663" s="56">
        <f t="shared" si="226"/>
        <v>9.0153252652317457E-3</v>
      </c>
      <c r="AE663" s="20">
        <f t="shared" si="218"/>
        <v>1639642.5</v>
      </c>
      <c r="AF663" s="20">
        <f t="shared" si="219"/>
        <v>1425693150</v>
      </c>
      <c r="AG663">
        <f t="shared" si="223"/>
        <v>27644936.760000002</v>
      </c>
      <c r="AH663">
        <f t="shared" si="224"/>
        <v>27644936.760000002</v>
      </c>
      <c r="AI663">
        <f t="shared" si="225"/>
        <v>12338670672</v>
      </c>
    </row>
    <row r="664" spans="2:35" x14ac:dyDescent="0.25">
      <c r="B664" s="4">
        <v>2025</v>
      </c>
      <c r="C664" s="4" t="s">
        <v>49</v>
      </c>
      <c r="D664" s="1" t="s">
        <v>424</v>
      </c>
      <c r="E664" s="4" t="str">
        <f t="shared" si="227"/>
        <v>PSE-WA</v>
      </c>
      <c r="F664" s="4" t="s">
        <v>135</v>
      </c>
      <c r="G664" s="4"/>
      <c r="H664" s="11" t="s">
        <v>432</v>
      </c>
      <c r="I664" s="4"/>
      <c r="J664" s="4" t="s">
        <v>27</v>
      </c>
      <c r="K664" s="5">
        <v>334873</v>
      </c>
      <c r="L664" s="5">
        <f>K664/_xlfn.XLOOKUP(C664,'Utility target list'!$K$2:$K$8,'Utility target list'!$L$2:$L$8,1,0,1)</f>
        <v>334873</v>
      </c>
      <c r="M664" s="8">
        <v>7138528</v>
      </c>
      <c r="N664" s="8">
        <v>6573784</v>
      </c>
      <c r="O664" s="8">
        <f>SUMIFS(EIAwtransport!$J$2:$J$675,EIAwtransport!$E$2:$E$675,Program_data!$E664,EIAwtransport!$H$2:$H$675,Program_data!$F664,EIAwtransport!$I$2:$I$675,Program_data!O$2)</f>
        <v>722022000</v>
      </c>
      <c r="P664" s="5">
        <f>SUMIFS(EIAwtransport!$J$2:$J$675,EIAwtransport!$E$2:$E$675,Program_data!$E664,EIAwtransport!$H$2:$H$675,Program_data!$F664,EIAwtransport!$I$2:$I$675,Program_data!P$2)</f>
        <v>61102800</v>
      </c>
      <c r="Q664" s="5">
        <f>SUMIFS(EIAwtransport!$J$2:$J$675,EIAwtransport!$E$2:$E$675,Program_data!$E664,EIAwtransport!$H$2:$H$675,Program_data!$F664,EIAwtransport!$I$2:$I$675,Program_data!Q$2)</f>
        <v>801186</v>
      </c>
      <c r="R664" s="8">
        <f>SUMIFS(EIAwtransport!$J$2:$J$675,EIAwtransport!$E$2:$E$675,Program_data!$E664,EIAwtransport!$I$2:$I$675,Program_data!R$2)</f>
        <v>1056069000</v>
      </c>
      <c r="S664" s="5">
        <f>SUMIFS(EIAwtransport!$J$2:$J$675,EIAwtransport!$E$2:$E$675,Program_data!$E664,EIAwtransport!$I$2:$I$675,Program_data!S$2)</f>
        <v>116976400</v>
      </c>
      <c r="T664" s="5">
        <f>SUMIFS(EIAwtransport!$J$2:$J$675,EIAwtransport!$E$2:$E$675,Program_data!$E664,EIAwtransport!$I$2:$I$675,Program_data!T$2)</f>
        <v>860438</v>
      </c>
      <c r="U664" s="24">
        <f t="shared" si="233"/>
        <v>2.763262388708205E-4</v>
      </c>
      <c r="V664" s="24">
        <f t="shared" si="220"/>
        <v>2.763262388708205E-4</v>
      </c>
      <c r="W664" s="24">
        <f t="shared" si="234"/>
        <v>6.7595280232636314E-3</v>
      </c>
      <c r="X664" s="25">
        <f t="shared" si="235"/>
        <v>5.8904796544183638E-3</v>
      </c>
      <c r="Y664" s="8">
        <f t="shared" si="231"/>
        <v>3.2114231472588179</v>
      </c>
      <c r="Z664" s="27">
        <f t="shared" si="232"/>
        <v>2.0570917444622854</v>
      </c>
      <c r="AA664" s="27"/>
      <c r="AB664" s="27"/>
      <c r="AC664" s="56">
        <f t="shared" si="226"/>
        <v>1.1519033822905944E-2</v>
      </c>
      <c r="AE664" s="20">
        <f t="shared" si="218"/>
        <v>8874608.4000000004</v>
      </c>
      <c r="AF664" s="20">
        <f t="shared" si="219"/>
        <v>1425693150</v>
      </c>
      <c r="AG664">
        <f t="shared" si="223"/>
        <v>35322404.039999999</v>
      </c>
      <c r="AH664">
        <f t="shared" si="224"/>
        <v>35322404.039999999</v>
      </c>
      <c r="AI664">
        <f t="shared" si="225"/>
        <v>12338670672</v>
      </c>
    </row>
    <row r="665" spans="2:35" x14ac:dyDescent="0.25">
      <c r="B665" s="4">
        <v>2025</v>
      </c>
      <c r="C665" s="4" t="s">
        <v>49</v>
      </c>
      <c r="D665" s="1" t="s">
        <v>424</v>
      </c>
      <c r="E665" s="4" t="str">
        <f t="shared" si="227"/>
        <v>PSE-WA</v>
      </c>
      <c r="F665" s="4" t="s">
        <v>135</v>
      </c>
      <c r="G665" s="4"/>
      <c r="H665" s="11" t="s">
        <v>433</v>
      </c>
      <c r="I665" s="4"/>
      <c r="J665" s="4" t="s">
        <v>142</v>
      </c>
      <c r="K665" s="5">
        <v>1244780</v>
      </c>
      <c r="L665" s="5">
        <f>K665/_xlfn.XLOOKUP(C665,'Utility target list'!$K$2:$K$8,'Utility target list'!$L$2:$L$8,1,0,1)</f>
        <v>1244780</v>
      </c>
      <c r="M665" s="8">
        <v>1937427</v>
      </c>
      <c r="N665" s="8">
        <v>910192</v>
      </c>
      <c r="O665" s="8">
        <f>SUMIFS(EIAwtransport!$J$2:$J$675,EIAwtransport!$E$2:$E$675,Program_data!$E665,EIAwtransport!$H$2:$H$675,Program_data!$F665,EIAwtransport!$I$2:$I$675,Program_data!O$2)</f>
        <v>722022000</v>
      </c>
      <c r="P665" s="5">
        <f>SUMIFS(EIAwtransport!$J$2:$J$675,EIAwtransport!$E$2:$E$675,Program_data!$E665,EIAwtransport!$H$2:$H$675,Program_data!$F665,EIAwtransport!$I$2:$I$675,Program_data!P$2)</f>
        <v>61102800</v>
      </c>
      <c r="Q665" s="5">
        <f>SUMIFS(EIAwtransport!$J$2:$J$675,EIAwtransport!$E$2:$E$675,Program_data!$E665,EIAwtransport!$H$2:$H$675,Program_data!$F665,EIAwtransport!$I$2:$I$675,Program_data!Q$2)</f>
        <v>801186</v>
      </c>
      <c r="R665" s="8">
        <f>SUMIFS(EIAwtransport!$J$2:$J$675,EIAwtransport!$E$2:$E$675,Program_data!$E665,EIAwtransport!$I$2:$I$675,Program_data!R$2)</f>
        <v>1056069000</v>
      </c>
      <c r="S665" s="5">
        <f>SUMIFS(EIAwtransport!$J$2:$J$675,EIAwtransport!$E$2:$E$675,Program_data!$E665,EIAwtransport!$I$2:$I$675,Program_data!S$2)</f>
        <v>116976400</v>
      </c>
      <c r="T665" s="5">
        <f>SUMIFS(EIAwtransport!$J$2:$J$675,EIAwtransport!$E$2:$E$675,Program_data!$E665,EIAwtransport!$I$2:$I$675,Program_data!T$2)</f>
        <v>860438</v>
      </c>
      <c r="U665" s="24">
        <f t="shared" si="233"/>
        <v>1.0271517131020416E-3</v>
      </c>
      <c r="V665" s="24">
        <f t="shared" si="220"/>
        <v>1.0271517131020416E-3</v>
      </c>
      <c r="W665" s="24">
        <f t="shared" si="234"/>
        <v>1.8345647869599429E-3</v>
      </c>
      <c r="X665" s="25">
        <f t="shared" si="235"/>
        <v>1.5987013464709822E-3</v>
      </c>
      <c r="Y665" s="8">
        <f t="shared" si="231"/>
        <v>0.87159396361885955</v>
      </c>
      <c r="Z665" s="27">
        <f t="shared" si="232"/>
        <v>0.55830348878625002</v>
      </c>
      <c r="AA665" s="27"/>
      <c r="AB665" s="27"/>
      <c r="AC665" s="56">
        <f t="shared" si="226"/>
        <v>4.2818211447554329E-2</v>
      </c>
      <c r="AE665" s="20">
        <f t="shared" si="218"/>
        <v>1228759.2000000002</v>
      </c>
      <c r="AF665" s="20">
        <f t="shared" si="219"/>
        <v>1425693150</v>
      </c>
      <c r="AG665">
        <f t="shared" si="223"/>
        <v>131299394.40000001</v>
      </c>
      <c r="AH665">
        <f t="shared" si="224"/>
        <v>131299394.40000001</v>
      </c>
      <c r="AI665">
        <f t="shared" si="225"/>
        <v>12338670672</v>
      </c>
    </row>
    <row r="666" spans="2:35" x14ac:dyDescent="0.25">
      <c r="B666" s="4">
        <v>2025</v>
      </c>
      <c r="C666" s="4" t="s">
        <v>49</v>
      </c>
      <c r="D666" s="1" t="s">
        <v>424</v>
      </c>
      <c r="E666" s="4" t="str">
        <f t="shared" si="227"/>
        <v>PSE-WA</v>
      </c>
      <c r="F666" s="4" t="s">
        <v>135</v>
      </c>
      <c r="G666" s="4"/>
      <c r="H666" s="11" t="s">
        <v>434</v>
      </c>
      <c r="I666" s="4"/>
      <c r="J666" s="4" t="s">
        <v>142</v>
      </c>
      <c r="K666" s="5">
        <v>76404</v>
      </c>
      <c r="L666" s="5">
        <f>K666/_xlfn.XLOOKUP(C666,'Utility target list'!$K$2:$K$8,'Utility target list'!$L$2:$L$8,1,0,1)</f>
        <v>76404</v>
      </c>
      <c r="M666" s="8">
        <v>540146</v>
      </c>
      <c r="N666" s="8">
        <v>387182</v>
      </c>
      <c r="O666" s="8">
        <f>SUMIFS(EIAwtransport!$J$2:$J$675,EIAwtransport!$E$2:$E$675,Program_data!$E666,EIAwtransport!$H$2:$H$675,Program_data!$F666,EIAwtransport!$I$2:$I$675,Program_data!O$2)</f>
        <v>722022000</v>
      </c>
      <c r="P666" s="5">
        <f>SUMIFS(EIAwtransport!$J$2:$J$675,EIAwtransport!$E$2:$E$675,Program_data!$E666,EIAwtransport!$H$2:$H$675,Program_data!$F666,EIAwtransport!$I$2:$I$675,Program_data!P$2)</f>
        <v>61102800</v>
      </c>
      <c r="Q666" s="5">
        <f>SUMIFS(EIAwtransport!$J$2:$J$675,EIAwtransport!$E$2:$E$675,Program_data!$E666,EIAwtransport!$H$2:$H$675,Program_data!$F666,EIAwtransport!$I$2:$I$675,Program_data!Q$2)</f>
        <v>801186</v>
      </c>
      <c r="R666" s="8">
        <f>SUMIFS(EIAwtransport!$J$2:$J$675,EIAwtransport!$E$2:$E$675,Program_data!$E666,EIAwtransport!$I$2:$I$675,Program_data!R$2)</f>
        <v>1056069000</v>
      </c>
      <c r="S666" s="5">
        <f>SUMIFS(EIAwtransport!$J$2:$J$675,EIAwtransport!$E$2:$E$675,Program_data!$E666,EIAwtransport!$I$2:$I$675,Program_data!S$2)</f>
        <v>116976400</v>
      </c>
      <c r="T666" s="5">
        <f>SUMIFS(EIAwtransport!$J$2:$J$675,EIAwtransport!$E$2:$E$675,Program_data!$E666,EIAwtransport!$I$2:$I$675,Program_data!T$2)</f>
        <v>860438</v>
      </c>
      <c r="U666" s="24">
        <f t="shared" si="233"/>
        <v>6.304608002044408E-5</v>
      </c>
      <c r="V666" s="24">
        <f t="shared" si="220"/>
        <v>6.304608002044408E-5</v>
      </c>
      <c r="W666" s="24">
        <f t="shared" si="234"/>
        <v>5.114684741243233E-4</v>
      </c>
      <c r="X666" s="25">
        <f t="shared" si="235"/>
        <v>4.457107996796344E-4</v>
      </c>
      <c r="Y666" s="8">
        <f t="shared" si="231"/>
        <v>0.24299650674470444</v>
      </c>
      <c r="Z666" s="27">
        <f t="shared" si="232"/>
        <v>0.15565252071636135</v>
      </c>
      <c r="AA666" s="27"/>
      <c r="AB666" s="27"/>
      <c r="AC666" s="56">
        <f t="shared" si="226"/>
        <v>2.6281613035547976E-3</v>
      </c>
      <c r="AE666" s="20">
        <f t="shared" si="218"/>
        <v>522695.7</v>
      </c>
      <c r="AF666" s="20">
        <f t="shared" si="219"/>
        <v>1425693150</v>
      </c>
      <c r="AG666">
        <f t="shared" si="223"/>
        <v>8059093.9199999999</v>
      </c>
      <c r="AH666">
        <f t="shared" si="224"/>
        <v>8059093.9199999999</v>
      </c>
      <c r="AI666">
        <f t="shared" si="225"/>
        <v>12338670672</v>
      </c>
    </row>
    <row r="667" spans="2:35" x14ac:dyDescent="0.25">
      <c r="B667" s="4">
        <v>2025</v>
      </c>
      <c r="C667" s="4" t="s">
        <v>49</v>
      </c>
      <c r="D667" s="1" t="s">
        <v>424</v>
      </c>
      <c r="E667" s="4" t="str">
        <f t="shared" si="227"/>
        <v>PSE-WA</v>
      </c>
      <c r="F667" s="4" t="s">
        <v>135</v>
      </c>
      <c r="G667" s="4"/>
      <c r="H667" s="11" t="s">
        <v>435</v>
      </c>
      <c r="I667" s="4"/>
      <c r="J667" s="4" t="s">
        <v>32</v>
      </c>
      <c r="K667" s="5">
        <v>547</v>
      </c>
      <c r="L667" s="5">
        <f>K667/_xlfn.XLOOKUP(C667,'Utility target list'!$K$2:$K$8,'Utility target list'!$L$2:$L$8,1,0,1)</f>
        <v>547</v>
      </c>
      <c r="M667" s="8">
        <v>14800</v>
      </c>
      <c r="N667" s="8">
        <v>0</v>
      </c>
      <c r="O667" s="8">
        <f>SUMIFS(EIAwtransport!$J$2:$J$675,EIAwtransport!$E$2:$E$675,Program_data!$E667,EIAwtransport!$H$2:$H$675,Program_data!$F667,EIAwtransport!$I$2:$I$675,Program_data!O$2)</f>
        <v>722022000</v>
      </c>
      <c r="P667" s="5">
        <f>SUMIFS(EIAwtransport!$J$2:$J$675,EIAwtransport!$E$2:$E$675,Program_data!$E667,EIAwtransport!$H$2:$H$675,Program_data!$F667,EIAwtransport!$I$2:$I$675,Program_data!P$2)</f>
        <v>61102800</v>
      </c>
      <c r="Q667" s="5">
        <f>SUMIFS(EIAwtransport!$J$2:$J$675,EIAwtransport!$E$2:$E$675,Program_data!$E667,EIAwtransport!$H$2:$H$675,Program_data!$F667,EIAwtransport!$I$2:$I$675,Program_data!Q$2)</f>
        <v>801186</v>
      </c>
      <c r="R667" s="8">
        <f>SUMIFS(EIAwtransport!$J$2:$J$675,EIAwtransport!$E$2:$E$675,Program_data!$E667,EIAwtransport!$I$2:$I$675,Program_data!R$2)</f>
        <v>1056069000</v>
      </c>
      <c r="S667" s="5">
        <f>SUMIFS(EIAwtransport!$J$2:$J$675,EIAwtransport!$E$2:$E$675,Program_data!$E667,EIAwtransport!$I$2:$I$675,Program_data!S$2)</f>
        <v>116976400</v>
      </c>
      <c r="T667" s="5">
        <f>SUMIFS(EIAwtransport!$J$2:$J$675,EIAwtransport!$E$2:$E$675,Program_data!$E667,EIAwtransport!$I$2:$I$675,Program_data!T$2)</f>
        <v>860438</v>
      </c>
      <c r="U667" s="24">
        <f t="shared" si="233"/>
        <v>4.5136649614133962E-7</v>
      </c>
      <c r="V667" s="24">
        <f t="shared" si="220"/>
        <v>4.5136649614133962E-7</v>
      </c>
      <c r="W667" s="24">
        <f t="shared" si="234"/>
        <v>1.4014235812243328E-5</v>
      </c>
      <c r="X667" s="25">
        <f t="shared" si="235"/>
        <v>1.2212475581155075E-5</v>
      </c>
      <c r="Y667" s="8">
        <f t="shared" si="231"/>
        <v>6.6581041048561426E-3</v>
      </c>
      <c r="Z667" s="27">
        <f t="shared" si="232"/>
        <v>4.2648789523613024E-3</v>
      </c>
      <c r="AA667" s="27"/>
      <c r="AB667" s="27"/>
      <c r="AC667" s="56">
        <f t="shared" si="226"/>
        <v>1.88158242113564E-5</v>
      </c>
      <c r="AE667" s="20">
        <f t="shared" si="218"/>
        <v>0</v>
      </c>
      <c r="AF667" s="20">
        <f t="shared" si="219"/>
        <v>1425693150</v>
      </c>
      <c r="AG667">
        <f t="shared" si="223"/>
        <v>57697.560000000005</v>
      </c>
      <c r="AH667">
        <f t="shared" si="224"/>
        <v>57697.560000000005</v>
      </c>
      <c r="AI667">
        <f t="shared" si="225"/>
        <v>12338670672</v>
      </c>
    </row>
    <row r="668" spans="2:35" x14ac:dyDescent="0.25">
      <c r="B668" s="4">
        <v>2025</v>
      </c>
      <c r="C668" s="4" t="s">
        <v>49</v>
      </c>
      <c r="D668" s="1" t="s">
        <v>424</v>
      </c>
      <c r="E668" s="4" t="str">
        <f t="shared" si="227"/>
        <v>PSE-WA</v>
      </c>
      <c r="F668" s="4" t="s">
        <v>135</v>
      </c>
      <c r="G668" s="4"/>
      <c r="H668" s="11" t="s">
        <v>436</v>
      </c>
      <c r="I668" s="4"/>
      <c r="J668" s="4" t="s">
        <v>155</v>
      </c>
      <c r="K668" s="5">
        <v>0</v>
      </c>
      <c r="L668" s="28"/>
      <c r="M668" s="8">
        <v>77234</v>
      </c>
      <c r="N668" s="8">
        <v>0</v>
      </c>
      <c r="O668" s="8">
        <f>SUMIFS(EIAwtransport!$J$2:$J$675,EIAwtransport!$E$2:$E$675,Program_data!$E668,EIAwtransport!$H$2:$H$675,Program_data!$F668,EIAwtransport!$I$2:$I$675,Program_data!O$2)</f>
        <v>722022000</v>
      </c>
      <c r="P668" s="5">
        <f>SUMIFS(EIAwtransport!$J$2:$J$675,EIAwtransport!$E$2:$E$675,Program_data!$E668,EIAwtransport!$H$2:$H$675,Program_data!$F668,EIAwtransport!$I$2:$I$675,Program_data!P$2)</f>
        <v>61102800</v>
      </c>
      <c r="Q668" s="5">
        <f>SUMIFS(EIAwtransport!$J$2:$J$675,EIAwtransport!$E$2:$E$675,Program_data!$E668,EIAwtransport!$H$2:$H$675,Program_data!$F668,EIAwtransport!$I$2:$I$675,Program_data!Q$2)</f>
        <v>801186</v>
      </c>
      <c r="R668" s="8">
        <f>SUMIFS(EIAwtransport!$J$2:$J$675,EIAwtransport!$E$2:$E$675,Program_data!$E668,EIAwtransport!$I$2:$I$675,Program_data!R$2)</f>
        <v>1056069000</v>
      </c>
      <c r="S668" s="5">
        <f>SUMIFS(EIAwtransport!$J$2:$J$675,EIAwtransport!$E$2:$E$675,Program_data!$E668,EIAwtransport!$I$2:$I$675,Program_data!S$2)</f>
        <v>116976400</v>
      </c>
      <c r="T668" s="5">
        <f>SUMIFS(EIAwtransport!$J$2:$J$675,EIAwtransport!$E$2:$E$675,Program_data!$E668,EIAwtransport!$I$2:$I$675,Program_data!T$2)</f>
        <v>860438</v>
      </c>
      <c r="U668" s="24">
        <f t="shared" si="233"/>
        <v>0</v>
      </c>
      <c r="V668" s="24">
        <f t="shared" si="220"/>
        <v>0</v>
      </c>
      <c r="W668" s="24">
        <f t="shared" si="234"/>
        <v>7.3133478967756847E-5</v>
      </c>
      <c r="X668" s="25">
        <f t="shared" si="235"/>
        <v>6.3730968853711574E-5</v>
      </c>
      <c r="Y668" s="8">
        <f t="shared" si="231"/>
        <v>3.4745406245571576E-2</v>
      </c>
      <c r="Z668" s="27">
        <f t="shared" si="232"/>
        <v>2.2256328446396811E-2</v>
      </c>
      <c r="AA668" s="27"/>
      <c r="AB668" s="27"/>
      <c r="AC668" s="56">
        <f t="shared" si="226"/>
        <v>0</v>
      </c>
      <c r="AE668" s="20">
        <f t="shared" si="218"/>
        <v>0</v>
      </c>
      <c r="AF668" s="20">
        <f t="shared" si="219"/>
        <v>1425693150</v>
      </c>
      <c r="AG668">
        <f t="shared" si="223"/>
        <v>0</v>
      </c>
      <c r="AH668">
        <f t="shared" si="224"/>
        <v>0</v>
      </c>
      <c r="AI668">
        <f t="shared" si="225"/>
        <v>12338670672</v>
      </c>
    </row>
    <row r="669" spans="2:35" x14ac:dyDescent="0.25">
      <c r="B669" s="4">
        <v>2025</v>
      </c>
      <c r="C669" s="4" t="s">
        <v>49</v>
      </c>
      <c r="D669" s="1" t="s">
        <v>424</v>
      </c>
      <c r="E669" s="4" t="str">
        <f t="shared" si="227"/>
        <v>PSE-WA</v>
      </c>
      <c r="F669" s="4" t="s">
        <v>135</v>
      </c>
      <c r="G669" s="4"/>
      <c r="H669" s="11" t="s">
        <v>437</v>
      </c>
      <c r="I669" s="4"/>
      <c r="J669" s="4" t="s">
        <v>142</v>
      </c>
      <c r="K669" s="5">
        <v>25374</v>
      </c>
      <c r="L669" s="5">
        <f>K669/_xlfn.XLOOKUP(C669,'Utility target list'!$K$2:$K$8,'Utility target list'!$L$2:$L$8,1,0,1)</f>
        <v>25374</v>
      </c>
      <c r="M669" s="8">
        <v>289834</v>
      </c>
      <c r="N669" s="8">
        <v>176253</v>
      </c>
      <c r="O669" s="8">
        <f>SUMIFS(EIAwtransport!$J$2:$J$675,EIAwtransport!$E$2:$E$675,Program_data!$E669,EIAwtransport!$H$2:$H$675,Program_data!$F669,EIAwtransport!$I$2:$I$675,Program_data!O$2)</f>
        <v>722022000</v>
      </c>
      <c r="P669" s="5">
        <f>SUMIFS(EIAwtransport!$J$2:$J$675,EIAwtransport!$E$2:$E$675,Program_data!$E669,EIAwtransport!$H$2:$H$675,Program_data!$F669,EIAwtransport!$I$2:$I$675,Program_data!P$2)</f>
        <v>61102800</v>
      </c>
      <c r="Q669" s="5">
        <f>SUMIFS(EIAwtransport!$J$2:$J$675,EIAwtransport!$E$2:$E$675,Program_data!$E669,EIAwtransport!$H$2:$H$675,Program_data!$F669,EIAwtransport!$I$2:$I$675,Program_data!Q$2)</f>
        <v>801186</v>
      </c>
      <c r="R669" s="8">
        <f>SUMIFS(EIAwtransport!$J$2:$J$675,EIAwtransport!$E$2:$E$675,Program_data!$E669,EIAwtransport!$I$2:$I$675,Program_data!R$2)</f>
        <v>1056069000</v>
      </c>
      <c r="S669" s="5">
        <f>SUMIFS(EIAwtransport!$J$2:$J$675,EIAwtransport!$E$2:$E$675,Program_data!$E669,EIAwtransport!$I$2:$I$675,Program_data!S$2)</f>
        <v>116976400</v>
      </c>
      <c r="T669" s="5">
        <f>SUMIFS(EIAwtransport!$J$2:$J$675,EIAwtransport!$E$2:$E$675,Program_data!$E669,EIAwtransport!$I$2:$I$675,Program_data!T$2)</f>
        <v>860438</v>
      </c>
      <c r="U669" s="24">
        <f t="shared" si="233"/>
        <v>2.093779428352898E-5</v>
      </c>
      <c r="V669" s="24">
        <f t="shared" si="220"/>
        <v>2.093779428352898E-5</v>
      </c>
      <c r="W669" s="24">
        <f t="shared" si="234"/>
        <v>2.7444608259498198E-4</v>
      </c>
      <c r="X669" s="25">
        <f t="shared" si="235"/>
        <v>2.3916153024246622E-4</v>
      </c>
      <c r="Y669" s="8">
        <f t="shared" si="231"/>
        <v>0.1303881719680321</v>
      </c>
      <c r="Z669" s="27">
        <f t="shared" si="232"/>
        <v>8.352073826207336E-2</v>
      </c>
      <c r="AA669" s="27"/>
      <c r="AB669" s="27"/>
      <c r="AC669" s="56">
        <f t="shared" si="226"/>
        <v>8.7282033553739904E-4</v>
      </c>
      <c r="AE669" s="20">
        <f t="shared" ref="AE669:AE732" si="236">N669*1.35</f>
        <v>237941.55000000002</v>
      </c>
      <c r="AF669" s="20">
        <f t="shared" ref="AF669:AF732" si="237">R669*1.35</f>
        <v>1425693150</v>
      </c>
      <c r="AG669">
        <f t="shared" si="223"/>
        <v>2676449.52</v>
      </c>
      <c r="AH669">
        <f t="shared" si="224"/>
        <v>2676449.52</v>
      </c>
      <c r="AI669">
        <f t="shared" si="225"/>
        <v>12338670672</v>
      </c>
    </row>
    <row r="670" spans="2:35" x14ac:dyDescent="0.25">
      <c r="B670" s="4">
        <v>2025</v>
      </c>
      <c r="C670" s="4" t="s">
        <v>49</v>
      </c>
      <c r="D670" s="1" t="s">
        <v>424</v>
      </c>
      <c r="E670" s="4" t="str">
        <f t="shared" si="227"/>
        <v>PSE-WA</v>
      </c>
      <c r="F670" s="4" t="s">
        <v>135</v>
      </c>
      <c r="G670" s="4"/>
      <c r="H670" s="11" t="s">
        <v>438</v>
      </c>
      <c r="I670" s="4"/>
      <c r="J670" s="4" t="s">
        <v>32</v>
      </c>
      <c r="K670" s="5">
        <v>3200</v>
      </c>
      <c r="L670" s="5">
        <f>K670/_xlfn.XLOOKUP(C670,'Utility target list'!$K$2:$K$8,'Utility target list'!$L$2:$L$8,1,0,1)</f>
        <v>3200</v>
      </c>
      <c r="M670" s="8">
        <v>33500</v>
      </c>
      <c r="N670" s="8">
        <v>23100</v>
      </c>
      <c r="O670" s="8">
        <f>SUMIFS(EIAwtransport!$J$2:$J$675,EIAwtransport!$E$2:$E$675,Program_data!$E670,EIAwtransport!$H$2:$H$675,Program_data!$F670,EIAwtransport!$I$2:$I$675,Program_data!O$2)</f>
        <v>722022000</v>
      </c>
      <c r="P670" s="5">
        <f>SUMIFS(EIAwtransport!$J$2:$J$675,EIAwtransport!$E$2:$E$675,Program_data!$E670,EIAwtransport!$H$2:$H$675,Program_data!$F670,EIAwtransport!$I$2:$I$675,Program_data!P$2)</f>
        <v>61102800</v>
      </c>
      <c r="Q670" s="5">
        <f>SUMIFS(EIAwtransport!$J$2:$J$675,EIAwtransport!$E$2:$E$675,Program_data!$E670,EIAwtransport!$H$2:$H$675,Program_data!$F670,EIAwtransport!$I$2:$I$675,Program_data!Q$2)</f>
        <v>801186</v>
      </c>
      <c r="R670" s="8">
        <f>SUMIFS(EIAwtransport!$J$2:$J$675,EIAwtransport!$E$2:$E$675,Program_data!$E670,EIAwtransport!$I$2:$I$675,Program_data!R$2)</f>
        <v>1056069000</v>
      </c>
      <c r="S670" s="5">
        <f>SUMIFS(EIAwtransport!$J$2:$J$675,EIAwtransport!$E$2:$E$675,Program_data!$E670,EIAwtransport!$I$2:$I$675,Program_data!S$2)</f>
        <v>116976400</v>
      </c>
      <c r="T670" s="5">
        <f>SUMIFS(EIAwtransport!$J$2:$J$675,EIAwtransport!$E$2:$E$675,Program_data!$E670,EIAwtransport!$I$2:$I$675,Program_data!T$2)</f>
        <v>860438</v>
      </c>
      <c r="U670" s="24">
        <f t="shared" si="233"/>
        <v>2.6405352607902868E-6</v>
      </c>
      <c r="V670" s="24">
        <f t="shared" si="220"/>
        <v>2.6405352607902868E-6</v>
      </c>
      <c r="W670" s="24">
        <f t="shared" si="234"/>
        <v>3.1721412142577807E-5</v>
      </c>
      <c r="X670" s="25">
        <f t="shared" si="235"/>
        <v>2.7643103511398315E-5</v>
      </c>
      <c r="Y670" s="8">
        <f t="shared" si="231"/>
        <v>1.5070708615721674E-2</v>
      </c>
      <c r="Z670" s="27">
        <f t="shared" si="232"/>
        <v>9.653611142169163E-3</v>
      </c>
      <c r="AA670" s="27"/>
      <c r="AB670" s="27"/>
      <c r="AC670" s="56">
        <f t="shared" si="226"/>
        <v>1.1007429154724036E-4</v>
      </c>
      <c r="AE670" s="20">
        <f t="shared" si="236"/>
        <v>31185.000000000004</v>
      </c>
      <c r="AF670" s="20">
        <f t="shared" si="237"/>
        <v>1425693150</v>
      </c>
      <c r="AG670">
        <f t="shared" si="223"/>
        <v>337536</v>
      </c>
      <c r="AH670">
        <f t="shared" si="224"/>
        <v>337536</v>
      </c>
      <c r="AI670">
        <f t="shared" si="225"/>
        <v>12338670672</v>
      </c>
    </row>
    <row r="671" spans="2:35" x14ac:dyDescent="0.25">
      <c r="B671" s="4">
        <v>2025</v>
      </c>
      <c r="C671" s="4" t="s">
        <v>49</v>
      </c>
      <c r="D671" s="1" t="s">
        <v>424</v>
      </c>
      <c r="E671" s="4" t="str">
        <f t="shared" si="227"/>
        <v>PSE-WA</v>
      </c>
      <c r="F671" s="4" t="s">
        <v>146</v>
      </c>
      <c r="G671" s="4"/>
      <c r="H671" s="11" t="s">
        <v>439</v>
      </c>
      <c r="I671" s="4"/>
      <c r="J671" s="4" t="s">
        <v>142</v>
      </c>
      <c r="K671" s="5">
        <v>389000</v>
      </c>
      <c r="L671" s="5">
        <f>K671/_xlfn.XLOOKUP(C671,'Utility target list'!$K$2:$K$8,'Utility target list'!$L$2:$L$8,1,0,1)</f>
        <v>389000</v>
      </c>
      <c r="M671" s="8">
        <v>2833816</v>
      </c>
      <c r="N671" s="8">
        <v>1742290</v>
      </c>
      <c r="O671" s="8">
        <f>SUMIFS(EIAwtransport!$J$2:$J$675,EIAwtransport!$E$2:$E$675,Program_data!$E671,EIAwtransport!$H$2:$H$675,Program_data!$F671,EIAwtransport!$I$2:$I$675,Program_data!O$2)</f>
        <v>334047000</v>
      </c>
      <c r="P671" s="5">
        <f>SUMIFS(EIAwtransport!$J$2:$J$675,EIAwtransport!$E$2:$E$675,Program_data!$E671,EIAwtransport!$H$2:$H$675,Program_data!$F671,EIAwtransport!$I$2:$I$675,Program_data!P$2)</f>
        <v>55873600</v>
      </c>
      <c r="Q671" s="5">
        <f>SUMIFS(EIAwtransport!$J$2:$J$675,EIAwtransport!$E$2:$E$675,Program_data!$E671,EIAwtransport!$H$2:$H$675,Program_data!$F671,EIAwtransport!$I$2:$I$675,Program_data!Q$2)</f>
        <v>59252</v>
      </c>
      <c r="R671" s="8">
        <f>SUMIFS(EIAwtransport!$J$2:$J$675,EIAwtransport!$E$2:$E$675,Program_data!$E671,EIAwtransport!$I$2:$I$675,Program_data!R$2)</f>
        <v>1056069000</v>
      </c>
      <c r="S671" s="5">
        <f>SUMIFS(EIAwtransport!$J$2:$J$675,EIAwtransport!$E$2:$E$675,Program_data!$E671,EIAwtransport!$I$2:$I$675,Program_data!S$2)</f>
        <v>116976400</v>
      </c>
      <c r="T671" s="5">
        <f>SUMIFS(EIAwtransport!$J$2:$J$675,EIAwtransport!$E$2:$E$675,Program_data!$E671,EIAwtransport!$I$2:$I$675,Program_data!T$2)</f>
        <v>860438</v>
      </c>
      <c r="U671" s="24">
        <f t="shared" si="233"/>
        <v>3.2099006763981926E-4</v>
      </c>
      <c r="V671" s="24">
        <f t="shared" si="220"/>
        <v>3.2099006763981926E-4</v>
      </c>
      <c r="W671" s="24">
        <f t="shared" si="234"/>
        <v>2.6833625454397393E-3</v>
      </c>
      <c r="X671" s="25">
        <f t="shared" si="235"/>
        <v>2.3383722095599024E-3</v>
      </c>
      <c r="Y671" s="8">
        <f t="shared" si="231"/>
        <v>2.3125055592685348</v>
      </c>
      <c r="Z671" s="27">
        <f t="shared" si="232"/>
        <v>0.81661366305842542</v>
      </c>
      <c r="AA671" s="27"/>
      <c r="AB671" s="27"/>
      <c r="AC671" s="56">
        <f t="shared" si="226"/>
        <v>1.3380906066211406E-2</v>
      </c>
      <c r="AE671" s="20">
        <f t="shared" si="236"/>
        <v>2352091.5</v>
      </c>
      <c r="AF671" s="20">
        <f t="shared" si="237"/>
        <v>1425693150</v>
      </c>
      <c r="AG671">
        <f t="shared" si="223"/>
        <v>41031720</v>
      </c>
      <c r="AH671">
        <f t="shared" si="224"/>
        <v>41031720</v>
      </c>
      <c r="AI671">
        <f t="shared" si="225"/>
        <v>12338670672</v>
      </c>
    </row>
    <row r="672" spans="2:35" x14ac:dyDescent="0.25">
      <c r="B672" s="4">
        <v>2025</v>
      </c>
      <c r="C672" s="4" t="s">
        <v>49</v>
      </c>
      <c r="D672" s="1" t="s">
        <v>424</v>
      </c>
      <c r="E672" s="4" t="str">
        <f t="shared" si="227"/>
        <v>PSE-WA</v>
      </c>
      <c r="F672" s="4" t="s">
        <v>146</v>
      </c>
      <c r="G672" s="4"/>
      <c r="H672" s="11" t="s">
        <v>440</v>
      </c>
      <c r="I672" s="4"/>
      <c r="J672" s="4" t="s">
        <v>32</v>
      </c>
      <c r="K672" s="5">
        <v>20000</v>
      </c>
      <c r="L672" s="5">
        <f>K672/_xlfn.XLOOKUP(C672,'Utility target list'!$K$2:$K$8,'Utility target list'!$L$2:$L$8,1,0,1)</f>
        <v>20000</v>
      </c>
      <c r="M672" s="8">
        <v>263994</v>
      </c>
      <c r="N672" s="8">
        <v>146000</v>
      </c>
      <c r="O672" s="8">
        <f>SUMIFS(EIAwtransport!$J$2:$J$675,EIAwtransport!$E$2:$E$675,Program_data!$E672,EIAwtransport!$H$2:$H$675,Program_data!$F672,EIAwtransport!$I$2:$I$675,Program_data!O$2)</f>
        <v>334047000</v>
      </c>
      <c r="P672" s="5">
        <f>SUMIFS(EIAwtransport!$J$2:$J$675,EIAwtransport!$E$2:$E$675,Program_data!$E672,EIAwtransport!$H$2:$H$675,Program_data!$F672,EIAwtransport!$I$2:$I$675,Program_data!P$2)</f>
        <v>55873600</v>
      </c>
      <c r="Q672" s="5">
        <f>SUMIFS(EIAwtransport!$J$2:$J$675,EIAwtransport!$E$2:$E$675,Program_data!$E672,EIAwtransport!$H$2:$H$675,Program_data!$F672,EIAwtransport!$I$2:$I$675,Program_data!Q$2)</f>
        <v>59252</v>
      </c>
      <c r="R672" s="8">
        <f>SUMIFS(EIAwtransport!$J$2:$J$675,EIAwtransport!$E$2:$E$675,Program_data!$E672,EIAwtransport!$I$2:$I$675,Program_data!R$2)</f>
        <v>1056069000</v>
      </c>
      <c r="S672" s="5">
        <f>SUMIFS(EIAwtransport!$J$2:$J$675,EIAwtransport!$E$2:$E$675,Program_data!$E672,EIAwtransport!$I$2:$I$675,Program_data!S$2)</f>
        <v>116976400</v>
      </c>
      <c r="T672" s="5">
        <f>SUMIFS(EIAwtransport!$J$2:$J$675,EIAwtransport!$E$2:$E$675,Program_data!$E672,EIAwtransport!$I$2:$I$675,Program_data!T$2)</f>
        <v>860438</v>
      </c>
      <c r="U672" s="24">
        <f t="shared" si="233"/>
        <v>1.6503345379939293E-5</v>
      </c>
      <c r="V672" s="24">
        <f t="shared" ref="V672:V736" si="238">IFERROR(L672/10.36/S672,"")</f>
        <v>1.6503345379939293E-5</v>
      </c>
      <c r="W672" s="24">
        <f t="shared" si="234"/>
        <v>2.4997798439306524E-4</v>
      </c>
      <c r="X672" s="25">
        <f t="shared" si="235"/>
        <v>2.1783920801158468E-4</v>
      </c>
      <c r="Y672" s="8">
        <f t="shared" si="231"/>
        <v>0.21542951010705622</v>
      </c>
      <c r="Z672" s="27">
        <f t="shared" si="232"/>
        <v>7.6074490145247947E-2</v>
      </c>
      <c r="AA672" s="27"/>
      <c r="AB672" s="27"/>
      <c r="AC672" s="56">
        <f t="shared" si="226"/>
        <v>6.8796432217025228E-4</v>
      </c>
      <c r="AE672" s="20">
        <f t="shared" si="236"/>
        <v>197100</v>
      </c>
      <c r="AF672" s="20">
        <f t="shared" si="237"/>
        <v>1425693150</v>
      </c>
      <c r="AG672">
        <f t="shared" si="223"/>
        <v>2109600</v>
      </c>
      <c r="AH672">
        <f t="shared" si="224"/>
        <v>2109600</v>
      </c>
      <c r="AI672">
        <f t="shared" si="225"/>
        <v>12338670672</v>
      </c>
    </row>
    <row r="673" spans="2:35" x14ac:dyDescent="0.25">
      <c r="B673" s="4">
        <v>2025</v>
      </c>
      <c r="C673" s="4" t="s">
        <v>49</v>
      </c>
      <c r="D673" s="1" t="s">
        <v>424</v>
      </c>
      <c r="E673" s="4" t="str">
        <f t="shared" si="227"/>
        <v>PSE-WA</v>
      </c>
      <c r="F673" s="4" t="s">
        <v>146</v>
      </c>
      <c r="G673" s="4"/>
      <c r="H673" s="11" t="s">
        <v>441</v>
      </c>
      <c r="I673" s="4"/>
      <c r="J673" s="4" t="s">
        <v>68</v>
      </c>
      <c r="K673" s="5">
        <v>383502</v>
      </c>
      <c r="L673" s="5">
        <f>K673/_xlfn.XLOOKUP(C673,'Utility target list'!$K$2:$K$8,'Utility target list'!$L$2:$L$8,1,0,1)</f>
        <v>383502</v>
      </c>
      <c r="M673" s="8">
        <v>989087</v>
      </c>
      <c r="N673" s="8">
        <v>280516</v>
      </c>
      <c r="O673" s="8">
        <f>SUMIFS(EIAwtransport!$J$2:$J$675,EIAwtransport!$E$2:$E$675,Program_data!$E673,EIAwtransport!$H$2:$H$675,Program_data!$F673,EIAwtransport!$I$2:$I$675,Program_data!O$2)</f>
        <v>334047000</v>
      </c>
      <c r="P673" s="5">
        <f>SUMIFS(EIAwtransport!$J$2:$J$675,EIAwtransport!$E$2:$E$675,Program_data!$E673,EIAwtransport!$H$2:$H$675,Program_data!$F673,EIAwtransport!$I$2:$I$675,Program_data!P$2)</f>
        <v>55873600</v>
      </c>
      <c r="Q673" s="5">
        <f>SUMIFS(EIAwtransport!$J$2:$J$675,EIAwtransport!$E$2:$E$675,Program_data!$E673,EIAwtransport!$H$2:$H$675,Program_data!$F673,EIAwtransport!$I$2:$I$675,Program_data!Q$2)</f>
        <v>59252</v>
      </c>
      <c r="R673" s="8">
        <f>SUMIFS(EIAwtransport!$J$2:$J$675,EIAwtransport!$E$2:$E$675,Program_data!$E673,EIAwtransport!$I$2:$I$675,Program_data!R$2)</f>
        <v>1056069000</v>
      </c>
      <c r="S673" s="5">
        <f>SUMIFS(EIAwtransport!$J$2:$J$675,EIAwtransport!$E$2:$E$675,Program_data!$E673,EIAwtransport!$I$2:$I$675,Program_data!S$2)</f>
        <v>116976400</v>
      </c>
      <c r="T673" s="5">
        <f>SUMIFS(EIAwtransport!$J$2:$J$675,EIAwtransport!$E$2:$E$675,Program_data!$E673,EIAwtransport!$I$2:$I$675,Program_data!T$2)</f>
        <v>860438</v>
      </c>
      <c r="U673" s="24">
        <f t="shared" si="233"/>
        <v>3.1645329799487391E-4</v>
      </c>
      <c r="V673" s="24">
        <f t="shared" si="238"/>
        <v>3.1645329799487391E-4</v>
      </c>
      <c r="W673" s="24">
        <f t="shared" si="234"/>
        <v>9.365742200556971E-4</v>
      </c>
      <c r="X673" s="25">
        <f t="shared" si="235"/>
        <v>8.1616221859040082E-4</v>
      </c>
      <c r="Y673" s="8">
        <f t="shared" si="231"/>
        <v>0.8071339797997602</v>
      </c>
      <c r="Z673" s="27">
        <f t="shared" si="232"/>
        <v>0.28502272488879615</v>
      </c>
      <c r="AA673" s="27"/>
      <c r="AB673" s="27"/>
      <c r="AC673" s="56">
        <f t="shared" si="226"/>
        <v>1.3191784674046804E-2</v>
      </c>
      <c r="AE673" s="20">
        <f t="shared" si="236"/>
        <v>378696.60000000003</v>
      </c>
      <c r="AF673" s="20">
        <f t="shared" si="237"/>
        <v>1425693150</v>
      </c>
      <c r="AG673">
        <f t="shared" si="223"/>
        <v>40451790.960000001</v>
      </c>
      <c r="AH673">
        <f t="shared" si="224"/>
        <v>40451790.960000001</v>
      </c>
      <c r="AI673">
        <f t="shared" si="225"/>
        <v>12338670672</v>
      </c>
    </row>
    <row r="674" spans="2:35" x14ac:dyDescent="0.25">
      <c r="B674" s="4">
        <v>2025</v>
      </c>
      <c r="C674" s="4" t="s">
        <v>49</v>
      </c>
      <c r="D674" s="1" t="s">
        <v>424</v>
      </c>
      <c r="E674" s="4" t="str">
        <f t="shared" si="227"/>
        <v>PSE-WA</v>
      </c>
      <c r="F674" s="4" t="s">
        <v>146</v>
      </c>
      <c r="G674" s="4"/>
      <c r="H674" s="11" t="s">
        <v>442</v>
      </c>
      <c r="I674" s="4"/>
      <c r="J674" s="4" t="s">
        <v>142</v>
      </c>
      <c r="K674" s="5">
        <v>432929</v>
      </c>
      <c r="L674" s="5">
        <f>K674/_xlfn.XLOOKUP(C674,'Utility target list'!$K$2:$K$8,'Utility target list'!$L$2:$L$8,1,0,1)</f>
        <v>432929</v>
      </c>
      <c r="M674" s="8">
        <v>3242115</v>
      </c>
      <c r="N674" s="8">
        <v>1653855</v>
      </c>
      <c r="O674" s="8">
        <f>SUMIFS(EIAwtransport!$J$2:$J$675,EIAwtransport!$E$2:$E$675,Program_data!$E674,EIAwtransport!$H$2:$H$675,Program_data!$F674,EIAwtransport!$I$2:$I$675,Program_data!O$2)</f>
        <v>334047000</v>
      </c>
      <c r="P674" s="5">
        <f>SUMIFS(EIAwtransport!$J$2:$J$675,EIAwtransport!$E$2:$E$675,Program_data!$E674,EIAwtransport!$H$2:$H$675,Program_data!$F674,EIAwtransport!$I$2:$I$675,Program_data!P$2)</f>
        <v>55873600</v>
      </c>
      <c r="Q674" s="5">
        <f>SUMIFS(EIAwtransport!$J$2:$J$675,EIAwtransport!$E$2:$E$675,Program_data!$E674,EIAwtransport!$H$2:$H$675,Program_data!$F674,EIAwtransport!$I$2:$I$675,Program_data!Q$2)</f>
        <v>59252</v>
      </c>
      <c r="R674" s="8">
        <f>SUMIFS(EIAwtransport!$J$2:$J$675,EIAwtransport!$E$2:$E$675,Program_data!$E674,EIAwtransport!$I$2:$I$675,Program_data!R$2)</f>
        <v>1056069000</v>
      </c>
      <c r="S674" s="5">
        <f>SUMIFS(EIAwtransport!$J$2:$J$675,EIAwtransport!$E$2:$E$675,Program_data!$E674,EIAwtransport!$I$2:$I$675,Program_data!S$2)</f>
        <v>116976400</v>
      </c>
      <c r="T674" s="5">
        <f>SUMIFS(EIAwtransport!$J$2:$J$675,EIAwtransport!$E$2:$E$675,Program_data!$E674,EIAwtransport!$I$2:$I$675,Program_data!T$2)</f>
        <v>860438</v>
      </c>
      <c r="U674" s="24">
        <f t="shared" si="233"/>
        <v>3.5723884059958686E-4</v>
      </c>
      <c r="V674" s="24">
        <f t="shared" si="238"/>
        <v>3.5723884059958686E-4</v>
      </c>
      <c r="W674" s="24">
        <f t="shared" si="234"/>
        <v>3.0699840635413029E-3</v>
      </c>
      <c r="X674" s="25">
        <f t="shared" si="235"/>
        <v>2.6752871803240939E-3</v>
      </c>
      <c r="Y674" s="8">
        <f t="shared" si="231"/>
        <v>2.6456936375854698</v>
      </c>
      <c r="Z674" s="27">
        <f t="shared" si="232"/>
        <v>0.93427216382667988</v>
      </c>
      <c r="AA674" s="27"/>
      <c r="AB674" s="27"/>
      <c r="AC674" s="56">
        <f t="shared" si="226"/>
        <v>1.4891985301642256E-2</v>
      </c>
      <c r="AE674" s="20">
        <f t="shared" si="236"/>
        <v>2232704.25</v>
      </c>
      <c r="AF674" s="20">
        <f t="shared" si="237"/>
        <v>1425693150</v>
      </c>
      <c r="AG674">
        <f t="shared" si="223"/>
        <v>45665350.920000002</v>
      </c>
      <c r="AH674">
        <f t="shared" si="224"/>
        <v>45665350.920000002</v>
      </c>
      <c r="AI674">
        <f t="shared" si="225"/>
        <v>12338670672</v>
      </c>
    </row>
    <row r="675" spans="2:35" x14ac:dyDescent="0.25">
      <c r="B675" s="4">
        <v>2025</v>
      </c>
      <c r="C675" s="4" t="s">
        <v>49</v>
      </c>
      <c r="D675" s="1" t="s">
        <v>424</v>
      </c>
      <c r="E675" s="4" t="str">
        <f t="shared" si="227"/>
        <v>PSE-WA</v>
      </c>
      <c r="F675" s="4" t="s">
        <v>135</v>
      </c>
      <c r="G675" s="4"/>
      <c r="H675" s="11" t="s">
        <v>443</v>
      </c>
      <c r="I675" s="4"/>
      <c r="J675" s="4" t="s">
        <v>155</v>
      </c>
      <c r="K675" s="5"/>
      <c r="L675" s="28"/>
      <c r="M675" s="8">
        <v>1590236</v>
      </c>
      <c r="N675" s="8"/>
      <c r="O675" s="8">
        <f>SUMIFS(EIAwtransport!$J$2:$J$675,EIAwtransport!$E$2:$E$675,Program_data!$E675,EIAwtransport!$H$2:$H$675,Program_data!$F675,EIAwtransport!$I$2:$I$675,Program_data!O$2)</f>
        <v>722022000</v>
      </c>
      <c r="P675" s="5">
        <f>SUMIFS(EIAwtransport!$J$2:$J$675,EIAwtransport!$E$2:$E$675,Program_data!$E675,EIAwtransport!$H$2:$H$675,Program_data!$F675,EIAwtransport!$I$2:$I$675,Program_data!P$2)</f>
        <v>61102800</v>
      </c>
      <c r="Q675" s="5">
        <f>SUMIFS(EIAwtransport!$J$2:$J$675,EIAwtransport!$E$2:$E$675,Program_data!$E675,EIAwtransport!$H$2:$H$675,Program_data!$F675,EIAwtransport!$I$2:$I$675,Program_data!Q$2)</f>
        <v>801186</v>
      </c>
      <c r="R675" s="8">
        <f>SUMIFS(EIAwtransport!$J$2:$J$675,EIAwtransport!$E$2:$E$675,Program_data!$E675,EIAwtransport!$I$2:$I$675,Program_data!R$2)</f>
        <v>1056069000</v>
      </c>
      <c r="S675" s="5">
        <f>SUMIFS(EIAwtransport!$J$2:$J$675,EIAwtransport!$E$2:$E$675,Program_data!$E675,EIAwtransport!$I$2:$I$675,Program_data!S$2)</f>
        <v>116976400</v>
      </c>
      <c r="T675" s="5">
        <f>SUMIFS(EIAwtransport!$J$2:$J$675,EIAwtransport!$E$2:$E$675,Program_data!$E675,EIAwtransport!$I$2:$I$675,Program_data!T$2)</f>
        <v>860438</v>
      </c>
      <c r="U675" s="24">
        <f t="shared" si="233"/>
        <v>0</v>
      </c>
      <c r="V675" s="24">
        <f t="shared" si="238"/>
        <v>0</v>
      </c>
      <c r="W675" s="24">
        <f t="shared" si="234"/>
        <v>1.5058069122377421E-3</v>
      </c>
      <c r="X675" s="25">
        <f t="shared" si="235"/>
        <v>1.312210697180657E-3</v>
      </c>
      <c r="Y675" s="8">
        <f t="shared" si="231"/>
        <v>0.71540248914121707</v>
      </c>
      <c r="Z675" s="27">
        <f t="shared" si="232"/>
        <v>0.45825432741129918</v>
      </c>
      <c r="AA675" s="27"/>
      <c r="AB675" s="27"/>
      <c r="AC675" s="56">
        <f t="shared" si="226"/>
        <v>0</v>
      </c>
      <c r="AE675" s="20">
        <f t="shared" si="236"/>
        <v>0</v>
      </c>
      <c r="AF675" s="20">
        <f t="shared" si="237"/>
        <v>1425693150</v>
      </c>
      <c r="AG675">
        <f t="shared" si="223"/>
        <v>0</v>
      </c>
      <c r="AH675">
        <f t="shared" si="224"/>
        <v>0</v>
      </c>
      <c r="AI675">
        <f t="shared" si="225"/>
        <v>12338670672</v>
      </c>
    </row>
    <row r="676" spans="2:35" x14ac:dyDescent="0.25">
      <c r="B676" s="4">
        <v>2025</v>
      </c>
      <c r="C676" s="4" t="s">
        <v>49</v>
      </c>
      <c r="D676" s="1" t="s">
        <v>424</v>
      </c>
      <c r="E676" s="4" t="str">
        <f t="shared" si="227"/>
        <v>PSE-WA</v>
      </c>
      <c r="F676" s="4" t="s">
        <v>135</v>
      </c>
      <c r="G676" s="4"/>
      <c r="H676" s="11" t="s">
        <v>444</v>
      </c>
      <c r="I676" s="4"/>
      <c r="J676" s="4" t="s">
        <v>155</v>
      </c>
      <c r="K676" s="5"/>
      <c r="L676" s="28"/>
      <c r="M676" s="8">
        <v>277349</v>
      </c>
      <c r="N676" s="8"/>
      <c r="O676" s="8">
        <f>SUMIFS(EIAwtransport!$J$2:$J$675,EIAwtransport!$E$2:$E$675,Program_data!$E676,EIAwtransport!$H$2:$H$675,Program_data!$F676,EIAwtransport!$I$2:$I$675,Program_data!O$2)</f>
        <v>722022000</v>
      </c>
      <c r="P676" s="5">
        <f>SUMIFS(EIAwtransport!$J$2:$J$675,EIAwtransport!$E$2:$E$675,Program_data!$E676,EIAwtransport!$H$2:$H$675,Program_data!$F676,EIAwtransport!$I$2:$I$675,Program_data!P$2)</f>
        <v>61102800</v>
      </c>
      <c r="Q676" s="5">
        <f>SUMIFS(EIAwtransport!$J$2:$J$675,EIAwtransport!$E$2:$E$675,Program_data!$E676,EIAwtransport!$H$2:$H$675,Program_data!$F676,EIAwtransport!$I$2:$I$675,Program_data!Q$2)</f>
        <v>801186</v>
      </c>
      <c r="R676" s="8">
        <f>SUMIFS(EIAwtransport!$J$2:$J$675,EIAwtransport!$E$2:$E$675,Program_data!$E676,EIAwtransport!$I$2:$I$675,Program_data!R$2)</f>
        <v>1056069000</v>
      </c>
      <c r="S676" s="5">
        <f>SUMIFS(EIAwtransport!$J$2:$J$675,EIAwtransport!$E$2:$E$675,Program_data!$E676,EIAwtransport!$I$2:$I$675,Program_data!S$2)</f>
        <v>116976400</v>
      </c>
      <c r="T676" s="5">
        <f>SUMIFS(EIAwtransport!$J$2:$J$675,EIAwtransport!$E$2:$E$675,Program_data!$E676,EIAwtransport!$I$2:$I$675,Program_data!T$2)</f>
        <v>860438</v>
      </c>
      <c r="U676" s="24">
        <f t="shared" si="233"/>
        <v>0</v>
      </c>
      <c r="V676" s="24">
        <f t="shared" si="238"/>
        <v>0</v>
      </c>
      <c r="W676" s="24">
        <f t="shared" si="234"/>
        <v>2.626239383979645E-4</v>
      </c>
      <c r="X676" s="25">
        <f t="shared" si="235"/>
        <v>2.2885931688903914E-4</v>
      </c>
      <c r="Y676" s="8">
        <f t="shared" si="231"/>
        <v>0.12477152130930717</v>
      </c>
      <c r="Z676" s="27">
        <f t="shared" si="232"/>
        <v>7.9922967064760458E-2</v>
      </c>
      <c r="AA676" s="27"/>
      <c r="AB676" s="27"/>
      <c r="AC676" s="56">
        <f t="shared" si="226"/>
        <v>0</v>
      </c>
      <c r="AE676" s="20">
        <f t="shared" si="236"/>
        <v>0</v>
      </c>
      <c r="AF676" s="20">
        <f t="shared" si="237"/>
        <v>1425693150</v>
      </c>
      <c r="AG676">
        <f t="shared" si="223"/>
        <v>0</v>
      </c>
      <c r="AH676">
        <f t="shared" si="224"/>
        <v>0</v>
      </c>
      <c r="AI676">
        <f t="shared" si="225"/>
        <v>12338670672</v>
      </c>
    </row>
    <row r="677" spans="2:35" x14ac:dyDescent="0.25">
      <c r="B677" s="4">
        <v>2025</v>
      </c>
      <c r="C677" s="4" t="s">
        <v>49</v>
      </c>
      <c r="D677" s="1" t="s">
        <v>424</v>
      </c>
      <c r="E677" s="4" t="str">
        <f t="shared" si="227"/>
        <v>PSE-WA</v>
      </c>
      <c r="F677" s="4" t="s">
        <v>135</v>
      </c>
      <c r="G677" s="4"/>
      <c r="H677" s="11" t="s">
        <v>445</v>
      </c>
      <c r="I677" s="4"/>
      <c r="J677" s="4" t="s">
        <v>155</v>
      </c>
      <c r="K677" s="5"/>
      <c r="L677" s="28"/>
      <c r="M677" s="8">
        <v>2993180</v>
      </c>
      <c r="N677" s="8"/>
      <c r="O677" s="8">
        <f>SUMIFS(EIAwtransport!$J$2:$J$675,EIAwtransport!$E$2:$E$675,Program_data!$E677,EIAwtransport!$H$2:$H$675,Program_data!$F677,EIAwtransport!$I$2:$I$675,Program_data!O$2)</f>
        <v>722022000</v>
      </c>
      <c r="P677" s="5">
        <f>SUMIFS(EIAwtransport!$J$2:$J$675,EIAwtransport!$E$2:$E$675,Program_data!$E677,EIAwtransport!$H$2:$H$675,Program_data!$F677,EIAwtransport!$I$2:$I$675,Program_data!P$2)</f>
        <v>61102800</v>
      </c>
      <c r="Q677" s="5">
        <f>SUMIFS(EIAwtransport!$J$2:$J$675,EIAwtransport!$E$2:$E$675,Program_data!$E677,EIAwtransport!$H$2:$H$675,Program_data!$F677,EIAwtransport!$I$2:$I$675,Program_data!Q$2)</f>
        <v>801186</v>
      </c>
      <c r="R677" s="8">
        <f>SUMIFS(EIAwtransport!$J$2:$J$675,EIAwtransport!$E$2:$E$675,Program_data!$E677,EIAwtransport!$I$2:$I$675,Program_data!R$2)</f>
        <v>1056069000</v>
      </c>
      <c r="S677" s="5">
        <f>SUMIFS(EIAwtransport!$J$2:$J$675,EIAwtransport!$E$2:$E$675,Program_data!$E677,EIAwtransport!$I$2:$I$675,Program_data!S$2)</f>
        <v>116976400</v>
      </c>
      <c r="T677" s="5">
        <f>SUMIFS(EIAwtransport!$J$2:$J$675,EIAwtransport!$E$2:$E$675,Program_data!$E677,EIAwtransport!$I$2:$I$675,Program_data!T$2)</f>
        <v>860438</v>
      </c>
      <c r="U677" s="24">
        <f t="shared" si="233"/>
        <v>0</v>
      </c>
      <c r="V677" s="24">
        <f t="shared" si="238"/>
        <v>0</v>
      </c>
      <c r="W677" s="24">
        <f t="shared" si="234"/>
        <v>2.8342655640871952E-3</v>
      </c>
      <c r="X677" s="25">
        <f t="shared" si="235"/>
        <v>2.4698741662163345E-3</v>
      </c>
      <c r="Y677" s="8">
        <f t="shared" si="231"/>
        <v>1.3465475705792775</v>
      </c>
      <c r="Z677" s="27">
        <f t="shared" si="232"/>
        <v>0.86253718801545964</v>
      </c>
      <c r="AA677" s="27"/>
      <c r="AB677" s="27"/>
      <c r="AC677" s="56">
        <f t="shared" si="226"/>
        <v>0</v>
      </c>
      <c r="AE677" s="20">
        <f t="shared" si="236"/>
        <v>0</v>
      </c>
      <c r="AF677" s="20">
        <f t="shared" si="237"/>
        <v>1425693150</v>
      </c>
      <c r="AG677">
        <f t="shared" si="223"/>
        <v>0</v>
      </c>
      <c r="AH677">
        <f t="shared" si="224"/>
        <v>0</v>
      </c>
      <c r="AI677">
        <f t="shared" si="225"/>
        <v>12338670672</v>
      </c>
    </row>
    <row r="678" spans="2:35" x14ac:dyDescent="0.25">
      <c r="B678" s="4">
        <v>2025</v>
      </c>
      <c r="C678" s="4" t="s">
        <v>49</v>
      </c>
      <c r="D678" s="1" t="s">
        <v>424</v>
      </c>
      <c r="E678" s="4" t="str">
        <f t="shared" si="227"/>
        <v>PSE-WA</v>
      </c>
      <c r="F678" s="4" t="s">
        <v>135</v>
      </c>
      <c r="G678" s="4"/>
      <c r="H678" s="11" t="s">
        <v>446</v>
      </c>
      <c r="I678" s="4"/>
      <c r="J678" s="4" t="s">
        <v>155</v>
      </c>
      <c r="K678" s="5"/>
      <c r="L678" s="28"/>
      <c r="M678" s="8">
        <v>590948</v>
      </c>
      <c r="N678" s="8"/>
      <c r="O678" s="8">
        <f>SUMIFS(EIAwtransport!$J$2:$J$675,EIAwtransport!$E$2:$E$675,Program_data!$E678,EIAwtransport!$H$2:$H$675,Program_data!$F678,EIAwtransport!$I$2:$I$675,Program_data!O$2)</f>
        <v>722022000</v>
      </c>
      <c r="P678" s="5">
        <f>SUMIFS(EIAwtransport!$J$2:$J$675,EIAwtransport!$E$2:$E$675,Program_data!$E678,EIAwtransport!$H$2:$H$675,Program_data!$F678,EIAwtransport!$I$2:$I$675,Program_data!P$2)</f>
        <v>61102800</v>
      </c>
      <c r="Q678" s="5">
        <f>SUMIFS(EIAwtransport!$J$2:$J$675,EIAwtransport!$E$2:$E$675,Program_data!$E678,EIAwtransport!$H$2:$H$675,Program_data!$F678,EIAwtransport!$I$2:$I$675,Program_data!Q$2)</f>
        <v>801186</v>
      </c>
      <c r="R678" s="8">
        <f>SUMIFS(EIAwtransport!$J$2:$J$675,EIAwtransport!$E$2:$E$675,Program_data!$E678,EIAwtransport!$I$2:$I$675,Program_data!R$2)</f>
        <v>1056069000</v>
      </c>
      <c r="S678" s="5">
        <f>SUMIFS(EIAwtransport!$J$2:$J$675,EIAwtransport!$E$2:$E$675,Program_data!$E678,EIAwtransport!$I$2:$I$675,Program_data!S$2)</f>
        <v>116976400</v>
      </c>
      <c r="T678" s="5">
        <f>SUMIFS(EIAwtransport!$J$2:$J$675,EIAwtransport!$E$2:$E$675,Program_data!$E678,EIAwtransport!$I$2:$I$675,Program_data!T$2)</f>
        <v>860438</v>
      </c>
      <c r="U678" s="24">
        <f t="shared" si="233"/>
        <v>0</v>
      </c>
      <c r="V678" s="24">
        <f t="shared" si="238"/>
        <v>0</v>
      </c>
      <c r="W678" s="24">
        <f t="shared" si="234"/>
        <v>5.5957328545767372E-4</v>
      </c>
      <c r="X678" s="25">
        <f t="shared" si="235"/>
        <v>4.8763094727921825E-4</v>
      </c>
      <c r="Y678" s="8">
        <f t="shared" si="231"/>
        <v>0.26585089895652214</v>
      </c>
      <c r="Z678" s="27">
        <f t="shared" si="232"/>
        <v>0.1702920058878383</v>
      </c>
      <c r="AA678" s="27"/>
      <c r="AB678" s="27"/>
      <c r="AC678" s="56">
        <f t="shared" si="226"/>
        <v>0</v>
      </c>
      <c r="AE678" s="20">
        <f t="shared" si="236"/>
        <v>0</v>
      </c>
      <c r="AF678" s="20">
        <f t="shared" si="237"/>
        <v>1425693150</v>
      </c>
      <c r="AG678">
        <f t="shared" si="223"/>
        <v>0</v>
      </c>
      <c r="AH678">
        <f t="shared" si="224"/>
        <v>0</v>
      </c>
      <c r="AI678">
        <f t="shared" si="225"/>
        <v>12338670672</v>
      </c>
    </row>
    <row r="679" spans="2:35" x14ac:dyDescent="0.25">
      <c r="B679" s="4">
        <v>2025</v>
      </c>
      <c r="C679" s="4" t="s">
        <v>49</v>
      </c>
      <c r="D679" s="1" t="s">
        <v>424</v>
      </c>
      <c r="E679" s="4" t="str">
        <f t="shared" si="227"/>
        <v>PSE-WA</v>
      </c>
      <c r="F679" s="4" t="s">
        <v>135</v>
      </c>
      <c r="G679" s="4"/>
      <c r="H679" s="11" t="s">
        <v>447</v>
      </c>
      <c r="I679" s="4"/>
      <c r="J679" s="4" t="s">
        <v>155</v>
      </c>
      <c r="K679" s="5"/>
      <c r="L679" s="28"/>
      <c r="M679" s="8">
        <v>180000</v>
      </c>
      <c r="N679" s="8"/>
      <c r="O679" s="8">
        <f>SUMIFS(EIAwtransport!$J$2:$J$675,EIAwtransport!$E$2:$E$675,Program_data!$E679,EIAwtransport!$H$2:$H$675,Program_data!$F679,EIAwtransport!$I$2:$I$675,Program_data!O$2)</f>
        <v>722022000</v>
      </c>
      <c r="P679" s="5">
        <f>SUMIFS(EIAwtransport!$J$2:$J$675,EIAwtransport!$E$2:$E$675,Program_data!$E679,EIAwtransport!$H$2:$H$675,Program_data!$F679,EIAwtransport!$I$2:$I$675,Program_data!P$2)</f>
        <v>61102800</v>
      </c>
      <c r="Q679" s="5">
        <f>SUMIFS(EIAwtransport!$J$2:$J$675,EIAwtransport!$E$2:$E$675,Program_data!$E679,EIAwtransport!$H$2:$H$675,Program_data!$F679,EIAwtransport!$I$2:$I$675,Program_data!Q$2)</f>
        <v>801186</v>
      </c>
      <c r="R679" s="8">
        <f>SUMIFS(EIAwtransport!$J$2:$J$675,EIAwtransport!$E$2:$E$675,Program_data!$E679,EIAwtransport!$I$2:$I$675,Program_data!R$2)</f>
        <v>1056069000</v>
      </c>
      <c r="S679" s="5">
        <f>SUMIFS(EIAwtransport!$J$2:$J$675,EIAwtransport!$E$2:$E$675,Program_data!$E679,EIAwtransport!$I$2:$I$675,Program_data!S$2)</f>
        <v>116976400</v>
      </c>
      <c r="T679" s="5">
        <f>SUMIFS(EIAwtransport!$J$2:$J$675,EIAwtransport!$E$2:$E$675,Program_data!$E679,EIAwtransport!$I$2:$I$675,Program_data!T$2)</f>
        <v>860438</v>
      </c>
      <c r="U679" s="24">
        <f t="shared" si="233"/>
        <v>0</v>
      </c>
      <c r="V679" s="24">
        <f t="shared" si="238"/>
        <v>0</v>
      </c>
      <c r="W679" s="24">
        <f t="shared" si="234"/>
        <v>1.7044340852728372E-4</v>
      </c>
      <c r="X679" s="25">
        <f t="shared" si="235"/>
        <v>1.4853010841945363E-4</v>
      </c>
      <c r="Y679" s="8">
        <f t="shared" si="231"/>
        <v>8.0976941815817952E-2</v>
      </c>
      <c r="Z679" s="27">
        <f t="shared" si="232"/>
        <v>5.1870149420610433E-2</v>
      </c>
      <c r="AA679" s="27"/>
      <c r="AB679" s="27"/>
      <c r="AC679" s="56">
        <f t="shared" si="226"/>
        <v>0</v>
      </c>
      <c r="AE679" s="20">
        <f t="shared" si="236"/>
        <v>0</v>
      </c>
      <c r="AF679" s="20">
        <f t="shared" si="237"/>
        <v>1425693150</v>
      </c>
      <c r="AG679">
        <f t="shared" si="223"/>
        <v>0</v>
      </c>
      <c r="AH679">
        <f t="shared" si="224"/>
        <v>0</v>
      </c>
      <c r="AI679">
        <f t="shared" si="225"/>
        <v>12338670672</v>
      </c>
    </row>
    <row r="680" spans="2:35" x14ac:dyDescent="0.25">
      <c r="B680" s="4">
        <v>2024</v>
      </c>
      <c r="C680" s="4" t="s">
        <v>43</v>
      </c>
      <c r="D680" s="1" t="s">
        <v>448</v>
      </c>
      <c r="E680" s="4" t="str">
        <f t="shared" si="227"/>
        <v>QUESTAR-UT</v>
      </c>
      <c r="F680" s="4" t="s">
        <v>135</v>
      </c>
      <c r="G680" s="4"/>
      <c r="H680" s="11" t="s">
        <v>449</v>
      </c>
      <c r="I680" s="4"/>
      <c r="J680" s="4" t="s">
        <v>21</v>
      </c>
      <c r="K680" s="5">
        <v>361656</v>
      </c>
      <c r="L680" s="5">
        <f>K680/_xlfn.XLOOKUP(C680,'Utility target list'!$K$2:$K$8,'Utility target list'!$L$2:$L$8,1,0,1)</f>
        <v>401840</v>
      </c>
      <c r="M680" s="8">
        <v>546720</v>
      </c>
      <c r="N680" s="8">
        <v>0</v>
      </c>
      <c r="O680" s="8">
        <f>SUMIFS(EIAwtransport!$J$2:$J$675,EIAwtransport!$E$2:$E$675,Program_data!$E680,EIAwtransport!$H$2:$H$675,Program_data!$F680,EIAwtransport!$I$2:$I$675,Program_data!O$2)</f>
        <v>641200442</v>
      </c>
      <c r="P680" s="5">
        <f>SUMIFS(EIAwtransport!$J$2:$J$675,EIAwtransport!$E$2:$E$675,Program_data!$E680,EIAwtransport!$H$2:$H$675,Program_data!$F680,EIAwtransport!$I$2:$I$675,Program_data!P$2)</f>
        <v>71307443</v>
      </c>
      <c r="Q680" s="5">
        <f>SUMIFS(EIAwtransport!$J$2:$J$675,EIAwtransport!$E$2:$E$675,Program_data!$E680,EIAwtransport!$H$2:$H$675,Program_data!$F680,EIAwtransport!$I$2:$I$675,Program_data!Q$2)</f>
        <v>1025383</v>
      </c>
      <c r="R680" s="8">
        <f>SUMIFS(EIAwtransport!$J$2:$J$675,EIAwtransport!$E$2:$E$675,Program_data!$E680,EIAwtransport!$I$2:$I$675,Program_data!R$2)</f>
        <v>890186819</v>
      </c>
      <c r="S680" s="5">
        <f>SUMIFS(EIAwtransport!$J$2:$J$675,EIAwtransport!$E$2:$E$675,Program_data!$E680,EIAwtransport!$I$2:$I$675,Program_data!S$2)</f>
        <v>150401793</v>
      </c>
      <c r="T680" s="5">
        <f>SUMIFS(EIAwtransport!$J$2:$J$675,EIAwtransport!$E$2:$E$675,Program_data!$E680,EIAwtransport!$I$2:$I$675,Program_data!T$2)</f>
        <v>1097490</v>
      </c>
      <c r="U680" s="24">
        <f t="shared" si="233"/>
        <v>2.3210414990784258E-4</v>
      </c>
      <c r="V680" s="24">
        <f t="shared" si="238"/>
        <v>2.5789349989760289E-4</v>
      </c>
      <c r="W680" s="24">
        <f t="shared" si="234"/>
        <v>6.1416321645175922E-4</v>
      </c>
      <c r="X680" s="25">
        <f t="shared" si="235"/>
        <v>3.5087481152701935E-4</v>
      </c>
      <c r="Y680" s="8">
        <f t="shared" si="231"/>
        <v>6.8379289358753231E-2</v>
      </c>
      <c r="Z680" s="27">
        <f t="shared" si="232"/>
        <v>5.9954972399369949E-2</v>
      </c>
      <c r="AA680" s="33" t="s">
        <v>450</v>
      </c>
      <c r="AB680" s="27"/>
      <c r="AC680" s="56">
        <f t="shared" si="226"/>
        <v>1.4093520501844928E-2</v>
      </c>
      <c r="AE680" s="20">
        <f t="shared" si="236"/>
        <v>0</v>
      </c>
      <c r="AF680" s="20">
        <f t="shared" si="237"/>
        <v>1201752205.6500001</v>
      </c>
      <c r="AG680">
        <f t="shared" si="223"/>
        <v>38147474.880000003</v>
      </c>
      <c r="AH680">
        <f t="shared" si="224"/>
        <v>42386083.200000003</v>
      </c>
      <c r="AI680">
        <f t="shared" si="225"/>
        <v>15864381125.640001</v>
      </c>
    </row>
    <row r="681" spans="2:35" x14ac:dyDescent="0.25">
      <c r="B681" s="4">
        <v>2024</v>
      </c>
      <c r="C681" s="4" t="s">
        <v>43</v>
      </c>
      <c r="D681" s="1" t="s">
        <v>448</v>
      </c>
      <c r="E681" s="4" t="str">
        <f t="shared" si="227"/>
        <v>QUESTAR-UT</v>
      </c>
      <c r="F681" s="4" t="s">
        <v>135</v>
      </c>
      <c r="G681" s="4"/>
      <c r="H681" s="11" t="s">
        <v>451</v>
      </c>
      <c r="I681" s="4"/>
      <c r="J681" s="4" t="s">
        <v>27</v>
      </c>
      <c r="K681" s="5">
        <v>856281.51655913051</v>
      </c>
      <c r="L681" s="5">
        <f>K681/_xlfn.XLOOKUP(C681,'Utility target list'!$K$2:$K$8,'Utility target list'!$L$2:$L$8,1,0,1)</f>
        <v>951423.9072879228</v>
      </c>
      <c r="M681" s="8">
        <v>6738804</v>
      </c>
      <c r="N681" s="8">
        <v>5825804</v>
      </c>
      <c r="O681" s="8">
        <f>SUMIFS(EIAwtransport!$J$2:$J$675,EIAwtransport!$E$2:$E$675,Program_data!$E681,EIAwtransport!$H$2:$H$675,Program_data!$F681,EIAwtransport!$I$2:$I$675,Program_data!O$2)</f>
        <v>641200442</v>
      </c>
      <c r="P681" s="5">
        <f>SUMIFS(EIAwtransport!$J$2:$J$675,EIAwtransport!$E$2:$E$675,Program_data!$E681,EIAwtransport!$H$2:$H$675,Program_data!$F681,EIAwtransport!$I$2:$I$675,Program_data!P$2)</f>
        <v>71307443</v>
      </c>
      <c r="Q681" s="5">
        <f>SUMIFS(EIAwtransport!$J$2:$J$675,EIAwtransport!$E$2:$E$675,Program_data!$E681,EIAwtransport!$H$2:$H$675,Program_data!$F681,EIAwtransport!$I$2:$I$675,Program_data!Q$2)</f>
        <v>1025383</v>
      </c>
      <c r="R681" s="8">
        <f>SUMIFS(EIAwtransport!$J$2:$J$675,EIAwtransport!$E$2:$E$675,Program_data!$E681,EIAwtransport!$I$2:$I$675,Program_data!R$2)</f>
        <v>890186819</v>
      </c>
      <c r="S681" s="5">
        <f>SUMIFS(EIAwtransport!$J$2:$J$675,EIAwtransport!$E$2:$E$675,Program_data!$E681,EIAwtransport!$I$2:$I$675,Program_data!S$2)</f>
        <v>150401793</v>
      </c>
      <c r="T681" s="5">
        <f>SUMIFS(EIAwtransport!$J$2:$J$675,EIAwtransport!$E$2:$E$675,Program_data!$E681,EIAwtransport!$I$2:$I$675,Program_data!T$2)</f>
        <v>1097490</v>
      </c>
      <c r="U681" s="24">
        <f t="shared" si="233"/>
        <v>5.4954568286646761E-4</v>
      </c>
      <c r="V681" s="24">
        <f t="shared" si="238"/>
        <v>6.1060631429607514E-4</v>
      </c>
      <c r="W681" s="24">
        <f t="shared" si="234"/>
        <v>7.5701008554250456E-3</v>
      </c>
      <c r="X681" s="25">
        <f t="shared" si="235"/>
        <v>4.3248401072167172E-3</v>
      </c>
      <c r="Y681" s="8">
        <f t="shared" si="231"/>
        <v>0.84283477584124167</v>
      </c>
      <c r="Z681" s="27">
        <f t="shared" si="232"/>
        <v>0.73899767307719455</v>
      </c>
      <c r="AA681" s="33" t="s">
        <v>452</v>
      </c>
      <c r="AB681" s="27"/>
      <c r="AC681" s="56">
        <f t="shared" si="226"/>
        <v>3.3368784449800293E-2</v>
      </c>
      <c r="AE681" s="20">
        <f t="shared" si="236"/>
        <v>7864835.4000000004</v>
      </c>
      <c r="AF681" s="20">
        <f t="shared" si="237"/>
        <v>1201752205.6500001</v>
      </c>
      <c r="AG681">
        <f t="shared" si="223"/>
        <v>90320574.366657093</v>
      </c>
      <c r="AH681">
        <f t="shared" si="224"/>
        <v>100356193.74073011</v>
      </c>
      <c r="AI681">
        <f t="shared" si="225"/>
        <v>15864381125.640001</v>
      </c>
    </row>
    <row r="682" spans="2:35" x14ac:dyDescent="0.25">
      <c r="B682" s="4">
        <v>2024</v>
      </c>
      <c r="C682" s="4" t="s">
        <v>43</v>
      </c>
      <c r="D682" s="1" t="s">
        <v>448</v>
      </c>
      <c r="E682" s="4" t="str">
        <f t="shared" si="227"/>
        <v>QUESTAR-UT</v>
      </c>
      <c r="F682" s="4" t="s">
        <v>135</v>
      </c>
      <c r="G682" s="4"/>
      <c r="H682" s="11" t="s">
        <v>453</v>
      </c>
      <c r="I682" s="4"/>
      <c r="J682" s="4" t="s">
        <v>21</v>
      </c>
      <c r="K682" s="5">
        <v>2512890.44</v>
      </c>
      <c r="L682" s="5">
        <f>K682/_xlfn.XLOOKUP(C682,'Utility target list'!$K$2:$K$8,'Utility target list'!$L$2:$L$8,1,0,1)</f>
        <v>2792100.4888888886</v>
      </c>
      <c r="M682" s="8">
        <v>8153010</v>
      </c>
      <c r="N682" s="8">
        <v>7577010</v>
      </c>
      <c r="O682" s="8">
        <f>SUMIFS(EIAwtransport!$J$2:$J$675,EIAwtransport!$E$2:$E$675,Program_data!$E682,EIAwtransport!$H$2:$H$675,Program_data!$F682,EIAwtransport!$I$2:$I$675,Program_data!O$2)</f>
        <v>641200442</v>
      </c>
      <c r="P682" s="5">
        <f>SUMIFS(EIAwtransport!$J$2:$J$675,EIAwtransport!$E$2:$E$675,Program_data!$E682,EIAwtransport!$H$2:$H$675,Program_data!$F682,EIAwtransport!$I$2:$I$675,Program_data!P$2)</f>
        <v>71307443</v>
      </c>
      <c r="Q682" s="5">
        <f>SUMIFS(EIAwtransport!$J$2:$J$675,EIAwtransport!$E$2:$E$675,Program_data!$E682,EIAwtransport!$H$2:$H$675,Program_data!$F682,EIAwtransport!$I$2:$I$675,Program_data!Q$2)</f>
        <v>1025383</v>
      </c>
      <c r="R682" s="8">
        <f>SUMIFS(EIAwtransport!$J$2:$J$675,EIAwtransport!$E$2:$E$675,Program_data!$E682,EIAwtransport!$I$2:$I$675,Program_data!R$2)</f>
        <v>890186819</v>
      </c>
      <c r="S682" s="5">
        <f>SUMIFS(EIAwtransport!$J$2:$J$675,EIAwtransport!$E$2:$E$675,Program_data!$E682,EIAwtransport!$I$2:$I$675,Program_data!S$2)</f>
        <v>150401793</v>
      </c>
      <c r="T682" s="5">
        <f>SUMIFS(EIAwtransport!$J$2:$J$675,EIAwtransport!$E$2:$E$675,Program_data!$E682,EIAwtransport!$I$2:$I$675,Program_data!T$2)</f>
        <v>1097490</v>
      </c>
      <c r="U682" s="24">
        <f t="shared" si="233"/>
        <v>1.612726733104786E-3</v>
      </c>
      <c r="V682" s="24">
        <f t="shared" si="238"/>
        <v>1.791918592338651E-3</v>
      </c>
      <c r="W682" s="24">
        <f t="shared" si="234"/>
        <v>9.15876288660257E-3</v>
      </c>
      <c r="X682" s="25">
        <f t="shared" si="235"/>
        <v>5.2324514324112959E-3</v>
      </c>
      <c r="Y682" s="8">
        <f t="shared" si="231"/>
        <v>1.0197121560118683</v>
      </c>
      <c r="Z682" s="27">
        <f t="shared" si="232"/>
        <v>0.89408378973110036</v>
      </c>
      <c r="AA682" s="27"/>
      <c r="AB682" s="27"/>
      <c r="AC682" s="56">
        <f t="shared" si="226"/>
        <v>9.7925854776445359E-2</v>
      </c>
      <c r="AE682" s="20">
        <f t="shared" si="236"/>
        <v>10228963.5</v>
      </c>
      <c r="AF682" s="20">
        <f t="shared" si="237"/>
        <v>1201752205.6500001</v>
      </c>
      <c r="AG682">
        <f t="shared" si="223"/>
        <v>265059683.6112</v>
      </c>
      <c r="AH682">
        <f t="shared" si="224"/>
        <v>294510759.56799996</v>
      </c>
      <c r="AI682">
        <f t="shared" si="225"/>
        <v>15864381125.640001</v>
      </c>
    </row>
    <row r="683" spans="2:35" x14ac:dyDescent="0.25">
      <c r="B683" s="4">
        <v>2024</v>
      </c>
      <c r="C683" s="4" t="s">
        <v>43</v>
      </c>
      <c r="D683" s="1" t="s">
        <v>448</v>
      </c>
      <c r="E683" s="4" t="str">
        <f t="shared" si="227"/>
        <v>QUESTAR-UT</v>
      </c>
      <c r="F683" s="4" t="s">
        <v>135</v>
      </c>
      <c r="G683" s="4"/>
      <c r="H683" s="11" t="s">
        <v>454</v>
      </c>
      <c r="I683" s="4"/>
      <c r="J683" s="4" t="s">
        <v>21</v>
      </c>
      <c r="K683" s="5">
        <v>1448575.4049999993</v>
      </c>
      <c r="L683" s="5">
        <f>K683/_xlfn.XLOOKUP(C683,'Utility target list'!$K$2:$K$8,'Utility target list'!$L$2:$L$8,1,0,1)</f>
        <v>1609528.227777777</v>
      </c>
      <c r="M683" s="8">
        <v>4931950</v>
      </c>
      <c r="N683" s="8">
        <v>3899150</v>
      </c>
      <c r="O683" s="8">
        <f>SUMIFS(EIAwtransport!$J$2:$J$675,EIAwtransport!$E$2:$E$675,Program_data!$E683,EIAwtransport!$H$2:$H$675,Program_data!$F683,EIAwtransport!$I$2:$I$675,Program_data!O$2)</f>
        <v>641200442</v>
      </c>
      <c r="P683" s="5">
        <f>SUMIFS(EIAwtransport!$J$2:$J$675,EIAwtransport!$E$2:$E$675,Program_data!$E683,EIAwtransport!$H$2:$H$675,Program_data!$F683,EIAwtransport!$I$2:$I$675,Program_data!P$2)</f>
        <v>71307443</v>
      </c>
      <c r="Q683" s="5">
        <f>SUMIFS(EIAwtransport!$J$2:$J$675,EIAwtransport!$E$2:$E$675,Program_data!$E683,EIAwtransport!$H$2:$H$675,Program_data!$F683,EIAwtransport!$I$2:$I$675,Program_data!Q$2)</f>
        <v>1025383</v>
      </c>
      <c r="R683" s="8">
        <f>SUMIFS(EIAwtransport!$J$2:$J$675,EIAwtransport!$E$2:$E$675,Program_data!$E683,EIAwtransport!$I$2:$I$675,Program_data!R$2)</f>
        <v>890186819</v>
      </c>
      <c r="S683" s="5">
        <f>SUMIFS(EIAwtransport!$J$2:$J$675,EIAwtransport!$E$2:$E$675,Program_data!$E683,EIAwtransport!$I$2:$I$675,Program_data!S$2)</f>
        <v>150401793</v>
      </c>
      <c r="T683" s="5">
        <f>SUMIFS(EIAwtransport!$J$2:$J$675,EIAwtransport!$E$2:$E$675,Program_data!$E683,EIAwtransport!$I$2:$I$675,Program_data!T$2)</f>
        <v>1097490</v>
      </c>
      <c r="U683" s="24">
        <f t="shared" si="233"/>
        <v>9.2966897536591025E-4</v>
      </c>
      <c r="V683" s="24">
        <f t="shared" si="238"/>
        <v>1.0329655281843448E-3</v>
      </c>
      <c r="W683" s="24">
        <f t="shared" si="234"/>
        <v>5.54035388385143E-3</v>
      </c>
      <c r="X683" s="25">
        <f t="shared" si="235"/>
        <v>3.1652345381743547E-3</v>
      </c>
      <c r="Y683" s="8">
        <f t="shared" si="231"/>
        <v>0.61684817850618778</v>
      </c>
      <c r="Z683" s="27">
        <f t="shared" si="232"/>
        <v>0.54085258656180968</v>
      </c>
      <c r="AA683" s="27"/>
      <c r="AB683" s="27"/>
      <c r="AC683" s="56">
        <f t="shared" si="226"/>
        <v>5.6450127106520594E-2</v>
      </c>
      <c r="AE683" s="20">
        <f t="shared" si="236"/>
        <v>5263852.5</v>
      </c>
      <c r="AF683" s="20">
        <f t="shared" si="237"/>
        <v>1201752205.6500001</v>
      </c>
      <c r="AG683">
        <f t="shared" si="223"/>
        <v>152795733.71939993</v>
      </c>
      <c r="AH683">
        <f t="shared" si="224"/>
        <v>169773037.46599993</v>
      </c>
      <c r="AI683">
        <f t="shared" si="225"/>
        <v>15864381125.640001</v>
      </c>
    </row>
    <row r="684" spans="2:35" x14ac:dyDescent="0.25">
      <c r="B684" s="4">
        <v>2024</v>
      </c>
      <c r="C684" s="4" t="s">
        <v>43</v>
      </c>
      <c r="D684" s="1" t="s">
        <v>448</v>
      </c>
      <c r="E684" s="4" t="str">
        <f t="shared" si="227"/>
        <v>QUESTAR-UT</v>
      </c>
      <c r="F684" s="4" t="s">
        <v>146</v>
      </c>
      <c r="G684" s="4"/>
      <c r="H684" s="11" t="s">
        <v>455</v>
      </c>
      <c r="I684" s="4"/>
      <c r="J684" s="4" t="s">
        <v>21</v>
      </c>
      <c r="K684" s="5">
        <v>926861.66649999982</v>
      </c>
      <c r="L684" s="5">
        <f>K684/_xlfn.XLOOKUP(C684,'Utility target list'!$K$2:$K$8,'Utility target list'!$L$2:$L$8,1,0,1)</f>
        <v>1029846.2961111108</v>
      </c>
      <c r="M684" s="8">
        <v>2690181</v>
      </c>
      <c r="N684" s="8">
        <v>1403181</v>
      </c>
      <c r="O684" s="8">
        <f>SUMIFS(EIAwtransport!$J$2:$J$675,EIAwtransport!$E$2:$E$675,Program_data!$E684,EIAwtransport!$H$2:$H$675,Program_data!$F684,EIAwtransport!$I$2:$I$675,Program_data!O$2)</f>
        <v>248986377</v>
      </c>
      <c r="P684" s="5">
        <f>SUMIFS(EIAwtransport!$J$2:$J$675,EIAwtransport!$E$2:$E$675,Program_data!$E684,EIAwtransport!$H$2:$H$675,Program_data!$F684,EIAwtransport!$I$2:$I$675,Program_data!P$2)</f>
        <v>79094350</v>
      </c>
      <c r="Q684" s="5">
        <f>SUMIFS(EIAwtransport!$J$2:$J$675,EIAwtransport!$E$2:$E$675,Program_data!$E684,EIAwtransport!$H$2:$H$675,Program_data!$F684,EIAwtransport!$I$2:$I$675,Program_data!Q$2)</f>
        <v>72107</v>
      </c>
      <c r="R684" s="8">
        <f>SUMIFS(EIAwtransport!$J$2:$J$675,EIAwtransport!$E$2:$E$675,Program_data!$E684,EIAwtransport!$I$2:$I$675,Program_data!R$2)</f>
        <v>890186819</v>
      </c>
      <c r="S684" s="5">
        <f>SUMIFS(EIAwtransport!$J$2:$J$675,EIAwtransport!$E$2:$E$675,Program_data!$E684,EIAwtransport!$I$2:$I$675,Program_data!S$2)</f>
        <v>150401793</v>
      </c>
      <c r="T684" s="5">
        <f>SUMIFS(EIAwtransport!$J$2:$J$675,EIAwtransport!$E$2:$E$675,Program_data!$E684,EIAwtransport!$I$2:$I$675,Program_data!T$2)</f>
        <v>1097490</v>
      </c>
      <c r="U684" s="24">
        <f t="shared" si="233"/>
        <v>5.9484272121891732E-4</v>
      </c>
      <c r="V684" s="24">
        <f t="shared" si="238"/>
        <v>6.6093635690990808E-4</v>
      </c>
      <c r="W684" s="24">
        <f t="shared" si="234"/>
        <v>3.0220409273438143E-3</v>
      </c>
      <c r="X684" s="25">
        <f t="shared" si="235"/>
        <v>1.7265085443162285E-3</v>
      </c>
      <c r="Y684" s="8">
        <f t="shared" si="231"/>
        <v>2.9024622521704004</v>
      </c>
      <c r="Z684" s="27">
        <f t="shared" si="232"/>
        <v>0.2950134028466298</v>
      </c>
      <c r="AA684" s="27"/>
      <c r="AB684" s="27"/>
      <c r="AC684" s="56">
        <f t="shared" si="226"/>
        <v>3.611925116462026E-2</v>
      </c>
      <c r="AE684" s="20">
        <f t="shared" si="236"/>
        <v>1894294.35</v>
      </c>
      <c r="AF684" s="20">
        <f t="shared" si="237"/>
        <v>1201752205.6500001</v>
      </c>
      <c r="AG684">
        <f t="shared" si="223"/>
        <v>97765368.582419991</v>
      </c>
      <c r="AH684">
        <f t="shared" si="224"/>
        <v>108628187.31379998</v>
      </c>
      <c r="AI684">
        <f t="shared" si="225"/>
        <v>15864381125.640001</v>
      </c>
    </row>
    <row r="685" spans="2:35" x14ac:dyDescent="0.25">
      <c r="B685" s="4">
        <v>2024</v>
      </c>
      <c r="C685" s="4" t="s">
        <v>43</v>
      </c>
      <c r="D685" s="1" t="s">
        <v>448</v>
      </c>
      <c r="E685" s="4" t="str">
        <f t="shared" si="227"/>
        <v>QUESTAR-UT</v>
      </c>
      <c r="F685" s="4" t="s">
        <v>135</v>
      </c>
      <c r="G685" s="4"/>
      <c r="H685" s="11" t="s">
        <v>456</v>
      </c>
      <c r="I685" s="4"/>
      <c r="J685" s="4" t="s">
        <v>155</v>
      </c>
      <c r="K685" s="5">
        <v>0</v>
      </c>
      <c r="L685" s="28"/>
      <c r="M685" s="8">
        <v>1320000</v>
      </c>
      <c r="N685" s="8">
        <v>0</v>
      </c>
      <c r="O685" s="8">
        <f>SUMIFS(EIAwtransport!$J$2:$J$675,EIAwtransport!$E$2:$E$675,Program_data!$E685,EIAwtransport!$H$2:$H$675,Program_data!$F685,EIAwtransport!$I$2:$I$675,Program_data!O$2)</f>
        <v>641200442</v>
      </c>
      <c r="P685" s="5">
        <f>SUMIFS(EIAwtransport!$J$2:$J$675,EIAwtransport!$E$2:$E$675,Program_data!$E685,EIAwtransport!$H$2:$H$675,Program_data!$F685,EIAwtransport!$I$2:$I$675,Program_data!P$2)</f>
        <v>71307443</v>
      </c>
      <c r="Q685" s="5">
        <f>SUMIFS(EIAwtransport!$J$2:$J$675,EIAwtransport!$E$2:$E$675,Program_data!$E685,EIAwtransport!$H$2:$H$675,Program_data!$F685,EIAwtransport!$I$2:$I$675,Program_data!Q$2)</f>
        <v>1025383</v>
      </c>
      <c r="R685" s="8">
        <f>SUMIFS(EIAwtransport!$J$2:$J$675,EIAwtransport!$E$2:$E$675,Program_data!$E685,EIAwtransport!$I$2:$I$675,Program_data!R$2)</f>
        <v>890186819</v>
      </c>
      <c r="S685" s="5">
        <f>SUMIFS(EIAwtransport!$J$2:$J$675,EIAwtransport!$E$2:$E$675,Program_data!$E685,EIAwtransport!$I$2:$I$675,Program_data!S$2)</f>
        <v>150401793</v>
      </c>
      <c r="T685" s="5">
        <f>SUMIFS(EIAwtransport!$J$2:$J$675,EIAwtransport!$E$2:$E$675,Program_data!$E685,EIAwtransport!$I$2:$I$675,Program_data!T$2)</f>
        <v>1097490</v>
      </c>
      <c r="U685" s="24">
        <f t="shared" si="233"/>
        <v>0</v>
      </c>
      <c r="V685" s="24">
        <f t="shared" si="238"/>
        <v>0</v>
      </c>
      <c r="W685" s="24">
        <f t="shared" si="234"/>
        <v>1.482834807060876E-3</v>
      </c>
      <c r="X685" s="25">
        <f t="shared" si="235"/>
        <v>8.4715165206260149E-4</v>
      </c>
      <c r="Y685" s="8">
        <f t="shared" si="231"/>
        <v>0.1650948601725824</v>
      </c>
      <c r="Z685" s="27">
        <f t="shared" si="232"/>
        <v>0.14475520113983087</v>
      </c>
      <c r="AA685" s="27"/>
      <c r="AB685" s="27"/>
      <c r="AC685" s="56">
        <f t="shared" si="226"/>
        <v>0</v>
      </c>
      <c r="AE685" s="20">
        <f t="shared" si="236"/>
        <v>0</v>
      </c>
      <c r="AF685" s="20">
        <f t="shared" si="237"/>
        <v>1201752205.6500001</v>
      </c>
      <c r="AG685">
        <f t="shared" si="223"/>
        <v>0</v>
      </c>
      <c r="AH685">
        <f t="shared" si="224"/>
        <v>0</v>
      </c>
      <c r="AI685">
        <f t="shared" si="225"/>
        <v>15864381125.640001</v>
      </c>
    </row>
    <row r="686" spans="2:35" x14ac:dyDescent="0.25">
      <c r="B686" s="4">
        <v>2024</v>
      </c>
      <c r="C686" s="4" t="s">
        <v>43</v>
      </c>
      <c r="D686" s="1" t="s">
        <v>448</v>
      </c>
      <c r="E686" s="4" t="str">
        <f t="shared" si="227"/>
        <v>QUESTAR-UT</v>
      </c>
      <c r="F686" s="4" t="s">
        <v>135</v>
      </c>
      <c r="G686" s="4"/>
      <c r="H686" s="11" t="s">
        <v>457</v>
      </c>
      <c r="I686" s="4"/>
      <c r="J686" s="4" t="s">
        <v>157</v>
      </c>
      <c r="K686" s="5">
        <v>2816000</v>
      </c>
      <c r="L686" s="5">
        <f>K686/_xlfn.XLOOKUP(C686,'Utility target list'!$K$2:$K$8,'Utility target list'!$L$2:$L$8,1,0,1)</f>
        <v>3128888.888888889</v>
      </c>
      <c r="M686" s="8">
        <v>520800</v>
      </c>
      <c r="N686" s="8">
        <v>0</v>
      </c>
      <c r="O686" s="8">
        <f>SUMIFS(EIAwtransport!$J$2:$J$675,EIAwtransport!$E$2:$E$675,Program_data!$E686,EIAwtransport!$H$2:$H$675,Program_data!$F686,EIAwtransport!$I$2:$I$675,Program_data!O$2)</f>
        <v>641200442</v>
      </c>
      <c r="P686" s="5">
        <f>SUMIFS(EIAwtransport!$J$2:$J$675,EIAwtransport!$E$2:$E$675,Program_data!$E686,EIAwtransport!$H$2:$H$675,Program_data!$F686,EIAwtransport!$I$2:$I$675,Program_data!P$2)</f>
        <v>71307443</v>
      </c>
      <c r="Q686" s="5">
        <f>SUMIFS(EIAwtransport!$J$2:$J$675,EIAwtransport!$E$2:$E$675,Program_data!$E686,EIAwtransport!$H$2:$H$675,Program_data!$F686,EIAwtransport!$I$2:$I$675,Program_data!Q$2)</f>
        <v>1025383</v>
      </c>
      <c r="R686" s="8">
        <f>SUMIFS(EIAwtransport!$J$2:$J$675,EIAwtransport!$E$2:$E$675,Program_data!$E686,EIAwtransport!$I$2:$I$675,Program_data!R$2)</f>
        <v>890186819</v>
      </c>
      <c r="S686" s="5">
        <f>SUMIFS(EIAwtransport!$J$2:$J$675,EIAwtransport!$E$2:$E$675,Program_data!$E686,EIAwtransport!$I$2:$I$675,Program_data!S$2)</f>
        <v>150401793</v>
      </c>
      <c r="T686" s="5">
        <f>SUMIFS(EIAwtransport!$J$2:$J$675,EIAwtransport!$E$2:$E$675,Program_data!$E686,EIAwtransport!$I$2:$I$675,Program_data!T$2)</f>
        <v>1097490</v>
      </c>
      <c r="U686" s="24">
        <f t="shared" si="233"/>
        <v>1.8072568577335499E-3</v>
      </c>
      <c r="V686" s="24">
        <f t="shared" si="238"/>
        <v>2.0080631752595001E-3</v>
      </c>
      <c r="W686" s="24">
        <f t="shared" si="234"/>
        <v>5.8504573296765474E-4</v>
      </c>
      <c r="X686" s="25">
        <f t="shared" si="235"/>
        <v>3.3423983363197189E-4</v>
      </c>
      <c r="Y686" s="8">
        <f t="shared" si="231"/>
        <v>6.5137426649909791E-2</v>
      </c>
      <c r="Z686" s="27">
        <f t="shared" si="232"/>
        <v>5.7112506631533271E-2</v>
      </c>
      <c r="AA686" s="27"/>
      <c r="AB686" s="27"/>
      <c r="AC686" s="56">
        <f t="shared" si="226"/>
        <v>0.10973785512529952</v>
      </c>
      <c r="AE686" s="20">
        <f t="shared" si="236"/>
        <v>0</v>
      </c>
      <c r="AF686" s="20">
        <f t="shared" si="237"/>
        <v>1201752205.6500001</v>
      </c>
      <c r="AG686">
        <f t="shared" si="223"/>
        <v>297031680</v>
      </c>
      <c r="AH686">
        <f t="shared" si="224"/>
        <v>330035200</v>
      </c>
      <c r="AI686">
        <f t="shared" si="225"/>
        <v>15864381125.640001</v>
      </c>
    </row>
    <row r="687" spans="2:35" x14ac:dyDescent="0.25">
      <c r="B687" s="4">
        <v>2024</v>
      </c>
      <c r="C687" s="4" t="s">
        <v>43</v>
      </c>
      <c r="D687" s="1" t="s">
        <v>448</v>
      </c>
      <c r="E687" s="4" t="str">
        <f t="shared" si="227"/>
        <v>QUESTAR-UT</v>
      </c>
      <c r="F687" s="4" t="s">
        <v>143</v>
      </c>
      <c r="G687" s="4">
        <v>1</v>
      </c>
      <c r="H687" s="11" t="s">
        <v>458</v>
      </c>
      <c r="I687" s="4"/>
      <c r="J687" s="4" t="s">
        <v>27</v>
      </c>
      <c r="K687" s="5">
        <v>196578.29919999995</v>
      </c>
      <c r="L687" s="5">
        <f>K687/_xlfn.XLOOKUP(C687,'Utility target list'!$K$2:$K$8,'Utility target list'!$L$2:$L$8,1,0,1)</f>
        <v>218420.33244444439</v>
      </c>
      <c r="M687" s="8">
        <v>759689</v>
      </c>
      <c r="N687" s="8">
        <v>232189</v>
      </c>
      <c r="O687" s="8">
        <f>SUMIFS(EIAwtransport!$J$2:$J$675,EIAwtransport!$E$2:$E$675,Program_data!$E687,EIAwtransport!$H$2:$H$675,Program_data!$F687,EIAwtransport!$I$2:$I$675,Program_data!O$2)</f>
        <v>0</v>
      </c>
      <c r="P687" s="5">
        <f>SUMIFS(EIAwtransport!$J$2:$J$675,EIAwtransport!$E$2:$E$675,Program_data!$E687,EIAwtransport!$H$2:$H$675,Program_data!$F687,EIAwtransport!$I$2:$I$675,Program_data!P$2)</f>
        <v>0</v>
      </c>
      <c r="Q687" s="5">
        <f>SUMIFS(EIAwtransport!$J$2:$J$675,EIAwtransport!$E$2:$E$675,Program_data!$E687,EIAwtransport!$H$2:$H$675,Program_data!$F687,EIAwtransport!$I$2:$I$675,Program_data!Q$2)</f>
        <v>0</v>
      </c>
      <c r="R687" s="8">
        <f>SUMIFS(EIAwtransport!$J$2:$J$675,EIAwtransport!$E$2:$E$675,Program_data!$E687,EIAwtransport!$I$2:$I$675,Program_data!R$2)</f>
        <v>890186819</v>
      </c>
      <c r="S687" s="5">
        <f>SUMIFS(EIAwtransport!$J$2:$J$675,EIAwtransport!$E$2:$E$675,Program_data!$E687,EIAwtransport!$I$2:$I$675,Program_data!S$2)</f>
        <v>150401793</v>
      </c>
      <c r="T687" s="5">
        <f>SUMIFS(EIAwtransport!$J$2:$J$675,EIAwtransport!$E$2:$E$675,Program_data!$E687,EIAwtransport!$I$2:$I$675,Program_data!T$2)</f>
        <v>1097490</v>
      </c>
      <c r="U687" s="24">
        <f t="shared" si="233"/>
        <v>1.2616032645980027E-4</v>
      </c>
      <c r="V687" s="24">
        <f t="shared" si="238"/>
        <v>1.4017814051088916E-4</v>
      </c>
      <c r="W687" s="24">
        <f t="shared" si="234"/>
        <v>8.5340400889490141E-4</v>
      </c>
      <c r="X687" s="25">
        <f t="shared" si="235"/>
        <v>4.8755438742711037E-4</v>
      </c>
      <c r="Y687" s="8">
        <f t="shared" si="231"/>
        <v>3.8645618722496313</v>
      </c>
      <c r="Z687" s="27">
        <f t="shared" si="232"/>
        <v>8.3309798483876499E-2</v>
      </c>
      <c r="AA687" s="27"/>
      <c r="AB687" s="27"/>
      <c r="AC687" s="56">
        <f t="shared" si="226"/>
        <v>7.660540098859153E-3</v>
      </c>
      <c r="AE687" s="20">
        <f t="shared" si="236"/>
        <v>313455.15000000002</v>
      </c>
      <c r="AF687" s="20">
        <f t="shared" si="237"/>
        <v>1201752205.6500001</v>
      </c>
      <c r="AG687">
        <f t="shared" si="223"/>
        <v>20735078.999615997</v>
      </c>
      <c r="AH687">
        <f t="shared" si="224"/>
        <v>23038976.666239996</v>
      </c>
      <c r="AI687">
        <f t="shared" si="225"/>
        <v>15864381125.640001</v>
      </c>
    </row>
    <row r="688" spans="2:35" x14ac:dyDescent="0.25">
      <c r="B688" s="4" t="s">
        <v>459</v>
      </c>
      <c r="C688" s="4" t="s">
        <v>37</v>
      </c>
      <c r="D688" s="1" t="s">
        <v>460</v>
      </c>
      <c r="E688" s="4" t="str">
        <f t="shared" si="227"/>
        <v>PSEG-NJ</v>
      </c>
      <c r="F688" s="4" t="s">
        <v>135</v>
      </c>
      <c r="G688" s="4"/>
      <c r="H688" s="11" t="s">
        <v>461</v>
      </c>
      <c r="I688" s="4"/>
      <c r="J688" s="4" t="s">
        <v>142</v>
      </c>
      <c r="K688" s="5">
        <v>1269519</v>
      </c>
      <c r="L688" s="5">
        <f>K688/_xlfn.XLOOKUP(C688,'Utility target list'!$K$2:$K$8,'Utility target list'!$L$2:$L$8,1,0,1)</f>
        <v>1410576.6666666667</v>
      </c>
      <c r="M688" s="8">
        <v>121459906</v>
      </c>
      <c r="N688" s="8">
        <v>86114993</v>
      </c>
      <c r="O688" s="8">
        <f>SUMIFS(EIAwtransport!$J$2:$J$675,EIAwtransport!$E$2:$E$675,Program_data!$E688,EIAwtransport!$H$2:$H$675,Program_data!$F688,EIAwtransport!$I$2:$I$675,Program_data!O$2)</f>
        <v>1199938741</v>
      </c>
      <c r="P688" s="5">
        <f>SUMIFS(EIAwtransport!$J$2:$J$675,EIAwtransport!$E$2:$E$675,Program_data!$E688,EIAwtransport!$H$2:$H$675,Program_data!$F688,EIAwtransport!$I$2:$I$675,Program_data!P$2)</f>
        <v>140556182</v>
      </c>
      <c r="Q688" s="5">
        <f>SUMIFS(EIAwtransport!$J$2:$J$675,EIAwtransport!$E$2:$E$675,Program_data!$E688,EIAwtransport!$H$2:$H$675,Program_data!$F688,EIAwtransport!$I$2:$I$675,Program_data!Q$2)</f>
        <v>1715380</v>
      </c>
      <c r="R688" s="8">
        <f>SUMIFS(EIAwtransport!$J$2:$J$675,EIAwtransport!$E$2:$E$675,Program_data!$E688,EIAwtransport!$I$2:$I$675,Program_data!R$2)</f>
        <v>1817153408</v>
      </c>
      <c r="S688" s="5">
        <f>SUMIFS(EIAwtransport!$J$2:$J$675,EIAwtransport!$E$2:$E$675,Program_data!$E688,EIAwtransport!$I$2:$I$675,Program_data!S$2)</f>
        <v>265130211</v>
      </c>
      <c r="T688" s="5">
        <f>SUMIFS(EIAwtransport!$J$2:$J$675,EIAwtransport!$E$2:$E$675,Program_data!$E688,EIAwtransport!$I$2:$I$675,Program_data!T$2)</f>
        <v>1880653</v>
      </c>
      <c r="U688" s="24">
        <f t="shared" si="233"/>
        <v>4.6218966730820436E-4</v>
      </c>
      <c r="V688" s="24">
        <f t="shared" si="238"/>
        <v>5.135440747868938E-4</v>
      </c>
      <c r="W688" s="24">
        <f t="shared" si="234"/>
        <v>6.6840755142231784E-2</v>
      </c>
      <c r="X688" s="25">
        <f t="shared" si="235"/>
        <v>4.4219514277002367E-2</v>
      </c>
      <c r="Y688" s="8">
        <f t="shared" si="231"/>
        <v>7.9287460677736634</v>
      </c>
      <c r="Z688" s="27">
        <f t="shared" si="232"/>
        <v>6.6893606864106685</v>
      </c>
      <c r="AA688" s="33" t="s">
        <v>462</v>
      </c>
      <c r="AB688" s="33"/>
      <c r="AC688" s="56">
        <f t="shared" si="226"/>
        <v>1.206618802822185E-3</v>
      </c>
      <c r="AE688" s="20">
        <f t="shared" si="236"/>
        <v>116255240.55000001</v>
      </c>
      <c r="AF688" s="20">
        <f t="shared" si="237"/>
        <v>2453157100.8000002</v>
      </c>
      <c r="AG688">
        <f t="shared" si="223"/>
        <v>133908864.12</v>
      </c>
      <c r="AH688">
        <f t="shared" si="224"/>
        <v>148787626.80000001</v>
      </c>
      <c r="AI688">
        <f t="shared" si="225"/>
        <v>27965934656.280003</v>
      </c>
    </row>
    <row r="689" spans="2:35" x14ac:dyDescent="0.25">
      <c r="B689" s="4" t="s">
        <v>459</v>
      </c>
      <c r="C689" s="4" t="s">
        <v>37</v>
      </c>
      <c r="D689" s="1" t="s">
        <v>460</v>
      </c>
      <c r="E689" s="4" t="str">
        <f t="shared" si="227"/>
        <v>PSEG-NJ</v>
      </c>
      <c r="F689" s="4" t="s">
        <v>143</v>
      </c>
      <c r="G689" s="4">
        <v>1</v>
      </c>
      <c r="H689" s="11" t="s">
        <v>463</v>
      </c>
      <c r="I689" s="4"/>
      <c r="J689" s="4" t="s">
        <v>108</v>
      </c>
      <c r="K689" s="5">
        <v>875523</v>
      </c>
      <c r="L689" s="5">
        <f>K689/_xlfn.XLOOKUP(C689,'Utility target list'!$K$2:$K$8,'Utility target list'!$L$2:$L$8,1,0,1)</f>
        <v>972803.33333333326</v>
      </c>
      <c r="M689" s="8">
        <v>122030919</v>
      </c>
      <c r="N689" s="8">
        <v>49397143</v>
      </c>
      <c r="O689" s="8">
        <f>SUMIFS(EIAwtransport!$J$2:$J$675,EIAwtransport!$E$2:$E$675,Program_data!$E689,EIAwtransport!$H$2:$H$675,Program_data!$F689,EIAwtransport!$I$2:$I$675,Program_data!O$2)</f>
        <v>0</v>
      </c>
      <c r="P689" s="5">
        <f>SUMIFS(EIAwtransport!$J$2:$J$675,EIAwtransport!$E$2:$E$675,Program_data!$E689,EIAwtransport!$H$2:$H$675,Program_data!$F689,EIAwtransport!$I$2:$I$675,Program_data!P$2)</f>
        <v>0</v>
      </c>
      <c r="Q689" s="5">
        <f>SUMIFS(EIAwtransport!$J$2:$J$675,EIAwtransport!$E$2:$E$675,Program_data!$E689,EIAwtransport!$H$2:$H$675,Program_data!$F689,EIAwtransport!$I$2:$I$675,Program_data!Q$2)</f>
        <v>0</v>
      </c>
      <c r="R689" s="8">
        <f>SUMIFS(EIAwtransport!$J$2:$J$675,EIAwtransport!$E$2:$E$675,Program_data!$E689,EIAwtransport!$I$2:$I$675,Program_data!R$2)</f>
        <v>1817153408</v>
      </c>
      <c r="S689" s="5">
        <f>SUMIFS(EIAwtransport!$J$2:$J$675,EIAwtransport!$E$2:$E$675,Program_data!$E689,EIAwtransport!$I$2:$I$675,Program_data!S$2)</f>
        <v>265130211</v>
      </c>
      <c r="T689" s="5">
        <f>SUMIFS(EIAwtransport!$J$2:$J$675,EIAwtransport!$E$2:$E$675,Program_data!$E689,EIAwtransport!$I$2:$I$675,Program_data!T$2)</f>
        <v>1880653</v>
      </c>
      <c r="U689" s="24">
        <f t="shared" si="233"/>
        <v>3.1874882068774155E-4</v>
      </c>
      <c r="V689" s="24">
        <f t="shared" si="238"/>
        <v>3.5416535631971287E-4</v>
      </c>
      <c r="W689" s="24">
        <f t="shared" si="234"/>
        <v>6.7154990031529582E-2</v>
      </c>
      <c r="X689" s="25">
        <f t="shared" si="235"/>
        <v>4.4427401129029528E-2</v>
      </c>
      <c r="Y689" s="8">
        <f t="shared" si="231"/>
        <v>139.38059765420212</v>
      </c>
      <c r="Z689" s="27">
        <f t="shared" si="232"/>
        <v>6.7208090222395258</v>
      </c>
      <c r="AA689" s="35" t="s">
        <v>464</v>
      </c>
      <c r="AB689" s="33" t="s">
        <v>465</v>
      </c>
      <c r="AC689" s="56">
        <f t="shared" si="226"/>
        <v>8.3214391758082234E-4</v>
      </c>
      <c r="AE689" s="20">
        <f t="shared" si="236"/>
        <v>66686143.050000004</v>
      </c>
      <c r="AF689" s="20">
        <f t="shared" si="237"/>
        <v>2453157100.8000002</v>
      </c>
      <c r="AG689">
        <f t="shared" si="223"/>
        <v>92350166.040000007</v>
      </c>
      <c r="AH689">
        <f t="shared" si="224"/>
        <v>102611295.59999999</v>
      </c>
      <c r="AI689">
        <f t="shared" si="225"/>
        <v>27965934656.280003</v>
      </c>
    </row>
    <row r="690" spans="2:35" x14ac:dyDescent="0.25">
      <c r="B690" s="4" t="s">
        <v>459</v>
      </c>
      <c r="C690" s="4" t="s">
        <v>37</v>
      </c>
      <c r="D690" s="1" t="s">
        <v>460</v>
      </c>
      <c r="E690" s="4" t="str">
        <f t="shared" si="227"/>
        <v>PSEG-NJ</v>
      </c>
      <c r="F690" s="4" t="s">
        <v>135</v>
      </c>
      <c r="G690" s="4"/>
      <c r="H690" s="11" t="s">
        <v>466</v>
      </c>
      <c r="I690" s="4"/>
      <c r="J690" s="4" t="s">
        <v>142</v>
      </c>
      <c r="K690" s="5">
        <v>2445176</v>
      </c>
      <c r="L690" s="5">
        <f>K690/_xlfn.XLOOKUP(C690,'Utility target list'!$K$2:$K$8,'Utility target list'!$L$2:$L$8,1,0,1)</f>
        <v>2716862.222222222</v>
      </c>
      <c r="M690" s="8">
        <v>119285590</v>
      </c>
      <c r="N690" s="8">
        <v>84069327</v>
      </c>
      <c r="O690" s="8">
        <f>SUMIFS(EIAwtransport!$J$2:$J$675,EIAwtransport!$E$2:$E$675,Program_data!$E690,EIAwtransport!$H$2:$H$675,Program_data!$F690,EIAwtransport!$I$2:$I$675,Program_data!O$2)</f>
        <v>1199938741</v>
      </c>
      <c r="P690" s="5">
        <f>SUMIFS(EIAwtransport!$J$2:$J$675,EIAwtransport!$E$2:$E$675,Program_data!$E690,EIAwtransport!$H$2:$H$675,Program_data!$F690,EIAwtransport!$I$2:$I$675,Program_data!P$2)</f>
        <v>140556182</v>
      </c>
      <c r="Q690" s="5">
        <f>SUMIFS(EIAwtransport!$J$2:$J$675,EIAwtransport!$E$2:$E$675,Program_data!$E690,EIAwtransport!$H$2:$H$675,Program_data!$F690,EIAwtransport!$I$2:$I$675,Program_data!Q$2)</f>
        <v>1715380</v>
      </c>
      <c r="R690" s="8">
        <f>SUMIFS(EIAwtransport!$J$2:$J$675,EIAwtransport!$E$2:$E$675,Program_data!$E690,EIAwtransport!$I$2:$I$675,Program_data!R$2)</f>
        <v>1817153408</v>
      </c>
      <c r="S690" s="5">
        <f>SUMIFS(EIAwtransport!$J$2:$J$675,EIAwtransport!$E$2:$E$675,Program_data!$E690,EIAwtransport!$I$2:$I$675,Program_data!S$2)</f>
        <v>265130211</v>
      </c>
      <c r="T690" s="5">
        <f>SUMIFS(EIAwtransport!$J$2:$J$675,EIAwtransport!$E$2:$E$675,Program_data!$E690,EIAwtransport!$I$2:$I$675,Program_data!T$2)</f>
        <v>1880653</v>
      </c>
      <c r="U690" s="24">
        <f t="shared" si="233"/>
        <v>8.9020730052091063E-4</v>
      </c>
      <c r="V690" s="24">
        <f t="shared" si="238"/>
        <v>9.8911922280101169E-4</v>
      </c>
      <c r="W690" s="24">
        <f t="shared" si="234"/>
        <v>6.5644204542580922E-2</v>
      </c>
      <c r="X690" s="25">
        <f t="shared" si="235"/>
        <v>4.3427918098715233E-2</v>
      </c>
      <c r="Y690" s="8">
        <f t="shared" si="231"/>
        <v>7.7868095225972045</v>
      </c>
      <c r="Z690" s="27">
        <f t="shared" si="232"/>
        <v>6.5696110138707136</v>
      </c>
      <c r="AA690" s="35" t="s">
        <v>467</v>
      </c>
      <c r="AB690" s="33"/>
      <c r="AC690" s="56">
        <f t="shared" si="226"/>
        <v>2.3240261373083343E-3</v>
      </c>
      <c r="AE690" s="20">
        <f t="shared" si="236"/>
        <v>113493591.45</v>
      </c>
      <c r="AF690" s="20">
        <f t="shared" si="237"/>
        <v>2453157100.8000002</v>
      </c>
      <c r="AG690">
        <f t="shared" si="223"/>
        <v>257917164.48000002</v>
      </c>
      <c r="AH690">
        <f t="shared" si="224"/>
        <v>286574627.19999999</v>
      </c>
      <c r="AI690">
        <f t="shared" si="225"/>
        <v>27965934656.280003</v>
      </c>
    </row>
    <row r="691" spans="2:35" x14ac:dyDescent="0.25">
      <c r="B691" s="4" t="s">
        <v>459</v>
      </c>
      <c r="C691" s="4" t="s">
        <v>37</v>
      </c>
      <c r="D691" s="1" t="s">
        <v>460</v>
      </c>
      <c r="E691" s="4" t="str">
        <f t="shared" si="227"/>
        <v>PSEG-NJ</v>
      </c>
      <c r="F691" s="4" t="s">
        <v>135</v>
      </c>
      <c r="G691" s="4"/>
      <c r="H691" s="11" t="s">
        <v>468</v>
      </c>
      <c r="I691" s="4"/>
      <c r="J691" s="4" t="s">
        <v>142</v>
      </c>
      <c r="K691" s="5">
        <v>6218517</v>
      </c>
      <c r="L691" s="5">
        <f>K691/_xlfn.XLOOKUP(C691,'Utility target list'!$K$2:$K$8,'Utility target list'!$L$2:$L$8,1,0,1)</f>
        <v>6909463.333333333</v>
      </c>
      <c r="M691" s="8">
        <v>17756064</v>
      </c>
      <c r="N691" s="8">
        <v>9788786</v>
      </c>
      <c r="O691" s="8">
        <f>SUMIFS(EIAwtransport!$J$2:$J$675,EIAwtransport!$E$2:$E$675,Program_data!$E691,EIAwtransport!$H$2:$H$675,Program_data!$F691,EIAwtransport!$I$2:$I$675,Program_data!O$2)</f>
        <v>1199938741</v>
      </c>
      <c r="P691" s="5">
        <f>SUMIFS(EIAwtransport!$J$2:$J$675,EIAwtransport!$E$2:$E$675,Program_data!$E691,EIAwtransport!$H$2:$H$675,Program_data!$F691,EIAwtransport!$I$2:$I$675,Program_data!P$2)</f>
        <v>140556182</v>
      </c>
      <c r="Q691" s="5">
        <f>SUMIFS(EIAwtransport!$J$2:$J$675,EIAwtransport!$E$2:$E$675,Program_data!$E691,EIAwtransport!$H$2:$H$675,Program_data!$F691,EIAwtransport!$I$2:$I$675,Program_data!Q$2)</f>
        <v>1715380</v>
      </c>
      <c r="R691" s="8">
        <f>SUMIFS(EIAwtransport!$J$2:$J$675,EIAwtransport!$E$2:$E$675,Program_data!$E691,EIAwtransport!$I$2:$I$675,Program_data!R$2)</f>
        <v>1817153408</v>
      </c>
      <c r="S691" s="5">
        <f>SUMIFS(EIAwtransport!$J$2:$J$675,EIAwtransport!$E$2:$E$675,Program_data!$E691,EIAwtransport!$I$2:$I$675,Program_data!S$2)</f>
        <v>265130211</v>
      </c>
      <c r="T691" s="5">
        <f>SUMIFS(EIAwtransport!$J$2:$J$675,EIAwtransport!$E$2:$E$675,Program_data!$E691,EIAwtransport!$I$2:$I$675,Program_data!T$2)</f>
        <v>1880653</v>
      </c>
      <c r="U691" s="24">
        <f t="shared" si="233"/>
        <v>2.2639553274747468E-3</v>
      </c>
      <c r="V691" s="24">
        <f t="shared" si="238"/>
        <v>2.515505919416385E-3</v>
      </c>
      <c r="W691" s="24">
        <f t="shared" si="234"/>
        <v>9.7713621325690517E-3</v>
      </c>
      <c r="X691" s="25">
        <f t="shared" si="235"/>
        <v>6.4643926659334631E-3</v>
      </c>
      <c r="Y691" s="8">
        <f t="shared" si="231"/>
        <v>1.1590929653702968</v>
      </c>
      <c r="Z691" s="27">
        <f t="shared" si="232"/>
        <v>0.97790884563167502</v>
      </c>
      <c r="AA691" s="35" t="s">
        <v>469</v>
      </c>
      <c r="AB691" s="33"/>
      <c r="AC691" s="56">
        <f t="shared" si="226"/>
        <v>5.9104113745988883E-3</v>
      </c>
      <c r="AE691" s="20">
        <f t="shared" si="236"/>
        <v>13214861.100000001</v>
      </c>
      <c r="AF691" s="20">
        <f t="shared" si="237"/>
        <v>2453157100.8000002</v>
      </c>
      <c r="AG691">
        <f t="shared" si="223"/>
        <v>655929173.15999997</v>
      </c>
      <c r="AH691">
        <f t="shared" si="224"/>
        <v>728810192.39999998</v>
      </c>
      <c r="AI691">
        <f t="shared" si="225"/>
        <v>27965934656.280003</v>
      </c>
    </row>
    <row r="692" spans="2:35" x14ac:dyDescent="0.25">
      <c r="B692" s="4" t="s">
        <v>459</v>
      </c>
      <c r="C692" s="4" t="s">
        <v>37</v>
      </c>
      <c r="D692" s="1" t="s">
        <v>460</v>
      </c>
      <c r="E692" s="4" t="str">
        <f t="shared" si="227"/>
        <v>PSEG-NJ</v>
      </c>
      <c r="F692" s="4" t="s">
        <v>135</v>
      </c>
      <c r="G692" s="4"/>
      <c r="H692" s="11" t="s">
        <v>470</v>
      </c>
      <c r="I692" s="4"/>
      <c r="J692" s="4" t="s">
        <v>142</v>
      </c>
      <c r="K692" s="5">
        <v>2022274</v>
      </c>
      <c r="L692" s="5">
        <f>K692/_xlfn.XLOOKUP(C692,'Utility target list'!$K$2:$K$8,'Utility target list'!$L$2:$L$8,1,0,1)</f>
        <v>2246971.111111111</v>
      </c>
      <c r="M692" s="8">
        <v>130418389</v>
      </c>
      <c r="N692" s="8">
        <v>112960685</v>
      </c>
      <c r="O692" s="8">
        <f>SUMIFS(EIAwtransport!$J$2:$J$675,EIAwtransport!$E$2:$E$675,Program_data!$E692,EIAwtransport!$H$2:$H$675,Program_data!$F692,EIAwtransport!$I$2:$I$675,Program_data!O$2)</f>
        <v>1199938741</v>
      </c>
      <c r="P692" s="5">
        <f>SUMIFS(EIAwtransport!$J$2:$J$675,EIAwtransport!$E$2:$E$675,Program_data!$E692,EIAwtransport!$H$2:$H$675,Program_data!$F692,EIAwtransport!$I$2:$I$675,Program_data!P$2)</f>
        <v>140556182</v>
      </c>
      <c r="Q692" s="5">
        <f>SUMIFS(EIAwtransport!$J$2:$J$675,EIAwtransport!$E$2:$E$675,Program_data!$E692,EIAwtransport!$H$2:$H$675,Program_data!$F692,EIAwtransport!$I$2:$I$675,Program_data!Q$2)</f>
        <v>1715380</v>
      </c>
      <c r="R692" s="8">
        <f>SUMIFS(EIAwtransport!$J$2:$J$675,EIAwtransport!$E$2:$E$675,Program_data!$E692,EIAwtransport!$I$2:$I$675,Program_data!R$2)</f>
        <v>1817153408</v>
      </c>
      <c r="S692" s="5">
        <f>SUMIFS(EIAwtransport!$J$2:$J$675,EIAwtransport!$E$2:$E$675,Program_data!$E692,EIAwtransport!$I$2:$I$675,Program_data!S$2)</f>
        <v>265130211</v>
      </c>
      <c r="T692" s="5">
        <f>SUMIFS(EIAwtransport!$J$2:$J$675,EIAwtransport!$E$2:$E$675,Program_data!$E692,EIAwtransport!$I$2:$I$675,Program_data!T$2)</f>
        <v>1880653</v>
      </c>
      <c r="U692" s="24">
        <f t="shared" si="233"/>
        <v>7.3624274017642245E-4</v>
      </c>
      <c r="V692" s="24">
        <f t="shared" si="238"/>
        <v>8.1804748908491387E-4</v>
      </c>
      <c r="W692" s="24">
        <f t="shared" si="234"/>
        <v>7.1770709300510521E-2</v>
      </c>
      <c r="X692" s="25">
        <f t="shared" si="235"/>
        <v>4.748100014476505E-2</v>
      </c>
      <c r="Y692" s="8">
        <f t="shared" si="231"/>
        <v>8.5135442880148933</v>
      </c>
      <c r="Z692" s="27">
        <f t="shared" si="232"/>
        <v>7.1827459191481147</v>
      </c>
      <c r="AA692" s="35" t="s">
        <v>471</v>
      </c>
      <c r="AB692" s="33"/>
      <c r="AC692" s="56">
        <f t="shared" si="226"/>
        <v>1.9220774426049799E-3</v>
      </c>
      <c r="AE692" s="20">
        <f t="shared" si="236"/>
        <v>152496924.75</v>
      </c>
      <c r="AF692" s="20">
        <f t="shared" si="237"/>
        <v>2453157100.8000002</v>
      </c>
      <c r="AG692">
        <f t="shared" si="223"/>
        <v>213309461.52000001</v>
      </c>
      <c r="AH692">
        <f t="shared" si="224"/>
        <v>237010512.80000001</v>
      </c>
      <c r="AI692">
        <f t="shared" si="225"/>
        <v>27965934656.280003</v>
      </c>
    </row>
    <row r="693" spans="2:35" x14ac:dyDescent="0.25">
      <c r="B693" s="4" t="s">
        <v>459</v>
      </c>
      <c r="C693" s="4" t="s">
        <v>37</v>
      </c>
      <c r="D693" s="1" t="s">
        <v>460</v>
      </c>
      <c r="E693" s="4" t="str">
        <f t="shared" si="227"/>
        <v>PSEG-NJ</v>
      </c>
      <c r="F693" s="4" t="s">
        <v>146</v>
      </c>
      <c r="G693" s="4"/>
      <c r="H693" s="11" t="s">
        <v>472</v>
      </c>
      <c r="I693" s="4"/>
      <c r="J693" s="4" t="s">
        <v>142</v>
      </c>
      <c r="K693" s="5">
        <v>1463318</v>
      </c>
      <c r="L693" s="5">
        <f>K693/_xlfn.XLOOKUP(C693,'Utility target list'!$K$2:$K$8,'Utility target list'!$L$2:$L$8,1,0,1)</f>
        <v>1625908.8888888888</v>
      </c>
      <c r="M693" s="8">
        <v>254148733</v>
      </c>
      <c r="N693" s="8">
        <v>197563804</v>
      </c>
      <c r="O693" s="8">
        <f>SUMIFS(EIAwtransport!$J$2:$J$675,EIAwtransport!$E$2:$E$675,Program_data!$E693,EIAwtransport!$H$2:$H$675,Program_data!$F693,EIAwtransport!$I$2:$I$675,Program_data!O$2)</f>
        <v>617214667</v>
      </c>
      <c r="P693" s="5">
        <f>SUMIFS(EIAwtransport!$J$2:$J$675,EIAwtransport!$E$2:$E$675,Program_data!$E693,EIAwtransport!$H$2:$H$675,Program_data!$F693,EIAwtransport!$I$2:$I$675,Program_data!P$2)</f>
        <v>124574029</v>
      </c>
      <c r="Q693" s="5">
        <f>SUMIFS(EIAwtransport!$J$2:$J$675,EIAwtransport!$E$2:$E$675,Program_data!$E693,EIAwtransport!$H$2:$H$675,Program_data!$F693,EIAwtransport!$I$2:$I$675,Program_data!Q$2)</f>
        <v>165273</v>
      </c>
      <c r="R693" s="8">
        <f>SUMIFS(EIAwtransport!$J$2:$J$675,EIAwtransport!$E$2:$E$675,Program_data!$E693,EIAwtransport!$I$2:$I$675,Program_data!R$2)</f>
        <v>1817153408</v>
      </c>
      <c r="S693" s="5">
        <f>SUMIFS(EIAwtransport!$J$2:$J$675,EIAwtransport!$E$2:$E$675,Program_data!$E693,EIAwtransport!$I$2:$I$675,Program_data!S$2)</f>
        <v>265130211</v>
      </c>
      <c r="T693" s="5">
        <f>SUMIFS(EIAwtransport!$J$2:$J$675,EIAwtransport!$E$2:$E$675,Program_data!$E693,EIAwtransport!$I$2:$I$675,Program_data!T$2)</f>
        <v>1880653</v>
      </c>
      <c r="U693" s="24">
        <f t="shared" si="233"/>
        <v>5.3274544105768175E-4</v>
      </c>
      <c r="V693" s="24">
        <f t="shared" si="238"/>
        <v>5.9193937895297955E-4</v>
      </c>
      <c r="W693" s="24">
        <f t="shared" si="234"/>
        <v>0.13986091206230178</v>
      </c>
      <c r="X693" s="25">
        <f t="shared" si="235"/>
        <v>9.2527105425024486E-2</v>
      </c>
      <c r="Y693" s="8">
        <f t="shared" si="231"/>
        <v>129.48775935893178</v>
      </c>
      <c r="Z693" s="27">
        <f t="shared" si="232"/>
        <v>13.997150162715272</v>
      </c>
      <c r="AA693" s="35" t="s">
        <v>473</v>
      </c>
      <c r="AB693" s="33"/>
      <c r="AC693" s="56">
        <f t="shared" si="226"/>
        <v>1.390815744630962E-3</v>
      </c>
      <c r="AE693" s="20">
        <f t="shared" si="236"/>
        <v>266711135.40000001</v>
      </c>
      <c r="AF693" s="20">
        <f t="shared" si="237"/>
        <v>2453157100.8000002</v>
      </c>
      <c r="AG693">
        <f t="shared" si="223"/>
        <v>154350782.64000002</v>
      </c>
      <c r="AH693">
        <f t="shared" si="224"/>
        <v>171500869.59999999</v>
      </c>
      <c r="AI693">
        <f t="shared" si="225"/>
        <v>27965934656.280003</v>
      </c>
    </row>
    <row r="694" spans="2:35" x14ac:dyDescent="0.25">
      <c r="B694" s="4" t="s">
        <v>459</v>
      </c>
      <c r="C694" s="4" t="s">
        <v>37</v>
      </c>
      <c r="D694" s="1" t="s">
        <v>460</v>
      </c>
      <c r="E694" s="4" t="str">
        <f t="shared" si="227"/>
        <v>PSEG-NJ</v>
      </c>
      <c r="F694" s="4" t="s">
        <v>135</v>
      </c>
      <c r="G694" s="4"/>
      <c r="H694" s="11" t="s">
        <v>474</v>
      </c>
      <c r="I694" s="4"/>
      <c r="J694" s="4" t="s">
        <v>142</v>
      </c>
      <c r="K694" s="5">
        <v>2679320</v>
      </c>
      <c r="L694" s="5">
        <f>K694/_xlfn.XLOOKUP(C694,'Utility target list'!$K$2:$K$8,'Utility target list'!$L$2:$L$8,1,0,1)</f>
        <v>2977022.222222222</v>
      </c>
      <c r="M694" s="8">
        <v>125388261</v>
      </c>
      <c r="N694" s="8">
        <v>103702220</v>
      </c>
      <c r="O694" s="8">
        <f>SUMIFS(EIAwtransport!$J$2:$J$675,EIAwtransport!$E$2:$E$675,Program_data!$E694,EIAwtransport!$H$2:$H$675,Program_data!$F694,EIAwtransport!$I$2:$I$675,Program_data!O$2)</f>
        <v>1199938741</v>
      </c>
      <c r="P694" s="5">
        <f>SUMIFS(EIAwtransport!$J$2:$J$675,EIAwtransport!$E$2:$E$675,Program_data!$E694,EIAwtransport!$H$2:$H$675,Program_data!$F694,EIAwtransport!$I$2:$I$675,Program_data!P$2)</f>
        <v>140556182</v>
      </c>
      <c r="Q694" s="5">
        <f>SUMIFS(EIAwtransport!$J$2:$J$675,EIAwtransport!$E$2:$E$675,Program_data!$E694,EIAwtransport!$H$2:$H$675,Program_data!$F694,EIAwtransport!$I$2:$I$675,Program_data!Q$2)</f>
        <v>1715380</v>
      </c>
      <c r="R694" s="8">
        <f>SUMIFS(EIAwtransport!$J$2:$J$675,EIAwtransport!$E$2:$E$675,Program_data!$E694,EIAwtransport!$I$2:$I$675,Program_data!R$2)</f>
        <v>1817153408</v>
      </c>
      <c r="S694" s="5">
        <f>SUMIFS(EIAwtransport!$J$2:$J$675,EIAwtransport!$E$2:$E$675,Program_data!$E694,EIAwtransport!$I$2:$I$675,Program_data!S$2)</f>
        <v>265130211</v>
      </c>
      <c r="T694" s="5">
        <f>SUMIFS(EIAwtransport!$J$2:$J$675,EIAwtransport!$E$2:$E$675,Program_data!$E694,EIAwtransport!$I$2:$I$675,Program_data!T$2)</f>
        <v>1880653</v>
      </c>
      <c r="U694" s="24">
        <f t="shared" si="233"/>
        <v>9.7545134764601246E-4</v>
      </c>
      <c r="V694" s="24">
        <f t="shared" si="238"/>
        <v>1.0838348307177915E-3</v>
      </c>
      <c r="W694" s="24">
        <f t="shared" si="234"/>
        <v>6.9002573171851878E-2</v>
      </c>
      <c r="X694" s="25">
        <f t="shared" si="235"/>
        <v>4.5649697748473474E-2</v>
      </c>
      <c r="Y694" s="8">
        <f t="shared" si="231"/>
        <v>8.185184017421582</v>
      </c>
      <c r="Z694" s="27">
        <f t="shared" si="232"/>
        <v>6.905713426707246</v>
      </c>
      <c r="AA694" s="27"/>
      <c r="AB694" s="27"/>
      <c r="AC694" s="56">
        <f t="shared" si="226"/>
        <v>2.5465691263994762E-3</v>
      </c>
      <c r="AE694" s="20">
        <f t="shared" si="236"/>
        <v>139997997</v>
      </c>
      <c r="AF694" s="20">
        <f t="shared" si="237"/>
        <v>2453157100.8000002</v>
      </c>
      <c r="AG694">
        <f t="shared" si="223"/>
        <v>282614673.60000002</v>
      </c>
      <c r="AH694">
        <f t="shared" si="224"/>
        <v>314016304</v>
      </c>
      <c r="AI694">
        <f t="shared" si="225"/>
        <v>27965934656.280003</v>
      </c>
    </row>
    <row r="695" spans="2:35" x14ac:dyDescent="0.25">
      <c r="B695" s="4" t="s">
        <v>459</v>
      </c>
      <c r="C695" s="4" t="s">
        <v>37</v>
      </c>
      <c r="D695" s="1" t="s">
        <v>460</v>
      </c>
      <c r="E695" s="4" t="str">
        <f t="shared" si="227"/>
        <v>PSEG-NJ</v>
      </c>
      <c r="F695" s="4" t="s">
        <v>135</v>
      </c>
      <c r="G695" s="4"/>
      <c r="H695" s="11" t="s">
        <v>475</v>
      </c>
      <c r="I695" s="4"/>
      <c r="J695" s="4" t="s">
        <v>142</v>
      </c>
      <c r="K695" s="5">
        <v>684124</v>
      </c>
      <c r="L695" s="5">
        <f>K695/_xlfn.XLOOKUP(C695,'Utility target list'!$K$2:$K$8,'Utility target list'!$L$2:$L$8,1,0,1)</f>
        <v>760137.77777777775</v>
      </c>
      <c r="M695" s="8">
        <v>64943001</v>
      </c>
      <c r="N695" s="8">
        <v>38976613</v>
      </c>
      <c r="O695" s="8">
        <f>SUMIFS(EIAwtransport!$J$2:$J$675,EIAwtransport!$E$2:$E$675,Program_data!$E695,EIAwtransport!$H$2:$H$675,Program_data!$F695,EIAwtransport!$I$2:$I$675,Program_data!O$2)</f>
        <v>1199938741</v>
      </c>
      <c r="P695" s="5">
        <f>SUMIFS(EIAwtransport!$J$2:$J$675,EIAwtransport!$E$2:$E$675,Program_data!$E695,EIAwtransport!$H$2:$H$675,Program_data!$F695,EIAwtransport!$I$2:$I$675,Program_data!P$2)</f>
        <v>140556182</v>
      </c>
      <c r="Q695" s="5">
        <f>SUMIFS(EIAwtransport!$J$2:$J$675,EIAwtransport!$E$2:$E$675,Program_data!$E695,EIAwtransport!$H$2:$H$675,Program_data!$F695,EIAwtransport!$I$2:$I$675,Program_data!Q$2)</f>
        <v>1715380</v>
      </c>
      <c r="R695" s="8">
        <f>SUMIFS(EIAwtransport!$J$2:$J$675,EIAwtransport!$E$2:$E$675,Program_data!$E695,EIAwtransport!$I$2:$I$675,Program_data!R$2)</f>
        <v>1817153408</v>
      </c>
      <c r="S695" s="5">
        <f>SUMIFS(EIAwtransport!$J$2:$J$675,EIAwtransport!$E$2:$E$675,Program_data!$E695,EIAwtransport!$I$2:$I$675,Program_data!S$2)</f>
        <v>265130211</v>
      </c>
      <c r="T695" s="5">
        <f>SUMIFS(EIAwtransport!$J$2:$J$675,EIAwtransport!$E$2:$E$675,Program_data!$E695,EIAwtransport!$I$2:$I$675,Program_data!T$2)</f>
        <v>1880653</v>
      </c>
      <c r="U695" s="24">
        <f t="shared" si="233"/>
        <v>2.4906680715889874E-4</v>
      </c>
      <c r="V695" s="24">
        <f t="shared" si="238"/>
        <v>2.7674089684322082E-4</v>
      </c>
      <c r="W695" s="24">
        <f t="shared" si="234"/>
        <v>3.5738865367166625E-2</v>
      </c>
      <c r="X695" s="25">
        <f t="shared" si="235"/>
        <v>2.3643587867677743E-2</v>
      </c>
      <c r="Y695" s="8">
        <f t="shared" si="231"/>
        <v>4.2393953755255751</v>
      </c>
      <c r="Z695" s="27">
        <f t="shared" si="232"/>
        <v>3.5767124481961043</v>
      </c>
      <c r="AA695" s="27"/>
      <c r="AB695" s="27"/>
      <c r="AC695" s="56">
        <f t="shared" si="226"/>
        <v>6.5022806422111409E-4</v>
      </c>
      <c r="AE695" s="20">
        <f t="shared" si="236"/>
        <v>52618427.550000004</v>
      </c>
      <c r="AF695" s="20">
        <f t="shared" si="237"/>
        <v>2453157100.8000002</v>
      </c>
      <c r="AG695">
        <f t="shared" si="223"/>
        <v>72161399.519999996</v>
      </c>
      <c r="AH695">
        <f t="shared" si="224"/>
        <v>80179332.799999997</v>
      </c>
      <c r="AI695">
        <f t="shared" si="225"/>
        <v>27965934656.280003</v>
      </c>
    </row>
    <row r="696" spans="2:35" x14ac:dyDescent="0.25">
      <c r="B696" s="4" t="s">
        <v>459</v>
      </c>
      <c r="C696" s="4" t="s">
        <v>37</v>
      </c>
      <c r="D696" s="1" t="s">
        <v>460</v>
      </c>
      <c r="E696" s="4" t="str">
        <f t="shared" si="227"/>
        <v>PSEG-NJ</v>
      </c>
      <c r="F696" s="4" t="s">
        <v>146</v>
      </c>
      <c r="G696" s="4"/>
      <c r="H696" s="11" t="s">
        <v>476</v>
      </c>
      <c r="I696" s="4"/>
      <c r="J696" s="4" t="s">
        <v>155</v>
      </c>
      <c r="K696" s="5">
        <v>0</v>
      </c>
      <c r="L696" s="5">
        <f>K696/_xlfn.XLOOKUP(C696,'Utility target list'!$K$2:$K$8,'Utility target list'!$L$2:$L$8,1,0,1)</f>
        <v>0</v>
      </c>
      <c r="M696" s="8">
        <v>9625001</v>
      </c>
      <c r="N696" s="8">
        <v>1</v>
      </c>
      <c r="O696" s="8">
        <f>SUMIFS(EIAwtransport!$J$2:$J$675,EIAwtransport!$E$2:$E$675,Program_data!$E696,EIAwtransport!$H$2:$H$675,Program_data!$F696,EIAwtransport!$I$2:$I$675,Program_data!O$2)</f>
        <v>617214667</v>
      </c>
      <c r="P696" s="5">
        <f>SUMIFS(EIAwtransport!$J$2:$J$675,EIAwtransport!$E$2:$E$675,Program_data!$E696,EIAwtransport!$H$2:$H$675,Program_data!$F696,EIAwtransport!$I$2:$I$675,Program_data!P$2)</f>
        <v>124574029</v>
      </c>
      <c r="Q696" s="5">
        <f>SUMIFS(EIAwtransport!$J$2:$J$675,EIAwtransport!$E$2:$E$675,Program_data!$E696,EIAwtransport!$H$2:$H$675,Program_data!$F696,EIAwtransport!$I$2:$I$675,Program_data!Q$2)</f>
        <v>165273</v>
      </c>
      <c r="R696" s="8">
        <f>SUMIFS(EIAwtransport!$J$2:$J$675,EIAwtransport!$E$2:$E$675,Program_data!$E696,EIAwtransport!$I$2:$I$675,Program_data!R$2)</f>
        <v>1817153408</v>
      </c>
      <c r="S696" s="5">
        <f>SUMIFS(EIAwtransport!$J$2:$J$675,EIAwtransport!$E$2:$E$675,Program_data!$E696,EIAwtransport!$I$2:$I$675,Program_data!S$2)</f>
        <v>265130211</v>
      </c>
      <c r="T696" s="5">
        <f>SUMIFS(EIAwtransport!$J$2:$J$675,EIAwtransport!$E$2:$E$675,Program_data!$E696,EIAwtransport!$I$2:$I$675,Program_data!T$2)</f>
        <v>1880653</v>
      </c>
      <c r="U696" s="24">
        <f t="shared" si="233"/>
        <v>0</v>
      </c>
      <c r="V696" s="24">
        <f t="shared" si="238"/>
        <v>0</v>
      </c>
      <c r="W696" s="24">
        <f t="shared" si="234"/>
        <v>5.2967465254314949E-3</v>
      </c>
      <c r="X696" s="25">
        <f t="shared" si="235"/>
        <v>3.5041429155697034E-3</v>
      </c>
      <c r="Y696" s="8">
        <f t="shared" si="231"/>
        <v>4.9038993765807115</v>
      </c>
      <c r="Z696" s="27">
        <f t="shared" si="232"/>
        <v>0.53009347212950564</v>
      </c>
      <c r="AA696" s="27"/>
      <c r="AB696" s="27"/>
      <c r="AC696" s="56">
        <f t="shared" si="226"/>
        <v>0</v>
      </c>
      <c r="AE696" s="20">
        <f t="shared" si="236"/>
        <v>1.35</v>
      </c>
      <c r="AF696" s="20">
        <f t="shared" si="237"/>
        <v>2453157100.8000002</v>
      </c>
      <c r="AG696">
        <f t="shared" si="223"/>
        <v>0</v>
      </c>
      <c r="AH696">
        <f t="shared" si="224"/>
        <v>0</v>
      </c>
      <c r="AI696">
        <f t="shared" si="225"/>
        <v>27965934656.280003</v>
      </c>
    </row>
    <row r="697" spans="2:35" x14ac:dyDescent="0.25">
      <c r="B697" s="4" t="s">
        <v>459</v>
      </c>
      <c r="C697" s="4" t="s">
        <v>37</v>
      </c>
      <c r="D697" s="1" t="s">
        <v>460</v>
      </c>
      <c r="E697" s="4" t="str">
        <f t="shared" si="227"/>
        <v>PSEG-NJ</v>
      </c>
      <c r="F697" s="4" t="s">
        <v>146</v>
      </c>
      <c r="G697" s="4"/>
      <c r="H697" s="11" t="s">
        <v>477</v>
      </c>
      <c r="I697" s="4"/>
      <c r="J697" s="4" t="s">
        <v>142</v>
      </c>
      <c r="K697" s="5">
        <v>499406</v>
      </c>
      <c r="L697" s="5">
        <f>K697/_xlfn.XLOOKUP(C697,'Utility target list'!$K$2:$K$8,'Utility target list'!$L$2:$L$8,1,0,1)</f>
        <v>554895.5555555555</v>
      </c>
      <c r="M697" s="8">
        <v>76382660</v>
      </c>
      <c r="N697" s="8">
        <v>43671798</v>
      </c>
      <c r="O697" s="8">
        <f>SUMIFS(EIAwtransport!$J$2:$J$675,EIAwtransport!$E$2:$E$675,Program_data!$E697,EIAwtransport!$H$2:$H$675,Program_data!$F697,EIAwtransport!$I$2:$I$675,Program_data!O$2)</f>
        <v>617214667</v>
      </c>
      <c r="P697" s="5">
        <f>SUMIFS(EIAwtransport!$J$2:$J$675,EIAwtransport!$E$2:$E$675,Program_data!$E697,EIAwtransport!$H$2:$H$675,Program_data!$F697,EIAwtransport!$I$2:$I$675,Program_data!P$2)</f>
        <v>124574029</v>
      </c>
      <c r="Q697" s="5">
        <f>SUMIFS(EIAwtransport!$J$2:$J$675,EIAwtransport!$E$2:$E$675,Program_data!$E697,EIAwtransport!$H$2:$H$675,Program_data!$F697,EIAwtransport!$I$2:$I$675,Program_data!Q$2)</f>
        <v>165273</v>
      </c>
      <c r="R697" s="8">
        <f>SUMIFS(EIAwtransport!$J$2:$J$675,EIAwtransport!$E$2:$E$675,Program_data!$E697,EIAwtransport!$I$2:$I$675,Program_data!R$2)</f>
        <v>1817153408</v>
      </c>
      <c r="S697" s="5">
        <f>SUMIFS(EIAwtransport!$J$2:$J$675,EIAwtransport!$E$2:$E$675,Program_data!$E697,EIAwtransport!$I$2:$I$675,Program_data!S$2)</f>
        <v>265130211</v>
      </c>
      <c r="T697" s="5">
        <f>SUMIFS(EIAwtransport!$J$2:$J$675,EIAwtransport!$E$2:$E$675,Program_data!$E697,EIAwtransport!$I$2:$I$675,Program_data!T$2)</f>
        <v>1880653</v>
      </c>
      <c r="U697" s="24">
        <f t="shared" si="233"/>
        <v>1.8181712364424724E-4</v>
      </c>
      <c r="V697" s="24">
        <f t="shared" si="238"/>
        <v>2.0201902627138579E-4</v>
      </c>
      <c r="W697" s="24">
        <f t="shared" si="234"/>
        <v>4.2034238641452115E-2</v>
      </c>
      <c r="X697" s="25">
        <f t="shared" si="235"/>
        <v>2.7808387439270849E-2</v>
      </c>
      <c r="Y697" s="8">
        <f t="shared" si="231"/>
        <v>38.916658684562883</v>
      </c>
      <c r="Z697" s="27">
        <f t="shared" si="232"/>
        <v>4.2067475577288249</v>
      </c>
      <c r="AA697" s="27"/>
      <c r="AB697" s="27"/>
      <c r="AC697" s="56">
        <f t="shared" si="226"/>
        <v>4.7466219083150087E-4</v>
      </c>
      <c r="AE697" s="20">
        <f t="shared" si="236"/>
        <v>58956927.300000004</v>
      </c>
      <c r="AF697" s="20">
        <f t="shared" si="237"/>
        <v>2453157100.8000002</v>
      </c>
      <c r="AG697">
        <f t="shared" si="223"/>
        <v>52677344.880000003</v>
      </c>
      <c r="AH697">
        <f t="shared" si="224"/>
        <v>58530383.199999996</v>
      </c>
      <c r="AI697">
        <f t="shared" si="225"/>
        <v>27965934656.280003</v>
      </c>
    </row>
    <row r="698" spans="2:35" x14ac:dyDescent="0.25">
      <c r="B698" s="4" t="s">
        <v>459</v>
      </c>
      <c r="C698" s="4" t="s">
        <v>37</v>
      </c>
      <c r="D698" s="1" t="s">
        <v>460</v>
      </c>
      <c r="E698" s="4" t="str">
        <f t="shared" si="227"/>
        <v>PSEG-NJ</v>
      </c>
      <c r="F698" s="4" t="s">
        <v>135</v>
      </c>
      <c r="G698" s="4"/>
      <c r="H698" s="11" t="s">
        <v>478</v>
      </c>
      <c r="I698" s="4"/>
      <c r="J698" s="4" t="s">
        <v>155</v>
      </c>
      <c r="K698" s="5">
        <v>0</v>
      </c>
      <c r="L698" s="5">
        <f>K698/_xlfn.XLOOKUP(C698,'Utility target list'!$K$2:$K$8,'Utility target list'!$L$2:$L$8,1,0,1)</f>
        <v>0</v>
      </c>
      <c r="M698" s="8">
        <v>10690779</v>
      </c>
      <c r="N698" s="8">
        <v>3319317</v>
      </c>
      <c r="O698" s="8">
        <f>SUMIFS(EIAwtransport!$J$2:$J$675,EIAwtransport!$E$2:$E$675,Program_data!$E698,EIAwtransport!$H$2:$H$675,Program_data!$F698,EIAwtransport!$I$2:$I$675,Program_data!O$2)</f>
        <v>1199938741</v>
      </c>
      <c r="P698" s="5">
        <f>SUMIFS(EIAwtransport!$J$2:$J$675,EIAwtransport!$E$2:$E$675,Program_data!$E698,EIAwtransport!$H$2:$H$675,Program_data!$F698,EIAwtransport!$I$2:$I$675,Program_data!P$2)</f>
        <v>140556182</v>
      </c>
      <c r="Q698" s="5">
        <f>SUMIFS(EIAwtransport!$J$2:$J$675,EIAwtransport!$E$2:$E$675,Program_data!$E698,EIAwtransport!$H$2:$H$675,Program_data!$F698,EIAwtransport!$I$2:$I$675,Program_data!Q$2)</f>
        <v>1715380</v>
      </c>
      <c r="R698" s="8">
        <f>SUMIFS(EIAwtransport!$J$2:$J$675,EIAwtransport!$E$2:$E$675,Program_data!$E698,EIAwtransport!$I$2:$I$675,Program_data!R$2)</f>
        <v>1817153408</v>
      </c>
      <c r="S698" s="5">
        <f>SUMIFS(EIAwtransport!$J$2:$J$675,EIAwtransport!$E$2:$E$675,Program_data!$E698,EIAwtransport!$I$2:$I$675,Program_data!S$2)</f>
        <v>265130211</v>
      </c>
      <c r="T698" s="5">
        <f>SUMIFS(EIAwtransport!$J$2:$J$675,EIAwtransport!$E$2:$E$675,Program_data!$E698,EIAwtransport!$I$2:$I$675,Program_data!T$2)</f>
        <v>1880653</v>
      </c>
      <c r="U698" s="24">
        <f t="shared" si="233"/>
        <v>0</v>
      </c>
      <c r="V698" s="24">
        <f t="shared" si="238"/>
        <v>0</v>
      </c>
      <c r="W698" s="24">
        <f t="shared" si="234"/>
        <v>5.8832561703012808E-3</v>
      </c>
      <c r="X698" s="25">
        <f t="shared" si="235"/>
        <v>3.892157257414452E-3</v>
      </c>
      <c r="Y698" s="8">
        <f t="shared" si="231"/>
        <v>0.69788026970552119</v>
      </c>
      <c r="Z698" s="27">
        <f t="shared" si="232"/>
        <v>0.58879081258061206</v>
      </c>
      <c r="AA698" s="27"/>
      <c r="AB698" s="40" t="s">
        <v>479</v>
      </c>
      <c r="AC698" s="56">
        <f t="shared" si="226"/>
        <v>0</v>
      </c>
      <c r="AE698" s="20">
        <f t="shared" si="236"/>
        <v>4481077.95</v>
      </c>
      <c r="AF698" s="20">
        <f t="shared" si="237"/>
        <v>2453157100.8000002</v>
      </c>
      <c r="AG698">
        <f t="shared" ref="AG698:AG762" si="239">K698*105.48</f>
        <v>0</v>
      </c>
      <c r="AH698">
        <f t="shared" ref="AH698:AH762" si="240">L698*105.48</f>
        <v>0</v>
      </c>
      <c r="AI698">
        <f t="shared" ref="AI698:AI762" si="241">S698*105.48</f>
        <v>27965934656.280003</v>
      </c>
    </row>
    <row r="699" spans="2:35" x14ac:dyDescent="0.25">
      <c r="B699" s="4">
        <v>2024</v>
      </c>
      <c r="C699" s="4" t="s">
        <v>241</v>
      </c>
      <c r="D699" s="1" t="s">
        <v>242</v>
      </c>
      <c r="E699" s="4" t="str">
        <f t="shared" si="227"/>
        <v>Xcel-MN</v>
      </c>
      <c r="F699" s="4" t="s">
        <v>135</v>
      </c>
      <c r="G699" s="4"/>
      <c r="H699" s="11" t="s">
        <v>480</v>
      </c>
      <c r="I699" s="4"/>
      <c r="J699" s="4" t="s">
        <v>155</v>
      </c>
      <c r="K699" s="5">
        <f>AB699*10</f>
        <v>0</v>
      </c>
      <c r="L699" s="5">
        <f t="shared" ref="L699:L731" si="242">K699</f>
        <v>0</v>
      </c>
      <c r="M699" s="8">
        <v>642000</v>
      </c>
      <c r="N699" s="8">
        <v>0</v>
      </c>
      <c r="O699" s="8">
        <f>SUMIFS(EIAwtransport!$J$2:$J$675,EIAwtransport!$E$2:$E$675,Program_data!$E699,EIAwtransport!$H$2:$H$675,Program_data!$F699,EIAwtransport!$I$2:$I$675,Program_data!O$2)</f>
        <v>306619750</v>
      </c>
      <c r="P699" s="5">
        <f>SUMIFS(EIAwtransport!$J$2:$J$675,EIAwtransport!$E$2:$E$675,Program_data!$E699,EIAwtransport!$H$2:$H$675,Program_data!$F699,EIAwtransport!$I$2:$I$675,Program_data!P$2)</f>
        <v>35286911</v>
      </c>
      <c r="Q699" s="5">
        <f>SUMIFS(EIAwtransport!$J$2:$J$675,EIAwtransport!$E$2:$E$675,Program_data!$E699,EIAwtransport!$H$2:$H$675,Program_data!$F699,EIAwtransport!$I$2:$I$675,Program_data!Q$2)</f>
        <v>438247</v>
      </c>
      <c r="R699" s="8">
        <f>SUMIFS(EIAwtransport!$J$2:$J$675,EIAwtransport!$E$2:$E$675,Program_data!$E699,EIAwtransport!$I$2:$I$675,Program_data!R$2)</f>
        <v>526109473</v>
      </c>
      <c r="S699" s="5">
        <f>SUMIFS(EIAwtransport!$J$2:$J$675,EIAwtransport!$E$2:$E$675,Program_data!$E699,EIAwtransport!$I$2:$I$675,Program_data!S$2)</f>
        <v>80336233</v>
      </c>
      <c r="T699" s="5">
        <f>SUMIFS(EIAwtransport!$J$2:$J$675,EIAwtransport!$E$2:$E$675,Program_data!$E699,EIAwtransport!$I$2:$I$675,Program_data!T$2)</f>
        <v>474354</v>
      </c>
      <c r="U699" s="24">
        <f t="shared" si="233"/>
        <v>0</v>
      </c>
      <c r="V699" s="24">
        <f t="shared" si="238"/>
        <v>0</v>
      </c>
      <c r="W699" s="24">
        <f t="shared" si="234"/>
        <v>1.2202783506998361E-3</v>
      </c>
      <c r="X699" s="25">
        <f t="shared" si="235"/>
        <v>7.7137189105085352E-4</v>
      </c>
      <c r="Y699" s="8">
        <f t="shared" si="231"/>
        <v>0.14136174073111765</v>
      </c>
      <c r="Z699" s="27">
        <f t="shared" si="232"/>
        <v>5.2864698485945154E-2</v>
      </c>
      <c r="AA699" s="27"/>
      <c r="AB699" s="40"/>
      <c r="AC699" s="56">
        <f t="shared" ref="AC699:AC762" si="243">IFERROR(K699/SUMIFS($M$3:$M$1234,$E$3:$E$1234,E699,$B$3:$B$1234,B699),"")</f>
        <v>0</v>
      </c>
      <c r="AE699" s="20">
        <f t="shared" si="236"/>
        <v>0</v>
      </c>
      <c r="AF699" s="20">
        <f t="shared" si="237"/>
        <v>710247788.55000007</v>
      </c>
      <c r="AG699">
        <f t="shared" si="239"/>
        <v>0</v>
      </c>
      <c r="AH699">
        <f t="shared" si="240"/>
        <v>0</v>
      </c>
      <c r="AI699">
        <f t="shared" si="241"/>
        <v>8473865856.8400002</v>
      </c>
    </row>
    <row r="700" spans="2:35" x14ac:dyDescent="0.25">
      <c r="B700" s="4">
        <v>2024</v>
      </c>
      <c r="C700" s="4" t="s">
        <v>241</v>
      </c>
      <c r="D700" s="1" t="s">
        <v>242</v>
      </c>
      <c r="E700" s="4" t="str">
        <f t="shared" si="227"/>
        <v>Xcel-MN</v>
      </c>
      <c r="F700" s="4" t="s">
        <v>135</v>
      </c>
      <c r="G700" s="4"/>
      <c r="H700" s="11" t="s">
        <v>481</v>
      </c>
      <c r="I700" s="4"/>
      <c r="J700" s="4" t="s">
        <v>32</v>
      </c>
      <c r="K700" s="5">
        <f t="shared" ref="K700:K743" si="244">AB700*10</f>
        <v>399050</v>
      </c>
      <c r="L700" s="5">
        <f t="shared" si="242"/>
        <v>399050</v>
      </c>
      <c r="M700" s="8">
        <v>2299104</v>
      </c>
      <c r="N700" s="8">
        <v>1319145</v>
      </c>
      <c r="O700" s="8">
        <f>SUMIFS(EIAwtransport!$J$2:$J$675,EIAwtransport!$E$2:$E$675,Program_data!$E700,EIAwtransport!$H$2:$H$675,Program_data!$F700,EIAwtransport!$I$2:$I$675,Program_data!O$2)</f>
        <v>306619750</v>
      </c>
      <c r="P700" s="5">
        <f>SUMIFS(EIAwtransport!$J$2:$J$675,EIAwtransport!$E$2:$E$675,Program_data!$E700,EIAwtransport!$H$2:$H$675,Program_data!$F700,EIAwtransport!$I$2:$I$675,Program_data!P$2)</f>
        <v>35286911</v>
      </c>
      <c r="Q700" s="5">
        <f>SUMIFS(EIAwtransport!$J$2:$J$675,EIAwtransport!$E$2:$E$675,Program_data!$E700,EIAwtransport!$H$2:$H$675,Program_data!$F700,EIAwtransport!$I$2:$I$675,Program_data!Q$2)</f>
        <v>438247</v>
      </c>
      <c r="R700" s="8">
        <f>SUMIFS(EIAwtransport!$J$2:$J$675,EIAwtransport!$E$2:$E$675,Program_data!$E700,EIAwtransport!$I$2:$I$675,Program_data!R$2)</f>
        <v>526109473</v>
      </c>
      <c r="S700" s="5">
        <f>SUMIFS(EIAwtransport!$J$2:$J$675,EIAwtransport!$E$2:$E$675,Program_data!$E700,EIAwtransport!$I$2:$I$675,Program_data!S$2)</f>
        <v>80336233</v>
      </c>
      <c r="T700" s="5">
        <f>SUMIFS(EIAwtransport!$J$2:$J$675,EIAwtransport!$E$2:$E$675,Program_data!$E700,EIAwtransport!$I$2:$I$675,Program_data!T$2)</f>
        <v>474354</v>
      </c>
      <c r="U700" s="24">
        <f t="shared" si="233"/>
        <v>4.7946410143900788E-4</v>
      </c>
      <c r="V700" s="24">
        <f t="shared" si="238"/>
        <v>4.7946410143900788E-4</v>
      </c>
      <c r="W700" s="24">
        <f t="shared" si="234"/>
        <v>4.3700106498557574E-3</v>
      </c>
      <c r="X700" s="25">
        <f t="shared" si="235"/>
        <v>2.7624052962657028E-3</v>
      </c>
      <c r="Y700" s="8">
        <f t="shared" si="231"/>
        <v>0.50623885290011761</v>
      </c>
      <c r="Z700" s="27">
        <f t="shared" si="232"/>
        <v>0.18931688434241503</v>
      </c>
      <c r="AA700" s="27"/>
      <c r="AB700" s="40">
        <v>39905</v>
      </c>
      <c r="AC700" s="56">
        <f t="shared" si="243"/>
        <v>1.383255793477709E-2</v>
      </c>
      <c r="AE700" s="20">
        <f t="shared" si="236"/>
        <v>1780845.7500000002</v>
      </c>
      <c r="AF700" s="20">
        <f t="shared" si="237"/>
        <v>710247788.55000007</v>
      </c>
      <c r="AG700">
        <f t="shared" si="239"/>
        <v>42091794</v>
      </c>
      <c r="AH700">
        <f t="shared" si="240"/>
        <v>42091794</v>
      </c>
      <c r="AI700">
        <f t="shared" si="241"/>
        <v>8473865856.8400002</v>
      </c>
    </row>
    <row r="701" spans="2:35" x14ac:dyDescent="0.25">
      <c r="B701" s="4">
        <v>2024</v>
      </c>
      <c r="C701" s="4" t="s">
        <v>241</v>
      </c>
      <c r="D701" s="1" t="s">
        <v>242</v>
      </c>
      <c r="E701" s="4" t="str">
        <f t="shared" si="227"/>
        <v>Xcel-MN</v>
      </c>
      <c r="F701" s="4" t="s">
        <v>135</v>
      </c>
      <c r="G701" s="4"/>
      <c r="H701" s="11" t="s">
        <v>482</v>
      </c>
      <c r="I701" s="4"/>
      <c r="J701" s="4" t="s">
        <v>42</v>
      </c>
      <c r="K701" s="5">
        <f t="shared" si="244"/>
        <v>130040</v>
      </c>
      <c r="L701" s="5">
        <f t="shared" si="242"/>
        <v>130040</v>
      </c>
      <c r="M701" s="8">
        <v>244642</v>
      </c>
      <c r="N701" s="8">
        <v>49115</v>
      </c>
      <c r="O701" s="8">
        <f>SUMIFS(EIAwtransport!$J$2:$J$675,EIAwtransport!$E$2:$E$675,Program_data!$E701,EIAwtransport!$H$2:$H$675,Program_data!$F701,EIAwtransport!$I$2:$I$675,Program_data!O$2)</f>
        <v>306619750</v>
      </c>
      <c r="P701" s="5">
        <f>SUMIFS(EIAwtransport!$J$2:$J$675,EIAwtransport!$E$2:$E$675,Program_data!$E701,EIAwtransport!$H$2:$H$675,Program_data!$F701,EIAwtransport!$I$2:$I$675,Program_data!P$2)</f>
        <v>35286911</v>
      </c>
      <c r="Q701" s="5">
        <f>SUMIFS(EIAwtransport!$J$2:$J$675,EIAwtransport!$E$2:$E$675,Program_data!$E701,EIAwtransport!$H$2:$H$675,Program_data!$F701,EIAwtransport!$I$2:$I$675,Program_data!Q$2)</f>
        <v>438247</v>
      </c>
      <c r="R701" s="8">
        <f>SUMIFS(EIAwtransport!$J$2:$J$675,EIAwtransport!$E$2:$E$675,Program_data!$E701,EIAwtransport!$I$2:$I$675,Program_data!R$2)</f>
        <v>526109473</v>
      </c>
      <c r="S701" s="5">
        <f>SUMIFS(EIAwtransport!$J$2:$J$675,EIAwtransport!$E$2:$E$675,Program_data!$E701,EIAwtransport!$I$2:$I$675,Program_data!S$2)</f>
        <v>80336233</v>
      </c>
      <c r="T701" s="5">
        <f>SUMIFS(EIAwtransport!$J$2:$J$675,EIAwtransport!$E$2:$E$675,Program_data!$E701,EIAwtransport!$I$2:$I$675,Program_data!T$2)</f>
        <v>474354</v>
      </c>
      <c r="U701" s="24">
        <f t="shared" si="233"/>
        <v>1.5624486092251242E-4</v>
      </c>
      <c r="V701" s="24">
        <f t="shared" si="238"/>
        <v>1.5624486092251242E-4</v>
      </c>
      <c r="W701" s="24">
        <f t="shared" si="234"/>
        <v>4.6500208142041951E-4</v>
      </c>
      <c r="X701" s="25">
        <f t="shared" si="235"/>
        <v>2.9394075104433471E-4</v>
      </c>
      <c r="Y701" s="8">
        <f t="shared" si="231"/>
        <v>5.3867630803648099E-2</v>
      </c>
      <c r="Z701" s="27">
        <f t="shared" si="232"/>
        <v>2.0144743873829585E-2</v>
      </c>
      <c r="AA701" s="27"/>
      <c r="AB701" s="40">
        <v>13004</v>
      </c>
      <c r="AC701" s="56">
        <f t="shared" si="243"/>
        <v>4.5076703015622423E-3</v>
      </c>
      <c r="AE701" s="20">
        <f t="shared" si="236"/>
        <v>66305.25</v>
      </c>
      <c r="AF701" s="20">
        <f t="shared" si="237"/>
        <v>710247788.55000007</v>
      </c>
      <c r="AG701">
        <f t="shared" si="239"/>
        <v>13716619.200000001</v>
      </c>
      <c r="AH701">
        <f t="shared" si="240"/>
        <v>13716619.200000001</v>
      </c>
      <c r="AI701">
        <f t="shared" si="241"/>
        <v>8473865856.8400002</v>
      </c>
    </row>
    <row r="702" spans="2:35" x14ac:dyDescent="0.25">
      <c r="B702" s="4">
        <v>2024</v>
      </c>
      <c r="C702" s="4" t="s">
        <v>241</v>
      </c>
      <c r="D702" s="1" t="s">
        <v>242</v>
      </c>
      <c r="E702" s="4" t="str">
        <f t="shared" si="227"/>
        <v>Xcel-MN</v>
      </c>
      <c r="F702" s="4" t="s">
        <v>135</v>
      </c>
      <c r="G702" s="4"/>
      <c r="H702" s="11" t="s">
        <v>483</v>
      </c>
      <c r="I702" s="4"/>
      <c r="J702" s="4" t="s">
        <v>155</v>
      </c>
      <c r="K702" s="5">
        <f t="shared" si="244"/>
        <v>0</v>
      </c>
      <c r="L702" s="5">
        <f t="shared" si="242"/>
        <v>0</v>
      </c>
      <c r="M702" s="8">
        <v>1518714</v>
      </c>
      <c r="N702" s="8">
        <v>0</v>
      </c>
      <c r="O702" s="8">
        <f>SUMIFS(EIAwtransport!$J$2:$J$675,EIAwtransport!$E$2:$E$675,Program_data!$E702,EIAwtransport!$H$2:$H$675,Program_data!$F702,EIAwtransport!$I$2:$I$675,Program_data!O$2)</f>
        <v>306619750</v>
      </c>
      <c r="P702" s="5">
        <f>SUMIFS(EIAwtransport!$J$2:$J$675,EIAwtransport!$E$2:$E$675,Program_data!$E702,EIAwtransport!$H$2:$H$675,Program_data!$F702,EIAwtransport!$I$2:$I$675,Program_data!P$2)</f>
        <v>35286911</v>
      </c>
      <c r="Q702" s="5">
        <f>SUMIFS(EIAwtransport!$J$2:$J$675,EIAwtransport!$E$2:$E$675,Program_data!$E702,EIAwtransport!$H$2:$H$675,Program_data!$F702,EIAwtransport!$I$2:$I$675,Program_data!Q$2)</f>
        <v>438247</v>
      </c>
      <c r="R702" s="8">
        <f>SUMIFS(EIAwtransport!$J$2:$J$675,EIAwtransport!$E$2:$E$675,Program_data!$E702,EIAwtransport!$I$2:$I$675,Program_data!R$2)</f>
        <v>526109473</v>
      </c>
      <c r="S702" s="5">
        <f>SUMIFS(EIAwtransport!$J$2:$J$675,EIAwtransport!$E$2:$E$675,Program_data!$E702,EIAwtransport!$I$2:$I$675,Program_data!S$2)</f>
        <v>80336233</v>
      </c>
      <c r="T702" s="5">
        <f>SUMIFS(EIAwtransport!$J$2:$J$675,EIAwtransport!$E$2:$E$675,Program_data!$E702,EIAwtransport!$I$2:$I$675,Program_data!T$2)</f>
        <v>474354</v>
      </c>
      <c r="U702" s="24">
        <f t="shared" si="233"/>
        <v>0</v>
      </c>
      <c r="V702" s="24">
        <f t="shared" si="238"/>
        <v>0</v>
      </c>
      <c r="W702" s="24">
        <f t="shared" si="234"/>
        <v>2.8866881855214191E-3</v>
      </c>
      <c r="X702" s="25">
        <f t="shared" si="235"/>
        <v>1.82475590365328E-3</v>
      </c>
      <c r="Y702" s="8">
        <f t="shared" si="231"/>
        <v>0.3344050696459791</v>
      </c>
      <c r="Z702" s="27">
        <f t="shared" si="232"/>
        <v>0.12505663192583133</v>
      </c>
      <c r="AA702" s="27"/>
      <c r="AB702" s="40"/>
      <c r="AC702" s="56">
        <f t="shared" si="243"/>
        <v>0</v>
      </c>
      <c r="AE702" s="20">
        <f t="shared" si="236"/>
        <v>0</v>
      </c>
      <c r="AF702" s="20">
        <f t="shared" si="237"/>
        <v>710247788.55000007</v>
      </c>
      <c r="AG702">
        <f t="shared" si="239"/>
        <v>0</v>
      </c>
      <c r="AH702">
        <f t="shared" si="240"/>
        <v>0</v>
      </c>
      <c r="AI702">
        <f t="shared" si="241"/>
        <v>8473865856.8400002</v>
      </c>
    </row>
    <row r="703" spans="2:35" x14ac:dyDescent="0.25">
      <c r="B703" s="4">
        <v>2024</v>
      </c>
      <c r="C703" s="4" t="s">
        <v>241</v>
      </c>
      <c r="D703" s="1" t="s">
        <v>242</v>
      </c>
      <c r="E703" s="4" t="str">
        <f t="shared" si="227"/>
        <v>Xcel-MN</v>
      </c>
      <c r="F703" s="4" t="s">
        <v>135</v>
      </c>
      <c r="G703" s="4"/>
      <c r="H703" s="11" t="s">
        <v>484</v>
      </c>
      <c r="I703" s="4"/>
      <c r="J703" s="4" t="s">
        <v>157</v>
      </c>
      <c r="K703" s="5">
        <f t="shared" si="244"/>
        <v>635980</v>
      </c>
      <c r="L703" s="5">
        <f t="shared" si="242"/>
        <v>635980</v>
      </c>
      <c r="M703" s="8">
        <v>328553</v>
      </c>
      <c r="N703" s="8">
        <v>0</v>
      </c>
      <c r="O703" s="8">
        <f>SUMIFS(EIAwtransport!$J$2:$J$675,EIAwtransport!$E$2:$E$675,Program_data!$E703,EIAwtransport!$H$2:$H$675,Program_data!$F703,EIAwtransport!$I$2:$I$675,Program_data!O$2)</f>
        <v>306619750</v>
      </c>
      <c r="P703" s="5">
        <f>SUMIFS(EIAwtransport!$J$2:$J$675,EIAwtransport!$E$2:$E$675,Program_data!$E703,EIAwtransport!$H$2:$H$675,Program_data!$F703,EIAwtransport!$I$2:$I$675,Program_data!P$2)</f>
        <v>35286911</v>
      </c>
      <c r="Q703" s="5">
        <f>SUMIFS(EIAwtransport!$J$2:$J$675,EIAwtransport!$E$2:$E$675,Program_data!$E703,EIAwtransport!$H$2:$H$675,Program_data!$F703,EIAwtransport!$I$2:$I$675,Program_data!Q$2)</f>
        <v>438247</v>
      </c>
      <c r="R703" s="8">
        <f>SUMIFS(EIAwtransport!$J$2:$J$675,EIAwtransport!$E$2:$E$675,Program_data!$E703,EIAwtransport!$I$2:$I$675,Program_data!R$2)</f>
        <v>526109473</v>
      </c>
      <c r="S703" s="5">
        <f>SUMIFS(EIAwtransport!$J$2:$J$675,EIAwtransport!$E$2:$E$675,Program_data!$E703,EIAwtransport!$I$2:$I$675,Program_data!S$2)</f>
        <v>80336233</v>
      </c>
      <c r="T703" s="5">
        <f>SUMIFS(EIAwtransport!$J$2:$J$675,EIAwtransport!$E$2:$E$675,Program_data!$E703,EIAwtransport!$I$2:$I$675,Program_data!T$2)</f>
        <v>474354</v>
      </c>
      <c r="U703" s="24">
        <f t="shared" si="233"/>
        <v>7.6413877767994045E-4</v>
      </c>
      <c r="V703" s="24">
        <f t="shared" si="238"/>
        <v>7.6413877767994045E-4</v>
      </c>
      <c r="W703" s="24">
        <f t="shared" si="234"/>
        <v>6.2449550304903936E-4</v>
      </c>
      <c r="X703" s="25">
        <f t="shared" si="235"/>
        <v>3.9476097962683958E-4</v>
      </c>
      <c r="Y703" s="8">
        <f t="shared" si="231"/>
        <v>7.2343962620608868E-2</v>
      </c>
      <c r="Z703" s="27">
        <f t="shared" si="232"/>
        <v>2.7054291715969996E-2</v>
      </c>
      <c r="AA703" s="27"/>
      <c r="AB703" s="40">
        <v>63598</v>
      </c>
      <c r="AC703" s="56">
        <f t="shared" si="243"/>
        <v>2.2045433392706509E-2</v>
      </c>
      <c r="AE703" s="20">
        <f t="shared" si="236"/>
        <v>0</v>
      </c>
      <c r="AF703" s="20">
        <f t="shared" si="237"/>
        <v>710247788.55000007</v>
      </c>
      <c r="AG703">
        <f t="shared" si="239"/>
        <v>67083170.400000006</v>
      </c>
      <c r="AH703">
        <f t="shared" si="240"/>
        <v>67083170.400000006</v>
      </c>
      <c r="AI703">
        <f t="shared" si="241"/>
        <v>8473865856.8400002</v>
      </c>
    </row>
    <row r="704" spans="2:35" x14ac:dyDescent="0.25">
      <c r="B704" s="4">
        <v>2024</v>
      </c>
      <c r="C704" s="4" t="s">
        <v>241</v>
      </c>
      <c r="D704" s="1" t="s">
        <v>242</v>
      </c>
      <c r="E704" s="4" t="str">
        <f t="shared" ref="E704:E769" si="245">D704&amp;"-"&amp;C704</f>
        <v>Xcel-MN</v>
      </c>
      <c r="F704" s="4" t="s">
        <v>135</v>
      </c>
      <c r="G704" s="4"/>
      <c r="H704" s="11" t="s">
        <v>278</v>
      </c>
      <c r="I704" s="4"/>
      <c r="J704" s="4" t="s">
        <v>21</v>
      </c>
      <c r="K704" s="5">
        <f t="shared" si="244"/>
        <v>338270</v>
      </c>
      <c r="L704" s="5">
        <f t="shared" si="242"/>
        <v>338270</v>
      </c>
      <c r="M704" s="8">
        <v>1020713</v>
      </c>
      <c r="N704" s="8">
        <v>15629</v>
      </c>
      <c r="O704" s="8">
        <f>SUMIFS(EIAwtransport!$J$2:$J$675,EIAwtransport!$E$2:$E$675,Program_data!$E704,EIAwtransport!$H$2:$H$675,Program_data!$F704,EIAwtransport!$I$2:$I$675,Program_data!O$2)</f>
        <v>306619750</v>
      </c>
      <c r="P704" s="5">
        <f>SUMIFS(EIAwtransport!$J$2:$J$675,EIAwtransport!$E$2:$E$675,Program_data!$E704,EIAwtransport!$H$2:$H$675,Program_data!$F704,EIAwtransport!$I$2:$I$675,Program_data!P$2)</f>
        <v>35286911</v>
      </c>
      <c r="Q704" s="5">
        <f>SUMIFS(EIAwtransport!$J$2:$J$675,EIAwtransport!$E$2:$E$675,Program_data!$E704,EIAwtransport!$H$2:$H$675,Program_data!$F704,EIAwtransport!$I$2:$I$675,Program_data!Q$2)</f>
        <v>438247</v>
      </c>
      <c r="R704" s="8">
        <f>SUMIFS(EIAwtransport!$J$2:$J$675,EIAwtransport!$E$2:$E$675,Program_data!$E704,EIAwtransport!$I$2:$I$675,Program_data!R$2)</f>
        <v>526109473</v>
      </c>
      <c r="S704" s="5">
        <f>SUMIFS(EIAwtransport!$J$2:$J$675,EIAwtransport!$E$2:$E$675,Program_data!$E704,EIAwtransport!$I$2:$I$675,Program_data!S$2)</f>
        <v>80336233</v>
      </c>
      <c r="T704" s="5">
        <f>SUMIFS(EIAwtransport!$J$2:$J$675,EIAwtransport!$E$2:$E$675,Program_data!$E704,EIAwtransport!$I$2:$I$675,Program_data!T$2)</f>
        <v>474354</v>
      </c>
      <c r="U704" s="24">
        <f t="shared" si="233"/>
        <v>4.0643608969746445E-4</v>
      </c>
      <c r="V704" s="24">
        <f t="shared" si="238"/>
        <v>4.0643608969746445E-4</v>
      </c>
      <c r="W704" s="24">
        <f t="shared" si="234"/>
        <v>1.9401152276914049E-3</v>
      </c>
      <c r="X704" s="25">
        <f t="shared" si="235"/>
        <v>1.2264008053429745E-3</v>
      </c>
      <c r="Y704" s="8">
        <f t="shared" si="231"/>
        <v>0.22475041505744747</v>
      </c>
      <c r="Z704" s="27">
        <f t="shared" si="232"/>
        <v>8.4049353560256293E-2</v>
      </c>
      <c r="AA704" s="27"/>
      <c r="AB704" s="40">
        <v>33827</v>
      </c>
      <c r="AC704" s="56">
        <f t="shared" si="243"/>
        <v>1.1725696961776834E-2</v>
      </c>
      <c r="AE704" s="20">
        <f t="shared" si="236"/>
        <v>21099.15</v>
      </c>
      <c r="AF704" s="20">
        <f t="shared" si="237"/>
        <v>710247788.55000007</v>
      </c>
      <c r="AG704">
        <f t="shared" si="239"/>
        <v>35680719.600000001</v>
      </c>
      <c r="AH704">
        <f t="shared" si="240"/>
        <v>35680719.600000001</v>
      </c>
      <c r="AI704">
        <f t="shared" si="241"/>
        <v>8473865856.8400002</v>
      </c>
    </row>
    <row r="705" spans="2:35" x14ac:dyDescent="0.25">
      <c r="B705" s="4">
        <v>2024</v>
      </c>
      <c r="C705" s="4" t="s">
        <v>241</v>
      </c>
      <c r="D705" s="1" t="s">
        <v>242</v>
      </c>
      <c r="E705" s="4" t="str">
        <f t="shared" si="245"/>
        <v>Xcel-MN</v>
      </c>
      <c r="F705" s="4" t="s">
        <v>135</v>
      </c>
      <c r="G705" s="4"/>
      <c r="H705" s="11" t="s">
        <v>485</v>
      </c>
      <c r="I705" s="4"/>
      <c r="J705" s="4" t="s">
        <v>27</v>
      </c>
      <c r="K705" s="5">
        <f t="shared" si="244"/>
        <v>323210</v>
      </c>
      <c r="L705" s="5">
        <f t="shared" si="242"/>
        <v>323210</v>
      </c>
      <c r="M705" s="8">
        <v>1219022</v>
      </c>
      <c r="N705" s="8">
        <v>1170672</v>
      </c>
      <c r="O705" s="8">
        <f>SUMIFS(EIAwtransport!$J$2:$J$675,EIAwtransport!$E$2:$E$675,Program_data!$E705,EIAwtransport!$H$2:$H$675,Program_data!$F705,EIAwtransport!$I$2:$I$675,Program_data!O$2)</f>
        <v>306619750</v>
      </c>
      <c r="P705" s="5">
        <f>SUMIFS(EIAwtransport!$J$2:$J$675,EIAwtransport!$E$2:$E$675,Program_data!$E705,EIAwtransport!$H$2:$H$675,Program_data!$F705,EIAwtransport!$I$2:$I$675,Program_data!P$2)</f>
        <v>35286911</v>
      </c>
      <c r="Q705" s="5">
        <f>SUMIFS(EIAwtransport!$J$2:$J$675,EIAwtransport!$E$2:$E$675,Program_data!$E705,EIAwtransport!$H$2:$H$675,Program_data!$F705,EIAwtransport!$I$2:$I$675,Program_data!Q$2)</f>
        <v>438247</v>
      </c>
      <c r="R705" s="8">
        <f>SUMIFS(EIAwtransport!$J$2:$J$675,EIAwtransport!$E$2:$E$675,Program_data!$E705,EIAwtransport!$I$2:$I$675,Program_data!R$2)</f>
        <v>526109473</v>
      </c>
      <c r="S705" s="5">
        <f>SUMIFS(EIAwtransport!$J$2:$J$675,EIAwtransport!$E$2:$E$675,Program_data!$E705,EIAwtransport!$I$2:$I$675,Program_data!S$2)</f>
        <v>80336233</v>
      </c>
      <c r="T705" s="5">
        <f>SUMIFS(EIAwtransport!$J$2:$J$675,EIAwtransport!$E$2:$E$675,Program_data!$E705,EIAwtransport!$I$2:$I$675,Program_data!T$2)</f>
        <v>474354</v>
      </c>
      <c r="U705" s="24">
        <f t="shared" si="233"/>
        <v>3.8834129113169211E-4</v>
      </c>
      <c r="V705" s="24">
        <f t="shared" si="238"/>
        <v>3.8834129113169211E-4</v>
      </c>
      <c r="W705" s="24">
        <f t="shared" si="234"/>
        <v>2.3170500866461306E-3</v>
      </c>
      <c r="X705" s="25">
        <f t="shared" si="235"/>
        <v>1.464671815222108E-3</v>
      </c>
      <c r="Y705" s="8">
        <f t="shared" si="231"/>
        <v>0.26841599985907866</v>
      </c>
      <c r="Z705" s="27">
        <f t="shared" si="232"/>
        <v>0.10037886367248261</v>
      </c>
      <c r="AA705" s="27"/>
      <c r="AB705" s="40">
        <v>32321</v>
      </c>
      <c r="AC705" s="56">
        <f t="shared" si="243"/>
        <v>1.120366132088536E-2</v>
      </c>
      <c r="AE705" s="20">
        <f t="shared" si="236"/>
        <v>1580407.2000000002</v>
      </c>
      <c r="AF705" s="20">
        <f t="shared" si="237"/>
        <v>710247788.55000007</v>
      </c>
      <c r="AG705">
        <f t="shared" si="239"/>
        <v>34092190.800000004</v>
      </c>
      <c r="AH705">
        <f t="shared" si="240"/>
        <v>34092190.800000004</v>
      </c>
      <c r="AI705">
        <f t="shared" si="241"/>
        <v>8473865856.8400002</v>
      </c>
    </row>
    <row r="706" spans="2:35" x14ac:dyDescent="0.25">
      <c r="B706" s="4">
        <v>2024</v>
      </c>
      <c r="C706" s="4" t="s">
        <v>241</v>
      </c>
      <c r="D706" s="1" t="s">
        <v>242</v>
      </c>
      <c r="E706" s="4" t="str">
        <f t="shared" si="245"/>
        <v>Xcel-MN</v>
      </c>
      <c r="F706" s="4" t="s">
        <v>135</v>
      </c>
      <c r="G706" s="4"/>
      <c r="H706" s="11" t="s">
        <v>486</v>
      </c>
      <c r="I706" s="4"/>
      <c r="J706" s="4" t="s">
        <v>21</v>
      </c>
      <c r="K706" s="5">
        <f t="shared" si="244"/>
        <v>2055400</v>
      </c>
      <c r="L706" s="5">
        <f t="shared" si="242"/>
        <v>2055400</v>
      </c>
      <c r="M706" s="8">
        <v>5394291</v>
      </c>
      <c r="N706" s="8">
        <v>4883886</v>
      </c>
      <c r="O706" s="8">
        <f>SUMIFS(EIAwtransport!$J$2:$J$675,EIAwtransport!$E$2:$E$675,Program_data!$E706,EIAwtransport!$H$2:$H$675,Program_data!$F706,EIAwtransport!$I$2:$I$675,Program_data!O$2)</f>
        <v>306619750</v>
      </c>
      <c r="P706" s="5">
        <f>SUMIFS(EIAwtransport!$J$2:$J$675,EIAwtransport!$E$2:$E$675,Program_data!$E706,EIAwtransport!$H$2:$H$675,Program_data!$F706,EIAwtransport!$I$2:$I$675,Program_data!P$2)</f>
        <v>35286911</v>
      </c>
      <c r="Q706" s="5">
        <f>SUMIFS(EIAwtransport!$J$2:$J$675,EIAwtransport!$E$2:$E$675,Program_data!$E706,EIAwtransport!$H$2:$H$675,Program_data!$F706,EIAwtransport!$I$2:$I$675,Program_data!Q$2)</f>
        <v>438247</v>
      </c>
      <c r="R706" s="8">
        <f>SUMIFS(EIAwtransport!$J$2:$J$675,EIAwtransport!$E$2:$E$675,Program_data!$E706,EIAwtransport!$I$2:$I$675,Program_data!R$2)</f>
        <v>526109473</v>
      </c>
      <c r="S706" s="5">
        <f>SUMIFS(EIAwtransport!$J$2:$J$675,EIAwtransport!$E$2:$E$675,Program_data!$E706,EIAwtransport!$I$2:$I$675,Program_data!S$2)</f>
        <v>80336233</v>
      </c>
      <c r="T706" s="5">
        <f>SUMIFS(EIAwtransport!$J$2:$J$675,EIAwtransport!$E$2:$E$675,Program_data!$E706,EIAwtransport!$I$2:$I$675,Program_data!T$2)</f>
        <v>474354</v>
      </c>
      <c r="U706" s="24">
        <f t="shared" si="233"/>
        <v>2.4695915652117196E-3</v>
      </c>
      <c r="V706" s="24">
        <f t="shared" si="238"/>
        <v>2.4695915652117196E-3</v>
      </c>
      <c r="W706" s="24">
        <f t="shared" si="234"/>
        <v>1.0253172156814596E-2</v>
      </c>
      <c r="X706" s="25">
        <f t="shared" si="235"/>
        <v>6.4813153419760114E-3</v>
      </c>
      <c r="Y706" s="8">
        <f t="shared" si="231"/>
        <v>1.187766924875703</v>
      </c>
      <c r="Z706" s="27">
        <f t="shared" si="232"/>
        <v>0.44418624183870337</v>
      </c>
      <c r="AA706" s="27"/>
      <c r="AB706" s="40">
        <v>205540</v>
      </c>
      <c r="AC706" s="56">
        <f t="shared" si="243"/>
        <v>7.1247812502545624E-2</v>
      </c>
      <c r="AE706" s="20">
        <f t="shared" si="236"/>
        <v>6593246.1000000006</v>
      </c>
      <c r="AF706" s="20">
        <f t="shared" si="237"/>
        <v>710247788.55000007</v>
      </c>
      <c r="AG706">
        <f t="shared" si="239"/>
        <v>216803592</v>
      </c>
      <c r="AH706">
        <f t="shared" si="240"/>
        <v>216803592</v>
      </c>
      <c r="AI706">
        <f t="shared" si="241"/>
        <v>8473865856.8400002</v>
      </c>
    </row>
    <row r="707" spans="2:35" x14ac:dyDescent="0.25">
      <c r="B707" s="4">
        <v>2024</v>
      </c>
      <c r="C707" s="4" t="s">
        <v>241</v>
      </c>
      <c r="D707" s="1" t="s">
        <v>242</v>
      </c>
      <c r="E707" s="4" t="str">
        <f t="shared" si="245"/>
        <v>Xcel-MN</v>
      </c>
      <c r="F707" s="4" t="s">
        <v>135</v>
      </c>
      <c r="G707" s="4"/>
      <c r="H707" s="11" t="s">
        <v>487</v>
      </c>
      <c r="I707" s="4"/>
      <c r="J707" s="4" t="s">
        <v>42</v>
      </c>
      <c r="K707" s="5">
        <f t="shared" si="244"/>
        <v>515980</v>
      </c>
      <c r="L707" s="5">
        <f t="shared" si="242"/>
        <v>515980</v>
      </c>
      <c r="M707" s="8">
        <v>398520</v>
      </c>
      <c r="N707" s="8">
        <v>85304</v>
      </c>
      <c r="O707" s="8">
        <f>SUMIFS(EIAwtransport!$J$2:$J$675,EIAwtransport!$E$2:$E$675,Program_data!$E707,EIAwtransport!$H$2:$H$675,Program_data!$F707,EIAwtransport!$I$2:$I$675,Program_data!O$2)</f>
        <v>306619750</v>
      </c>
      <c r="P707" s="5">
        <f>SUMIFS(EIAwtransport!$J$2:$J$675,EIAwtransport!$E$2:$E$675,Program_data!$E707,EIAwtransport!$H$2:$H$675,Program_data!$F707,EIAwtransport!$I$2:$I$675,Program_data!P$2)</f>
        <v>35286911</v>
      </c>
      <c r="Q707" s="5">
        <f>SUMIFS(EIAwtransport!$J$2:$J$675,EIAwtransport!$E$2:$E$675,Program_data!$E707,EIAwtransport!$H$2:$H$675,Program_data!$F707,EIAwtransport!$I$2:$I$675,Program_data!Q$2)</f>
        <v>438247</v>
      </c>
      <c r="R707" s="8">
        <f>SUMIFS(EIAwtransport!$J$2:$J$675,EIAwtransport!$E$2:$E$675,Program_data!$E707,EIAwtransport!$I$2:$I$675,Program_data!R$2)</f>
        <v>526109473</v>
      </c>
      <c r="S707" s="5">
        <f>SUMIFS(EIAwtransport!$J$2:$J$675,EIAwtransport!$E$2:$E$675,Program_data!$E707,EIAwtransport!$I$2:$I$675,Program_data!S$2)</f>
        <v>80336233</v>
      </c>
      <c r="T707" s="5">
        <f>SUMIFS(EIAwtransport!$J$2:$J$675,EIAwtransport!$E$2:$E$675,Program_data!$E707,EIAwtransport!$I$2:$I$675,Program_data!T$2)</f>
        <v>474354</v>
      </c>
      <c r="U707" s="24">
        <f t="shared" si="233"/>
        <v>6.199571158012762E-4</v>
      </c>
      <c r="V707" s="24">
        <f t="shared" si="238"/>
        <v>6.199571158012762E-4</v>
      </c>
      <c r="W707" s="24">
        <f t="shared" si="234"/>
        <v>7.5748493507928148E-4</v>
      </c>
      <c r="X707" s="25">
        <f t="shared" si="235"/>
        <v>4.7882729909904374E-4</v>
      </c>
      <c r="Y707" s="8">
        <f t="shared" si="231"/>
        <v>8.7749970274400318E-2</v>
      </c>
      <c r="Z707" s="27">
        <f t="shared" si="232"/>
        <v>3.2815638069499789E-2</v>
      </c>
      <c r="AA707" s="27"/>
      <c r="AB707" s="40">
        <v>51598</v>
      </c>
      <c r="AC707" s="56">
        <f t="shared" si="243"/>
        <v>1.7885786851738587E-2</v>
      </c>
      <c r="AE707" s="20">
        <f t="shared" si="236"/>
        <v>115160.40000000001</v>
      </c>
      <c r="AF707" s="20">
        <f t="shared" si="237"/>
        <v>710247788.55000007</v>
      </c>
      <c r="AG707">
        <f t="shared" si="239"/>
        <v>54425570.399999999</v>
      </c>
      <c r="AH707">
        <f t="shared" si="240"/>
        <v>54425570.399999999</v>
      </c>
      <c r="AI707">
        <f t="shared" si="241"/>
        <v>8473865856.8400002</v>
      </c>
    </row>
    <row r="708" spans="2:35" x14ac:dyDescent="0.25">
      <c r="B708" s="4">
        <v>2024</v>
      </c>
      <c r="C708" s="4" t="s">
        <v>241</v>
      </c>
      <c r="D708" s="1" t="s">
        <v>242</v>
      </c>
      <c r="E708" s="4" t="str">
        <f t="shared" ref="E708" si="246">D708&amp;"-"&amp;C708</f>
        <v>Xcel-MN</v>
      </c>
      <c r="F708" s="4" t="s">
        <v>135</v>
      </c>
      <c r="G708" s="4"/>
      <c r="H708" s="11" t="s">
        <v>488</v>
      </c>
      <c r="I708" s="4"/>
      <c r="J708" s="4" t="s">
        <v>27</v>
      </c>
      <c r="K708" s="5">
        <f>36850/2</f>
        <v>18425</v>
      </c>
      <c r="L708" s="5">
        <f t="shared" si="242"/>
        <v>18425</v>
      </c>
      <c r="M708" s="8">
        <f>171612/2</f>
        <v>85806</v>
      </c>
      <c r="N708" s="8">
        <f>136801/2</f>
        <v>68400.5</v>
      </c>
      <c r="O708" s="8">
        <f>SUMIFS(EIAwtransport!$J$2:$J$675,EIAwtransport!$E$2:$E$675,Program_data!$E708,EIAwtransport!$H$2:$H$675,Program_data!$F708,EIAwtransport!$I$2:$I$675,Program_data!O$2)</f>
        <v>306619750</v>
      </c>
      <c r="P708" s="5">
        <f>SUMIFS(EIAwtransport!$J$2:$J$675,EIAwtransport!$E$2:$E$675,Program_data!$E708,EIAwtransport!$H$2:$H$675,Program_data!$F708,EIAwtransport!$I$2:$I$675,Program_data!P$2)</f>
        <v>35286911</v>
      </c>
      <c r="Q708" s="5">
        <f>SUMIFS(EIAwtransport!$J$2:$J$675,EIAwtransport!$E$2:$E$675,Program_data!$E708,EIAwtransport!$H$2:$H$675,Program_data!$F708,EIAwtransport!$I$2:$I$675,Program_data!Q$2)</f>
        <v>438247</v>
      </c>
      <c r="R708" s="8">
        <f>SUMIFS(EIAwtransport!$J$2:$J$675,EIAwtransport!$E$2:$E$675,Program_data!$E708,EIAwtransport!$I$2:$I$675,Program_data!R$2)</f>
        <v>526109473</v>
      </c>
      <c r="S708" s="5">
        <f>SUMIFS(EIAwtransport!$J$2:$J$675,EIAwtransport!$E$2:$E$675,Program_data!$E708,EIAwtransport!$I$2:$I$675,Program_data!S$2)</f>
        <v>80336233</v>
      </c>
      <c r="T708" s="5">
        <f>SUMIFS(EIAwtransport!$J$2:$J$675,EIAwtransport!$E$2:$E$675,Program_data!$E708,EIAwtransport!$I$2:$I$675,Program_data!T$2)</f>
        <v>474354</v>
      </c>
      <c r="U708" s="24">
        <f t="shared" si="233"/>
        <v>2.2137892667619899E-5</v>
      </c>
      <c r="V708" s="24">
        <f t="shared" si="238"/>
        <v>2.2137892667619899E-5</v>
      </c>
      <c r="W708" s="24">
        <f t="shared" si="234"/>
        <v>1.6309533358278838E-4</v>
      </c>
      <c r="X708" s="25">
        <f t="shared" si="235"/>
        <v>1.0309709732633882E-4</v>
      </c>
      <c r="Y708" s="8">
        <f t="shared" ref="Y708:Y771" si="247">IFERROR(M708/SUMIFS($K$3:$K$1492,$E$3:$E$1492,E708,$B$3:$B$1492,B708,$F$3:$F$1492,F708,$A$3:$A$1492,""),"")</f>
        <v>1.8893591160707601E-2</v>
      </c>
      <c r="Z708" s="27">
        <f t="shared" ref="Z708:Z771" si="248">IFERROR(M708/SUMIFS($K$3:$K$1492,$E$3:$E$1492,E708,$B$3:$B$1492,B708,$A$3:$A$1492,""),"")</f>
        <v>7.0655892808177724E-3</v>
      </c>
      <c r="AA708" s="27"/>
      <c r="AB708" s="41" t="s">
        <v>489</v>
      </c>
      <c r="AC708" s="56">
        <f t="shared" si="243"/>
        <v>6.3867906264445024E-4</v>
      </c>
      <c r="AE708" s="20">
        <f t="shared" si="236"/>
        <v>92340.675000000003</v>
      </c>
      <c r="AF708" s="20">
        <f t="shared" si="237"/>
        <v>710247788.55000007</v>
      </c>
      <c r="AG708">
        <f t="shared" si="239"/>
        <v>1943469</v>
      </c>
      <c r="AH708">
        <f t="shared" si="240"/>
        <v>1943469</v>
      </c>
      <c r="AI708">
        <f t="shared" si="241"/>
        <v>8473865856.8400002</v>
      </c>
    </row>
    <row r="709" spans="2:35" x14ac:dyDescent="0.25">
      <c r="B709" s="4">
        <v>2024</v>
      </c>
      <c r="C709" s="4" t="s">
        <v>241</v>
      </c>
      <c r="D709" s="1" t="s">
        <v>242</v>
      </c>
      <c r="E709" s="4" t="str">
        <f t="shared" si="245"/>
        <v>Xcel-MN</v>
      </c>
      <c r="F709" s="4" t="s">
        <v>135</v>
      </c>
      <c r="G709" s="4"/>
      <c r="H709" s="11" t="s">
        <v>488</v>
      </c>
      <c r="I709" s="4"/>
      <c r="J709" s="4" t="s">
        <v>21</v>
      </c>
      <c r="K709" s="5">
        <f>36850/2</f>
        <v>18425</v>
      </c>
      <c r="L709" s="5">
        <f>36850/2</f>
        <v>18425</v>
      </c>
      <c r="M709" s="8">
        <f>171612/2</f>
        <v>85806</v>
      </c>
      <c r="N709" s="8">
        <f>136801/2</f>
        <v>68400.5</v>
      </c>
      <c r="O709" s="8">
        <f>SUMIFS(EIAwtransport!$J$2:$J$675,EIAwtransport!$E$2:$E$675,Program_data!$E709,EIAwtransport!$H$2:$H$675,Program_data!$F709,EIAwtransport!$I$2:$I$675,Program_data!O$2)</f>
        <v>306619750</v>
      </c>
      <c r="P709" s="5">
        <f>SUMIFS(EIAwtransport!$J$2:$J$675,EIAwtransport!$E$2:$E$675,Program_data!$E709,EIAwtransport!$H$2:$H$675,Program_data!$F709,EIAwtransport!$I$2:$I$675,Program_data!P$2)</f>
        <v>35286911</v>
      </c>
      <c r="Q709" s="5">
        <f>SUMIFS(EIAwtransport!$J$2:$J$675,EIAwtransport!$E$2:$E$675,Program_data!$E709,EIAwtransport!$H$2:$H$675,Program_data!$F709,EIAwtransport!$I$2:$I$675,Program_data!Q$2)</f>
        <v>438247</v>
      </c>
      <c r="R709" s="8">
        <f>SUMIFS(EIAwtransport!$J$2:$J$675,EIAwtransport!$E$2:$E$675,Program_data!$E709,EIAwtransport!$I$2:$I$675,Program_data!R$2)</f>
        <v>526109473</v>
      </c>
      <c r="S709" s="5">
        <f>SUMIFS(EIAwtransport!$J$2:$J$675,EIAwtransport!$E$2:$E$675,Program_data!$E709,EIAwtransport!$I$2:$I$675,Program_data!S$2)</f>
        <v>80336233</v>
      </c>
      <c r="T709" s="5">
        <f>SUMIFS(EIAwtransport!$J$2:$J$675,EIAwtransport!$E$2:$E$675,Program_data!$E709,EIAwtransport!$I$2:$I$675,Program_data!T$2)</f>
        <v>474354</v>
      </c>
      <c r="U709" s="24">
        <f t="shared" si="233"/>
        <v>2.2137892667619899E-5</v>
      </c>
      <c r="V709" s="24">
        <f t="shared" si="238"/>
        <v>2.2137892667619899E-5</v>
      </c>
      <c r="W709" s="24">
        <f t="shared" si="234"/>
        <v>1.6309533358278838E-4</v>
      </c>
      <c r="X709" s="25">
        <f t="shared" si="235"/>
        <v>1.0309709732633882E-4</v>
      </c>
      <c r="Y709" s="8">
        <f t="shared" si="247"/>
        <v>1.8893591160707601E-2</v>
      </c>
      <c r="Z709" s="27">
        <f t="shared" si="248"/>
        <v>7.0655892808177724E-3</v>
      </c>
      <c r="AA709" s="27"/>
      <c r="AB709" s="40">
        <v>3685</v>
      </c>
      <c r="AC709" s="56">
        <f t="shared" si="243"/>
        <v>6.3867906264445024E-4</v>
      </c>
      <c r="AE709" s="20">
        <f t="shared" si="236"/>
        <v>92340.675000000003</v>
      </c>
      <c r="AF709" s="20">
        <f t="shared" si="237"/>
        <v>710247788.55000007</v>
      </c>
      <c r="AG709">
        <f t="shared" si="239"/>
        <v>1943469</v>
      </c>
      <c r="AH709">
        <f t="shared" si="240"/>
        <v>1943469</v>
      </c>
      <c r="AI709">
        <f t="shared" si="241"/>
        <v>8473865856.8400002</v>
      </c>
    </row>
    <row r="710" spans="2:35" x14ac:dyDescent="0.25">
      <c r="B710" s="4">
        <v>2024</v>
      </c>
      <c r="C710" s="4" t="s">
        <v>241</v>
      </c>
      <c r="D710" s="1" t="s">
        <v>242</v>
      </c>
      <c r="E710" s="4" t="str">
        <f t="shared" si="245"/>
        <v>Xcel-MN</v>
      </c>
      <c r="F710" s="4" t="s">
        <v>146</v>
      </c>
      <c r="G710" s="4"/>
      <c r="H710" s="11" t="s">
        <v>490</v>
      </c>
      <c r="I710" s="4"/>
      <c r="J710" s="4" t="s">
        <v>155</v>
      </c>
      <c r="K710" s="5">
        <f t="shared" si="244"/>
        <v>0</v>
      </c>
      <c r="L710" s="5">
        <f t="shared" si="242"/>
        <v>0</v>
      </c>
      <c r="M710" s="8">
        <v>30750</v>
      </c>
      <c r="N710" s="8">
        <v>0</v>
      </c>
      <c r="O710" s="8">
        <f>SUMIFS(EIAwtransport!$J$2:$J$675,EIAwtransport!$E$2:$E$675,Program_data!$E710,EIAwtransport!$H$2:$H$675,Program_data!$F710,EIAwtransport!$I$2:$I$675,Program_data!O$2)</f>
        <v>219489723</v>
      </c>
      <c r="P710" s="5">
        <f>SUMIFS(EIAwtransport!$J$2:$J$675,EIAwtransport!$E$2:$E$675,Program_data!$E710,EIAwtransport!$H$2:$H$675,Program_data!$F710,EIAwtransport!$I$2:$I$675,Program_data!P$2)</f>
        <v>45049322</v>
      </c>
      <c r="Q710" s="5">
        <f>SUMIFS(EIAwtransport!$J$2:$J$675,EIAwtransport!$E$2:$E$675,Program_data!$E710,EIAwtransport!$H$2:$H$675,Program_data!$F710,EIAwtransport!$I$2:$I$675,Program_data!Q$2)</f>
        <v>36107</v>
      </c>
      <c r="R710" s="8">
        <f>SUMIFS(EIAwtransport!$J$2:$J$675,EIAwtransport!$E$2:$E$675,Program_data!$E710,EIAwtransport!$I$2:$I$675,Program_data!R$2)</f>
        <v>526109473</v>
      </c>
      <c r="S710" s="5">
        <f>SUMIFS(EIAwtransport!$J$2:$J$675,EIAwtransport!$E$2:$E$675,Program_data!$E710,EIAwtransport!$I$2:$I$675,Program_data!S$2)</f>
        <v>80336233</v>
      </c>
      <c r="T710" s="5">
        <f>SUMIFS(EIAwtransport!$J$2:$J$675,EIAwtransport!$E$2:$E$675,Program_data!$E710,EIAwtransport!$I$2:$I$675,Program_data!T$2)</f>
        <v>474354</v>
      </c>
      <c r="U710" s="24">
        <f t="shared" si="233"/>
        <v>0</v>
      </c>
      <c r="V710" s="24">
        <f t="shared" si="238"/>
        <v>0</v>
      </c>
      <c r="W710" s="24">
        <f t="shared" si="234"/>
        <v>5.844791165735197E-5</v>
      </c>
      <c r="X710" s="25">
        <f t="shared" si="235"/>
        <v>3.6946550856407697E-5</v>
      </c>
      <c r="Y710" s="8">
        <f t="shared" si="247"/>
        <v>4.2063131630927821E-3</v>
      </c>
      <c r="Z710" s="27">
        <f t="shared" si="248"/>
        <v>2.5320708386959712E-3</v>
      </c>
      <c r="AA710" s="27"/>
      <c r="AB710" s="40"/>
      <c r="AC710" s="56">
        <f t="shared" si="243"/>
        <v>0</v>
      </c>
      <c r="AE710" s="20">
        <f t="shared" si="236"/>
        <v>0</v>
      </c>
      <c r="AF710" s="20">
        <f t="shared" si="237"/>
        <v>710247788.55000007</v>
      </c>
      <c r="AG710">
        <f t="shared" si="239"/>
        <v>0</v>
      </c>
      <c r="AH710">
        <f t="shared" si="240"/>
        <v>0</v>
      </c>
      <c r="AI710">
        <f t="shared" si="241"/>
        <v>8473865856.8400002</v>
      </c>
    </row>
    <row r="711" spans="2:35" x14ac:dyDescent="0.25">
      <c r="B711" s="4">
        <v>2024</v>
      </c>
      <c r="C711" s="4" t="s">
        <v>241</v>
      </c>
      <c r="D711" s="1" t="s">
        <v>242</v>
      </c>
      <c r="E711" s="4" t="str">
        <f t="shared" si="245"/>
        <v>Xcel-MN</v>
      </c>
      <c r="F711" s="4" t="s">
        <v>146</v>
      </c>
      <c r="G711" s="4"/>
      <c r="H711" s="11" t="s">
        <v>491</v>
      </c>
      <c r="I711" s="4"/>
      <c r="J711" s="4" t="s">
        <v>68</v>
      </c>
      <c r="K711" s="5">
        <f t="shared" si="244"/>
        <v>275520</v>
      </c>
      <c r="L711" s="5">
        <f t="shared" si="242"/>
        <v>275520</v>
      </c>
      <c r="M711" s="8">
        <v>418929</v>
      </c>
      <c r="N711" s="8">
        <v>192937</v>
      </c>
      <c r="O711" s="8">
        <f>SUMIFS(EIAwtransport!$J$2:$J$675,EIAwtransport!$E$2:$E$675,Program_data!$E711,EIAwtransport!$H$2:$H$675,Program_data!$F711,EIAwtransport!$I$2:$I$675,Program_data!O$2)</f>
        <v>219489723</v>
      </c>
      <c r="P711" s="5">
        <f>SUMIFS(EIAwtransport!$J$2:$J$675,EIAwtransport!$E$2:$E$675,Program_data!$E711,EIAwtransport!$H$2:$H$675,Program_data!$F711,EIAwtransport!$I$2:$I$675,Program_data!P$2)</f>
        <v>45049322</v>
      </c>
      <c r="Q711" s="5">
        <f>SUMIFS(EIAwtransport!$J$2:$J$675,EIAwtransport!$E$2:$E$675,Program_data!$E711,EIAwtransport!$H$2:$H$675,Program_data!$F711,EIAwtransport!$I$2:$I$675,Program_data!Q$2)</f>
        <v>36107</v>
      </c>
      <c r="R711" s="8">
        <f>SUMIFS(EIAwtransport!$J$2:$J$675,EIAwtransport!$E$2:$E$675,Program_data!$E711,EIAwtransport!$I$2:$I$675,Program_data!R$2)</f>
        <v>526109473</v>
      </c>
      <c r="S711" s="5">
        <f>SUMIFS(EIAwtransport!$J$2:$J$675,EIAwtransport!$E$2:$E$675,Program_data!$E711,EIAwtransport!$I$2:$I$675,Program_data!S$2)</f>
        <v>80336233</v>
      </c>
      <c r="T711" s="5">
        <f>SUMIFS(EIAwtransport!$J$2:$J$675,EIAwtransport!$E$2:$E$675,Program_data!$E711,EIAwtransport!$I$2:$I$675,Program_data!T$2)</f>
        <v>474354</v>
      </c>
      <c r="U711" s="24">
        <f t="shared" si="233"/>
        <v>3.31041095673413E-4</v>
      </c>
      <c r="V711" s="24">
        <f t="shared" si="238"/>
        <v>3.31041095673413E-4</v>
      </c>
      <c r="W711" s="24">
        <f t="shared" si="234"/>
        <v>7.9627724171391231E-4</v>
      </c>
      <c r="X711" s="25">
        <f t="shared" si="235"/>
        <v>5.033489952430576E-4</v>
      </c>
      <c r="Y711" s="8">
        <f t="shared" si="247"/>
        <v>5.7305579417928333E-2</v>
      </c>
      <c r="Z711" s="27">
        <f t="shared" si="248"/>
        <v>3.44961920124899E-2</v>
      </c>
      <c r="AA711" s="27"/>
      <c r="AB711" s="40">
        <v>27552</v>
      </c>
      <c r="AC711" s="56">
        <f t="shared" si="243"/>
        <v>9.5505484580623561E-3</v>
      </c>
      <c r="AE711" s="20">
        <f t="shared" si="236"/>
        <v>260464.95</v>
      </c>
      <c r="AF711" s="20">
        <f t="shared" si="237"/>
        <v>710247788.55000007</v>
      </c>
      <c r="AG711">
        <f t="shared" si="239"/>
        <v>29061849.600000001</v>
      </c>
      <c r="AH711">
        <f t="shared" si="240"/>
        <v>29061849.600000001</v>
      </c>
      <c r="AI711">
        <f t="shared" si="241"/>
        <v>8473865856.8400002</v>
      </c>
    </row>
    <row r="712" spans="2:35" x14ac:dyDescent="0.25">
      <c r="B712" s="4">
        <v>2024</v>
      </c>
      <c r="C712" s="4" t="s">
        <v>241</v>
      </c>
      <c r="D712" s="1" t="s">
        <v>242</v>
      </c>
      <c r="E712" s="4" t="str">
        <f t="shared" si="245"/>
        <v>Xcel-MN</v>
      </c>
      <c r="F712" s="4" t="s">
        <v>146</v>
      </c>
      <c r="G712" s="4"/>
      <c r="H712" s="11" t="s">
        <v>492</v>
      </c>
      <c r="I712" s="4"/>
      <c r="J712" s="4" t="s">
        <v>32</v>
      </c>
      <c r="K712" s="5">
        <f t="shared" si="244"/>
        <v>500090</v>
      </c>
      <c r="L712" s="5">
        <f t="shared" si="242"/>
        <v>500090</v>
      </c>
      <c r="M712" s="8">
        <v>557897</v>
      </c>
      <c r="N712" s="8">
        <v>275242</v>
      </c>
      <c r="O712" s="8">
        <f>SUMIFS(EIAwtransport!$J$2:$J$675,EIAwtransport!$E$2:$E$675,Program_data!$E712,EIAwtransport!$H$2:$H$675,Program_data!$F712,EIAwtransport!$I$2:$I$675,Program_data!O$2)</f>
        <v>219489723</v>
      </c>
      <c r="P712" s="5">
        <f>SUMIFS(EIAwtransport!$J$2:$J$675,EIAwtransport!$E$2:$E$675,Program_data!$E712,EIAwtransport!$H$2:$H$675,Program_data!$F712,EIAwtransport!$I$2:$I$675,Program_data!P$2)</f>
        <v>45049322</v>
      </c>
      <c r="Q712" s="5">
        <f>SUMIFS(EIAwtransport!$J$2:$J$675,EIAwtransport!$E$2:$E$675,Program_data!$E712,EIAwtransport!$H$2:$H$675,Program_data!$F712,EIAwtransport!$I$2:$I$675,Program_data!Q$2)</f>
        <v>36107</v>
      </c>
      <c r="R712" s="8">
        <f>SUMIFS(EIAwtransport!$J$2:$J$675,EIAwtransport!$E$2:$E$675,Program_data!$E712,EIAwtransport!$I$2:$I$675,Program_data!R$2)</f>
        <v>526109473</v>
      </c>
      <c r="S712" s="5">
        <f>SUMIFS(EIAwtransport!$J$2:$J$675,EIAwtransport!$E$2:$E$675,Program_data!$E712,EIAwtransport!$I$2:$I$675,Program_data!S$2)</f>
        <v>80336233</v>
      </c>
      <c r="T712" s="5">
        <f>SUMIFS(EIAwtransport!$J$2:$J$675,EIAwtransport!$E$2:$E$675,Program_data!$E712,EIAwtransport!$I$2:$I$675,Program_data!T$2)</f>
        <v>474354</v>
      </c>
      <c r="U712" s="24">
        <f t="shared" si="233"/>
        <v>6.0086506074084314E-4</v>
      </c>
      <c r="V712" s="24">
        <f t="shared" si="238"/>
        <v>6.0086506074084314E-4</v>
      </c>
      <c r="W712" s="24">
        <f t="shared" si="234"/>
        <v>1.060419986013063E-3</v>
      </c>
      <c r="X712" s="25">
        <f t="shared" si="235"/>
        <v>6.703209718093426E-4</v>
      </c>
      <c r="Y712" s="8">
        <f t="shared" si="247"/>
        <v>7.6315105520324361E-2</v>
      </c>
      <c r="Z712" s="27">
        <f t="shared" si="248"/>
        <v>4.593934064051923E-2</v>
      </c>
      <c r="AA712" s="27"/>
      <c r="AB712" s="40">
        <v>50009</v>
      </c>
      <c r="AC712" s="56">
        <f t="shared" si="243"/>
        <v>1.7334980322272084E-2</v>
      </c>
      <c r="AE712" s="20">
        <f t="shared" si="236"/>
        <v>371576.7</v>
      </c>
      <c r="AF712" s="20">
        <f t="shared" si="237"/>
        <v>710247788.55000007</v>
      </c>
      <c r="AG712">
        <f t="shared" si="239"/>
        <v>52749493.200000003</v>
      </c>
      <c r="AH712">
        <f t="shared" si="240"/>
        <v>52749493.200000003</v>
      </c>
      <c r="AI712">
        <f t="shared" si="241"/>
        <v>8473865856.8400002</v>
      </c>
    </row>
    <row r="713" spans="2:35" x14ac:dyDescent="0.25">
      <c r="B713" s="4">
        <v>2024</v>
      </c>
      <c r="C713" s="4" t="s">
        <v>241</v>
      </c>
      <c r="D713" s="1" t="s">
        <v>242</v>
      </c>
      <c r="E713" s="4" t="str">
        <f t="shared" si="245"/>
        <v>Xcel-MN</v>
      </c>
      <c r="F713" s="4" t="s">
        <v>146</v>
      </c>
      <c r="G713" s="4"/>
      <c r="H713" s="11" t="s">
        <v>493</v>
      </c>
      <c r="I713" s="4"/>
      <c r="J713" s="4" t="s">
        <v>61</v>
      </c>
      <c r="K713" s="5">
        <f t="shared" si="244"/>
        <v>205180</v>
      </c>
      <c r="L713" s="5">
        <f t="shared" si="242"/>
        <v>205180</v>
      </c>
      <c r="M713" s="8">
        <v>202236</v>
      </c>
      <c r="N713" s="8">
        <v>120008</v>
      </c>
      <c r="O713" s="8">
        <f>SUMIFS(EIAwtransport!$J$2:$J$675,EIAwtransport!$E$2:$E$675,Program_data!$E713,EIAwtransport!$H$2:$H$675,Program_data!$F713,EIAwtransport!$I$2:$I$675,Program_data!O$2)</f>
        <v>219489723</v>
      </c>
      <c r="P713" s="5">
        <f>SUMIFS(EIAwtransport!$J$2:$J$675,EIAwtransport!$E$2:$E$675,Program_data!$E713,EIAwtransport!$H$2:$H$675,Program_data!$F713,EIAwtransport!$I$2:$I$675,Program_data!P$2)</f>
        <v>45049322</v>
      </c>
      <c r="Q713" s="5">
        <f>SUMIFS(EIAwtransport!$J$2:$J$675,EIAwtransport!$E$2:$E$675,Program_data!$E713,EIAwtransport!$H$2:$H$675,Program_data!$F713,EIAwtransport!$I$2:$I$675,Program_data!Q$2)</f>
        <v>36107</v>
      </c>
      <c r="R713" s="8">
        <f>SUMIFS(EIAwtransport!$J$2:$J$675,EIAwtransport!$E$2:$E$675,Program_data!$E713,EIAwtransport!$I$2:$I$675,Program_data!R$2)</f>
        <v>526109473</v>
      </c>
      <c r="S713" s="5">
        <f>SUMIFS(EIAwtransport!$J$2:$J$675,EIAwtransport!$E$2:$E$675,Program_data!$E713,EIAwtransport!$I$2:$I$675,Program_data!S$2)</f>
        <v>80336233</v>
      </c>
      <c r="T713" s="5">
        <f>SUMIFS(EIAwtransport!$J$2:$J$675,EIAwtransport!$E$2:$E$675,Program_data!$E713,EIAwtransport!$I$2:$I$675,Program_data!T$2)</f>
        <v>474354</v>
      </c>
      <c r="U713" s="24">
        <f t="shared" si="233"/>
        <v>2.4652661153553597E-4</v>
      </c>
      <c r="V713" s="24">
        <f t="shared" si="238"/>
        <v>2.4652661153553597E-4</v>
      </c>
      <c r="W713" s="24">
        <f t="shared" si="234"/>
        <v>3.843990849410157E-4</v>
      </c>
      <c r="X713" s="25">
        <f t="shared" si="235"/>
        <v>2.4298935476411277E-4</v>
      </c>
      <c r="Y713" s="8">
        <f t="shared" si="247"/>
        <v>2.7663998336625428E-2</v>
      </c>
      <c r="Z713" s="27">
        <f t="shared" si="248"/>
        <v>1.6652874085675395E-2</v>
      </c>
      <c r="AA713" s="27"/>
      <c r="AB713" s="40">
        <v>20518</v>
      </c>
      <c r="AC713" s="56">
        <f t="shared" si="243"/>
        <v>7.1123023106316576E-3</v>
      </c>
      <c r="AE713" s="20">
        <f t="shared" si="236"/>
        <v>162010.80000000002</v>
      </c>
      <c r="AF713" s="20">
        <f t="shared" si="237"/>
        <v>710247788.55000007</v>
      </c>
      <c r="AG713">
        <f t="shared" si="239"/>
        <v>21642386.400000002</v>
      </c>
      <c r="AH713">
        <f t="shared" si="240"/>
        <v>21642386.400000002</v>
      </c>
      <c r="AI713">
        <f t="shared" si="241"/>
        <v>8473865856.8400002</v>
      </c>
    </row>
    <row r="714" spans="2:35" x14ac:dyDescent="0.25">
      <c r="B714" s="4">
        <v>2024</v>
      </c>
      <c r="C714" s="4" t="s">
        <v>241</v>
      </c>
      <c r="D714" s="1" t="s">
        <v>242</v>
      </c>
      <c r="E714" s="4" t="str">
        <f t="shared" si="245"/>
        <v>Xcel-MN</v>
      </c>
      <c r="F714" s="4" t="s">
        <v>146</v>
      </c>
      <c r="G714" s="4"/>
      <c r="H714" s="11" t="s">
        <v>494</v>
      </c>
      <c r="I714" s="4"/>
      <c r="J714" s="4" t="s">
        <v>21</v>
      </c>
      <c r="K714" s="5">
        <f t="shared" si="244"/>
        <v>79450</v>
      </c>
      <c r="L714" s="5">
        <f t="shared" si="242"/>
        <v>79450</v>
      </c>
      <c r="M714" s="8">
        <v>64744</v>
      </c>
      <c r="N714" s="8">
        <v>54784</v>
      </c>
      <c r="O714" s="8">
        <f>SUMIFS(EIAwtransport!$J$2:$J$675,EIAwtransport!$E$2:$E$675,Program_data!$E714,EIAwtransport!$H$2:$H$675,Program_data!$F714,EIAwtransport!$I$2:$I$675,Program_data!O$2)</f>
        <v>219489723</v>
      </c>
      <c r="P714" s="5">
        <f>SUMIFS(EIAwtransport!$J$2:$J$675,EIAwtransport!$E$2:$E$675,Program_data!$E714,EIAwtransport!$H$2:$H$675,Program_data!$F714,EIAwtransport!$I$2:$I$675,Program_data!P$2)</f>
        <v>45049322</v>
      </c>
      <c r="Q714" s="5">
        <f>SUMIFS(EIAwtransport!$J$2:$J$675,EIAwtransport!$E$2:$E$675,Program_data!$E714,EIAwtransport!$H$2:$H$675,Program_data!$F714,EIAwtransport!$I$2:$I$675,Program_data!Q$2)</f>
        <v>36107</v>
      </c>
      <c r="R714" s="8">
        <f>SUMIFS(EIAwtransport!$J$2:$J$675,EIAwtransport!$E$2:$E$675,Program_data!$E714,EIAwtransport!$I$2:$I$675,Program_data!R$2)</f>
        <v>526109473</v>
      </c>
      <c r="S714" s="5">
        <f>SUMIFS(EIAwtransport!$J$2:$J$675,EIAwtransport!$E$2:$E$675,Program_data!$E714,EIAwtransport!$I$2:$I$675,Program_data!S$2)</f>
        <v>80336233</v>
      </c>
      <c r="T714" s="5">
        <f>SUMIFS(EIAwtransport!$J$2:$J$675,EIAwtransport!$E$2:$E$675,Program_data!$E714,EIAwtransport!$I$2:$I$675,Program_data!T$2)</f>
        <v>474354</v>
      </c>
      <c r="U714" s="24">
        <f t="shared" si="233"/>
        <v>9.5460275302165583E-5</v>
      </c>
      <c r="V714" s="24">
        <f t="shared" si="238"/>
        <v>9.5460275302165583E-5</v>
      </c>
      <c r="W714" s="24">
        <f t="shared" si="234"/>
        <v>1.2306184040141775E-4</v>
      </c>
      <c r="X714" s="25">
        <f t="shared" si="235"/>
        <v>7.7790812638935282E-5</v>
      </c>
      <c r="Y714" s="8">
        <f t="shared" si="247"/>
        <v>8.8563752660578577E-3</v>
      </c>
      <c r="Z714" s="27">
        <f t="shared" si="248"/>
        <v>5.3312648579034779E-3</v>
      </c>
      <c r="AA714" s="27"/>
      <c r="AB714" s="40">
        <v>7945</v>
      </c>
      <c r="AC714" s="56">
        <f t="shared" si="243"/>
        <v>2.754032647332514E-3</v>
      </c>
      <c r="AE714" s="20">
        <f t="shared" si="236"/>
        <v>73958.400000000009</v>
      </c>
      <c r="AF714" s="20">
        <f t="shared" si="237"/>
        <v>710247788.55000007</v>
      </c>
      <c r="AG714">
        <f t="shared" si="239"/>
        <v>8380386</v>
      </c>
      <c r="AH714">
        <f t="shared" si="240"/>
        <v>8380386</v>
      </c>
      <c r="AI714">
        <f t="shared" si="241"/>
        <v>8473865856.8400002</v>
      </c>
    </row>
    <row r="715" spans="2:35" x14ac:dyDescent="0.25">
      <c r="B715" s="4">
        <v>2024</v>
      </c>
      <c r="C715" s="4" t="s">
        <v>241</v>
      </c>
      <c r="D715" s="1" t="s">
        <v>242</v>
      </c>
      <c r="E715" s="4" t="str">
        <f t="shared" si="245"/>
        <v>Xcel-MN</v>
      </c>
      <c r="F715" s="4" t="s">
        <v>146</v>
      </c>
      <c r="G715" s="4"/>
      <c r="H715" s="11" t="s">
        <v>495</v>
      </c>
      <c r="I715" s="4"/>
      <c r="J715" s="4" t="s">
        <v>155</v>
      </c>
      <c r="K715" s="5">
        <f t="shared" si="244"/>
        <v>0</v>
      </c>
      <c r="L715" s="5">
        <f t="shared" si="242"/>
        <v>0</v>
      </c>
      <c r="M715" s="8">
        <v>107185</v>
      </c>
      <c r="N715" s="8">
        <v>0</v>
      </c>
      <c r="O715" s="8">
        <f>SUMIFS(EIAwtransport!$J$2:$J$675,EIAwtransport!$E$2:$E$675,Program_data!$E715,EIAwtransport!$H$2:$H$675,Program_data!$F715,EIAwtransport!$I$2:$I$675,Program_data!O$2)</f>
        <v>219489723</v>
      </c>
      <c r="P715" s="5">
        <f>SUMIFS(EIAwtransport!$J$2:$J$675,EIAwtransport!$E$2:$E$675,Program_data!$E715,EIAwtransport!$H$2:$H$675,Program_data!$F715,EIAwtransport!$I$2:$I$675,Program_data!P$2)</f>
        <v>45049322</v>
      </c>
      <c r="Q715" s="5">
        <f>SUMIFS(EIAwtransport!$J$2:$J$675,EIAwtransport!$E$2:$E$675,Program_data!$E715,EIAwtransport!$H$2:$H$675,Program_data!$F715,EIAwtransport!$I$2:$I$675,Program_data!Q$2)</f>
        <v>36107</v>
      </c>
      <c r="R715" s="8">
        <f>SUMIFS(EIAwtransport!$J$2:$J$675,EIAwtransport!$E$2:$E$675,Program_data!$E715,EIAwtransport!$I$2:$I$675,Program_data!R$2)</f>
        <v>526109473</v>
      </c>
      <c r="S715" s="5">
        <f>SUMIFS(EIAwtransport!$J$2:$J$675,EIAwtransport!$E$2:$E$675,Program_data!$E715,EIAwtransport!$I$2:$I$675,Program_data!S$2)</f>
        <v>80336233</v>
      </c>
      <c r="T715" s="5">
        <f>SUMIFS(EIAwtransport!$J$2:$J$675,EIAwtransport!$E$2:$E$675,Program_data!$E715,EIAwtransport!$I$2:$I$675,Program_data!T$2)</f>
        <v>474354</v>
      </c>
      <c r="U715" s="24">
        <f t="shared" si="233"/>
        <v>0</v>
      </c>
      <c r="V715" s="24">
        <f t="shared" si="238"/>
        <v>0</v>
      </c>
      <c r="W715" s="24">
        <f t="shared" si="234"/>
        <v>2.0373136295913076E-4</v>
      </c>
      <c r="X715" s="25">
        <f t="shared" si="235"/>
        <v>1.2878426190387183E-4</v>
      </c>
      <c r="Y715" s="8">
        <f t="shared" si="247"/>
        <v>1.4661908175157719E-2</v>
      </c>
      <c r="Z715" s="27">
        <f t="shared" si="248"/>
        <v>8.826016677906591E-3</v>
      </c>
      <c r="AA715" s="27"/>
      <c r="AB715" s="40"/>
      <c r="AC715" s="56">
        <f t="shared" si="243"/>
        <v>0</v>
      </c>
      <c r="AE715" s="20">
        <f t="shared" si="236"/>
        <v>0</v>
      </c>
      <c r="AF715" s="20">
        <f t="shared" si="237"/>
        <v>710247788.55000007</v>
      </c>
      <c r="AG715">
        <f t="shared" si="239"/>
        <v>0</v>
      </c>
      <c r="AH715">
        <f t="shared" si="240"/>
        <v>0</v>
      </c>
      <c r="AI715">
        <f t="shared" si="241"/>
        <v>8473865856.8400002</v>
      </c>
    </row>
    <row r="716" spans="2:35" x14ac:dyDescent="0.25">
      <c r="B716" s="4">
        <v>2024</v>
      </c>
      <c r="C716" s="4" t="s">
        <v>241</v>
      </c>
      <c r="D716" s="1" t="s">
        <v>242</v>
      </c>
      <c r="E716" s="4" t="str">
        <f t="shared" si="245"/>
        <v>Xcel-MN</v>
      </c>
      <c r="F716" s="4" t="s">
        <v>146</v>
      </c>
      <c r="G716" s="4"/>
      <c r="H716" s="11" t="s">
        <v>496</v>
      </c>
      <c r="I716" s="4"/>
      <c r="J716" s="4" t="s">
        <v>157</v>
      </c>
      <c r="K716" s="5">
        <f t="shared" si="244"/>
        <v>610</v>
      </c>
      <c r="L716" s="5">
        <f t="shared" si="242"/>
        <v>610</v>
      </c>
      <c r="M716" s="8">
        <v>53947</v>
      </c>
      <c r="N716" s="8">
        <v>0</v>
      </c>
      <c r="O716" s="8">
        <f>SUMIFS(EIAwtransport!$J$2:$J$675,EIAwtransport!$E$2:$E$675,Program_data!$E716,EIAwtransport!$H$2:$H$675,Program_data!$F716,EIAwtransport!$I$2:$I$675,Program_data!O$2)</f>
        <v>219489723</v>
      </c>
      <c r="P716" s="5">
        <f>SUMIFS(EIAwtransport!$J$2:$J$675,EIAwtransport!$E$2:$E$675,Program_data!$E716,EIAwtransport!$H$2:$H$675,Program_data!$F716,EIAwtransport!$I$2:$I$675,Program_data!P$2)</f>
        <v>45049322</v>
      </c>
      <c r="Q716" s="5">
        <f>SUMIFS(EIAwtransport!$J$2:$J$675,EIAwtransport!$E$2:$E$675,Program_data!$E716,EIAwtransport!$H$2:$H$675,Program_data!$F716,EIAwtransport!$I$2:$I$675,Program_data!Q$2)</f>
        <v>36107</v>
      </c>
      <c r="R716" s="8">
        <f>SUMIFS(EIAwtransport!$J$2:$J$675,EIAwtransport!$E$2:$E$675,Program_data!$E716,EIAwtransport!$I$2:$I$675,Program_data!R$2)</f>
        <v>526109473</v>
      </c>
      <c r="S716" s="5">
        <f>SUMIFS(EIAwtransport!$J$2:$J$675,EIAwtransport!$E$2:$E$675,Program_data!$E716,EIAwtransport!$I$2:$I$675,Program_data!S$2)</f>
        <v>80336233</v>
      </c>
      <c r="T716" s="5">
        <f>SUMIFS(EIAwtransport!$J$2:$J$675,EIAwtransport!$E$2:$E$675,Program_data!$E716,EIAwtransport!$I$2:$I$675,Program_data!T$2)</f>
        <v>474354</v>
      </c>
      <c r="U716" s="24">
        <f t="shared" si="233"/>
        <v>7.3292344788320955E-7</v>
      </c>
      <c r="V716" s="24">
        <f t="shared" si="238"/>
        <v>7.3292344788320955E-7</v>
      </c>
      <c r="W716" s="24">
        <f t="shared" si="234"/>
        <v>1.0253949561558265E-4</v>
      </c>
      <c r="X716" s="25">
        <f t="shared" si="235"/>
        <v>6.4818067611402481E-5</v>
      </c>
      <c r="Y716" s="8">
        <f t="shared" si="247"/>
        <v>7.3794463807924007E-3</v>
      </c>
      <c r="Z716" s="27">
        <f t="shared" si="248"/>
        <v>4.4421992043945221E-3</v>
      </c>
      <c r="AA716" s="27"/>
      <c r="AB716" s="40">
        <v>61</v>
      </c>
      <c r="AC716" s="56">
        <f t="shared" si="243"/>
        <v>2.1144869916586956E-5</v>
      </c>
      <c r="AE716" s="20">
        <f t="shared" si="236"/>
        <v>0</v>
      </c>
      <c r="AF716" s="20">
        <f t="shared" si="237"/>
        <v>710247788.55000007</v>
      </c>
      <c r="AG716">
        <f t="shared" si="239"/>
        <v>64342.8</v>
      </c>
      <c r="AH716">
        <f t="shared" si="240"/>
        <v>64342.8</v>
      </c>
      <c r="AI716">
        <f t="shared" si="241"/>
        <v>8473865856.8400002</v>
      </c>
    </row>
    <row r="717" spans="2:35" x14ac:dyDescent="0.25">
      <c r="B717" s="4">
        <v>2024</v>
      </c>
      <c r="C717" s="4" t="s">
        <v>241</v>
      </c>
      <c r="D717" s="1" t="s">
        <v>242</v>
      </c>
      <c r="E717" s="4" t="str">
        <f t="shared" si="245"/>
        <v>Xcel-MN</v>
      </c>
      <c r="F717" s="4" t="s">
        <v>146</v>
      </c>
      <c r="G717" s="4"/>
      <c r="H717" s="11" t="s">
        <v>497</v>
      </c>
      <c r="I717" s="4"/>
      <c r="J717" s="4" t="s">
        <v>21</v>
      </c>
      <c r="K717" s="5">
        <f t="shared" si="244"/>
        <v>55360</v>
      </c>
      <c r="L717" s="5">
        <f t="shared" si="242"/>
        <v>55360</v>
      </c>
      <c r="M717" s="8">
        <v>94749</v>
      </c>
      <c r="N717" s="8">
        <v>29527</v>
      </c>
      <c r="O717" s="8">
        <f>SUMIFS(EIAwtransport!$J$2:$J$675,EIAwtransport!$E$2:$E$675,Program_data!$E717,EIAwtransport!$H$2:$H$675,Program_data!$F717,EIAwtransport!$I$2:$I$675,Program_data!O$2)</f>
        <v>219489723</v>
      </c>
      <c r="P717" s="5">
        <f>SUMIFS(EIAwtransport!$J$2:$J$675,EIAwtransport!$E$2:$E$675,Program_data!$E717,EIAwtransport!$H$2:$H$675,Program_data!$F717,EIAwtransport!$I$2:$I$675,Program_data!P$2)</f>
        <v>45049322</v>
      </c>
      <c r="Q717" s="5">
        <f>SUMIFS(EIAwtransport!$J$2:$J$675,EIAwtransport!$E$2:$E$675,Program_data!$E717,EIAwtransport!$H$2:$H$675,Program_data!$F717,EIAwtransport!$I$2:$I$675,Program_data!Q$2)</f>
        <v>36107</v>
      </c>
      <c r="R717" s="8">
        <f>SUMIFS(EIAwtransport!$J$2:$J$675,EIAwtransport!$E$2:$E$675,Program_data!$E717,EIAwtransport!$I$2:$I$675,Program_data!R$2)</f>
        <v>526109473</v>
      </c>
      <c r="S717" s="5">
        <f>SUMIFS(EIAwtransport!$J$2:$J$675,EIAwtransport!$E$2:$E$675,Program_data!$E717,EIAwtransport!$I$2:$I$675,Program_data!S$2)</f>
        <v>80336233</v>
      </c>
      <c r="T717" s="5">
        <f>SUMIFS(EIAwtransport!$J$2:$J$675,EIAwtransport!$E$2:$E$675,Program_data!$E717,EIAwtransport!$I$2:$I$675,Program_data!T$2)</f>
        <v>474354</v>
      </c>
      <c r="U717" s="24">
        <f t="shared" si="233"/>
        <v>6.6515806680023733E-5</v>
      </c>
      <c r="V717" s="24">
        <f t="shared" si="238"/>
        <v>6.6515806680023733E-5</v>
      </c>
      <c r="W717" s="24">
        <f t="shared" si="234"/>
        <v>1.8009369696333143E-4</v>
      </c>
      <c r="X717" s="25">
        <f t="shared" si="235"/>
        <v>1.1384223567784627E-4</v>
      </c>
      <c r="Y717" s="8">
        <f t="shared" si="247"/>
        <v>1.2960779378532619E-2</v>
      </c>
      <c r="Z717" s="27">
        <f t="shared" si="248"/>
        <v>7.8019895901009616E-3</v>
      </c>
      <c r="AA717" s="27"/>
      <c r="AB717" s="40">
        <v>5536</v>
      </c>
      <c r="AC717" s="56">
        <f t="shared" si="243"/>
        <v>1.9189836042332029E-3</v>
      </c>
      <c r="AE717" s="20">
        <f t="shared" si="236"/>
        <v>39861.450000000004</v>
      </c>
      <c r="AF717" s="20">
        <f t="shared" si="237"/>
        <v>710247788.55000007</v>
      </c>
      <c r="AG717">
        <f t="shared" si="239"/>
        <v>5839372.7999999998</v>
      </c>
      <c r="AH717">
        <f t="shared" si="240"/>
        <v>5839372.7999999998</v>
      </c>
      <c r="AI717">
        <f t="shared" si="241"/>
        <v>8473865856.8400002</v>
      </c>
    </row>
    <row r="718" spans="2:35" x14ac:dyDescent="0.25">
      <c r="B718" s="4">
        <v>2024</v>
      </c>
      <c r="C718" s="4" t="s">
        <v>241</v>
      </c>
      <c r="D718" s="1" t="s">
        <v>242</v>
      </c>
      <c r="E718" s="4" t="str">
        <f t="shared" si="245"/>
        <v>Xcel-MN</v>
      </c>
      <c r="F718" s="4" t="s">
        <v>146</v>
      </c>
      <c r="G718" s="4"/>
      <c r="H718" s="11" t="s">
        <v>498</v>
      </c>
      <c r="I718" s="4"/>
      <c r="J718" s="4" t="s">
        <v>21</v>
      </c>
      <c r="K718" s="5">
        <f t="shared" si="244"/>
        <v>1332320</v>
      </c>
      <c r="L718" s="5">
        <f t="shared" si="242"/>
        <v>1332320</v>
      </c>
      <c r="M718" s="8">
        <v>1638749</v>
      </c>
      <c r="N718" s="8">
        <v>1115796</v>
      </c>
      <c r="O718" s="8">
        <f>SUMIFS(EIAwtransport!$J$2:$J$675,EIAwtransport!$E$2:$E$675,Program_data!$E718,EIAwtransport!$H$2:$H$675,Program_data!$F718,EIAwtransport!$I$2:$I$675,Program_data!O$2)</f>
        <v>219489723</v>
      </c>
      <c r="P718" s="5">
        <f>SUMIFS(EIAwtransport!$J$2:$J$675,EIAwtransport!$E$2:$E$675,Program_data!$E718,EIAwtransport!$H$2:$H$675,Program_data!$F718,EIAwtransport!$I$2:$I$675,Program_data!P$2)</f>
        <v>45049322</v>
      </c>
      <c r="Q718" s="5">
        <f>SUMIFS(EIAwtransport!$J$2:$J$675,EIAwtransport!$E$2:$E$675,Program_data!$E718,EIAwtransport!$H$2:$H$675,Program_data!$F718,EIAwtransport!$I$2:$I$675,Program_data!Q$2)</f>
        <v>36107</v>
      </c>
      <c r="R718" s="8">
        <f>SUMIFS(EIAwtransport!$J$2:$J$675,EIAwtransport!$E$2:$E$675,Program_data!$E718,EIAwtransport!$I$2:$I$675,Program_data!R$2)</f>
        <v>526109473</v>
      </c>
      <c r="S718" s="5">
        <f>SUMIFS(EIAwtransport!$J$2:$J$675,EIAwtransport!$E$2:$E$675,Program_data!$E718,EIAwtransport!$I$2:$I$675,Program_data!S$2)</f>
        <v>80336233</v>
      </c>
      <c r="T718" s="5">
        <f>SUMIFS(EIAwtransport!$J$2:$J$675,EIAwtransport!$E$2:$E$675,Program_data!$E718,EIAwtransport!$I$2:$I$675,Program_data!T$2)</f>
        <v>474354</v>
      </c>
      <c r="U718" s="24">
        <f t="shared" si="233"/>
        <v>1.6008009312848488E-3</v>
      </c>
      <c r="V718" s="24">
        <f t="shared" si="238"/>
        <v>1.6008009312848488E-3</v>
      </c>
      <c r="W718" s="24">
        <f t="shared" si="234"/>
        <v>3.1148441229454922E-3</v>
      </c>
      <c r="X718" s="25">
        <f t="shared" si="235"/>
        <v>1.9689796185166589E-3</v>
      </c>
      <c r="Y718" s="8">
        <f t="shared" si="247"/>
        <v>0.22416557690097996</v>
      </c>
      <c r="Z718" s="27">
        <f t="shared" si="248"/>
        <v>0.13494076601112795</v>
      </c>
      <c r="AA718" s="27"/>
      <c r="AB718" s="40">
        <v>133232</v>
      </c>
      <c r="AC718" s="56">
        <f t="shared" si="243"/>
        <v>4.6183168995519885E-2</v>
      </c>
      <c r="AE718" s="20">
        <f t="shared" si="236"/>
        <v>1506324.6</v>
      </c>
      <c r="AF718" s="20">
        <f t="shared" si="237"/>
        <v>710247788.55000007</v>
      </c>
      <c r="AG718">
        <f t="shared" si="239"/>
        <v>140533113.59999999</v>
      </c>
      <c r="AH718">
        <f t="shared" si="240"/>
        <v>140533113.59999999</v>
      </c>
      <c r="AI718">
        <f t="shared" si="241"/>
        <v>8473865856.8400002</v>
      </c>
    </row>
    <row r="719" spans="2:35" x14ac:dyDescent="0.25">
      <c r="B719" s="4">
        <v>2024</v>
      </c>
      <c r="C719" s="4" t="s">
        <v>241</v>
      </c>
      <c r="D719" s="1" t="s">
        <v>242</v>
      </c>
      <c r="E719" s="4" t="str">
        <f t="shared" si="245"/>
        <v>Xcel-MN</v>
      </c>
      <c r="F719" s="4" t="s">
        <v>146</v>
      </c>
      <c r="G719" s="4"/>
      <c r="H719" s="11" t="s">
        <v>499</v>
      </c>
      <c r="I719" s="4"/>
      <c r="J719" s="4" t="s">
        <v>68</v>
      </c>
      <c r="K719" s="5">
        <f t="shared" si="244"/>
        <v>53410</v>
      </c>
      <c r="L719" s="5">
        <f t="shared" si="242"/>
        <v>53410</v>
      </c>
      <c r="M719" s="8">
        <v>30917</v>
      </c>
      <c r="N719" s="8">
        <v>20856</v>
      </c>
      <c r="O719" s="8">
        <f>SUMIFS(EIAwtransport!$J$2:$J$675,EIAwtransport!$E$2:$E$675,Program_data!$E719,EIAwtransport!$H$2:$H$675,Program_data!$F719,EIAwtransport!$I$2:$I$675,Program_data!O$2)</f>
        <v>219489723</v>
      </c>
      <c r="P719" s="5">
        <f>SUMIFS(EIAwtransport!$J$2:$J$675,EIAwtransport!$E$2:$E$675,Program_data!$E719,EIAwtransport!$H$2:$H$675,Program_data!$F719,EIAwtransport!$I$2:$I$675,Program_data!P$2)</f>
        <v>45049322</v>
      </c>
      <c r="Q719" s="5">
        <f>SUMIFS(EIAwtransport!$J$2:$J$675,EIAwtransport!$E$2:$E$675,Program_data!$E719,EIAwtransport!$H$2:$H$675,Program_data!$F719,EIAwtransport!$I$2:$I$675,Program_data!Q$2)</f>
        <v>36107</v>
      </c>
      <c r="R719" s="8">
        <f>SUMIFS(EIAwtransport!$J$2:$J$675,EIAwtransport!$E$2:$E$675,Program_data!$E719,EIAwtransport!$I$2:$I$675,Program_data!R$2)</f>
        <v>526109473</v>
      </c>
      <c r="S719" s="5">
        <f>SUMIFS(EIAwtransport!$J$2:$J$675,EIAwtransport!$E$2:$E$675,Program_data!$E719,EIAwtransport!$I$2:$I$675,Program_data!S$2)</f>
        <v>80336233</v>
      </c>
      <c r="T719" s="5">
        <f>SUMIFS(EIAwtransport!$J$2:$J$675,EIAwtransport!$E$2:$E$675,Program_data!$E719,EIAwtransport!$I$2:$I$675,Program_data!T$2)</f>
        <v>474354</v>
      </c>
      <c r="U719" s="24">
        <f t="shared" si="233"/>
        <v>6.4172854674495451E-5</v>
      </c>
      <c r="V719" s="24">
        <f t="shared" si="238"/>
        <v>6.4172854674495451E-5</v>
      </c>
      <c r="W719" s="24">
        <f t="shared" si="234"/>
        <v>5.8765336088141486E-5</v>
      </c>
      <c r="X719" s="25">
        <f t="shared" si="235"/>
        <v>3.7147203669188836E-5</v>
      </c>
      <c r="Y719" s="8">
        <f t="shared" si="247"/>
        <v>4.2291572053118551E-3</v>
      </c>
      <c r="Z719" s="27">
        <f t="shared" si="248"/>
        <v>2.5458222478036857E-3</v>
      </c>
      <c r="AA719" s="27"/>
      <c r="AB719" s="40">
        <v>5341</v>
      </c>
      <c r="AC719" s="56">
        <f t="shared" si="243"/>
        <v>1.8513893479424743E-3</v>
      </c>
      <c r="AE719" s="20">
        <f t="shared" si="236"/>
        <v>28155.600000000002</v>
      </c>
      <c r="AF719" s="20">
        <f t="shared" si="237"/>
        <v>710247788.55000007</v>
      </c>
      <c r="AG719">
        <f t="shared" si="239"/>
        <v>5633686.7999999998</v>
      </c>
      <c r="AH719">
        <f t="shared" si="240"/>
        <v>5633686.7999999998</v>
      </c>
      <c r="AI719">
        <f t="shared" si="241"/>
        <v>8473865856.8400002</v>
      </c>
    </row>
    <row r="720" spans="2:35" x14ac:dyDescent="0.25">
      <c r="B720" s="4">
        <v>2024</v>
      </c>
      <c r="C720" s="4" t="s">
        <v>241</v>
      </c>
      <c r="D720" s="1" t="s">
        <v>242</v>
      </c>
      <c r="E720" s="4" t="str">
        <f t="shared" si="245"/>
        <v>Xcel-MN</v>
      </c>
      <c r="F720" s="4" t="s">
        <v>146</v>
      </c>
      <c r="G720" s="4"/>
      <c r="H720" s="11" t="s">
        <v>500</v>
      </c>
      <c r="I720" s="4"/>
      <c r="J720" s="4" t="s">
        <v>21</v>
      </c>
      <c r="K720" s="5">
        <f t="shared" si="244"/>
        <v>320520</v>
      </c>
      <c r="L720" s="5">
        <f t="shared" si="242"/>
        <v>320520</v>
      </c>
      <c r="M720" s="8">
        <v>852011</v>
      </c>
      <c r="N720" s="8">
        <v>64845</v>
      </c>
      <c r="O720" s="8">
        <f>SUMIFS(EIAwtransport!$J$2:$J$675,EIAwtransport!$E$2:$E$675,Program_data!$E720,EIAwtransport!$H$2:$H$675,Program_data!$F720,EIAwtransport!$I$2:$I$675,Program_data!O$2)</f>
        <v>219489723</v>
      </c>
      <c r="P720" s="5">
        <f>SUMIFS(EIAwtransport!$J$2:$J$675,EIAwtransport!$E$2:$E$675,Program_data!$E720,EIAwtransport!$H$2:$H$675,Program_data!$F720,EIAwtransport!$I$2:$I$675,Program_data!P$2)</f>
        <v>45049322</v>
      </c>
      <c r="Q720" s="5">
        <f>SUMIFS(EIAwtransport!$J$2:$J$675,EIAwtransport!$E$2:$E$675,Program_data!$E720,EIAwtransport!$H$2:$H$675,Program_data!$F720,EIAwtransport!$I$2:$I$675,Program_data!Q$2)</f>
        <v>36107</v>
      </c>
      <c r="R720" s="8">
        <f>SUMIFS(EIAwtransport!$J$2:$J$675,EIAwtransport!$E$2:$E$675,Program_data!$E720,EIAwtransport!$I$2:$I$675,Program_data!R$2)</f>
        <v>526109473</v>
      </c>
      <c r="S720" s="5">
        <f>SUMIFS(EIAwtransport!$J$2:$J$675,EIAwtransport!$E$2:$E$675,Program_data!$E720,EIAwtransport!$I$2:$I$675,Program_data!S$2)</f>
        <v>80336233</v>
      </c>
      <c r="T720" s="5">
        <f>SUMIFS(EIAwtransport!$J$2:$J$675,EIAwtransport!$E$2:$E$675,Program_data!$E720,EIAwtransport!$I$2:$I$675,Program_data!T$2)</f>
        <v>474354</v>
      </c>
      <c r="U720" s="24">
        <f t="shared" si="233"/>
        <v>3.8510921887791201E-4</v>
      </c>
      <c r="V720" s="24">
        <f t="shared" si="238"/>
        <v>3.8510921887791201E-4</v>
      </c>
      <c r="W720" s="24">
        <f t="shared" si="234"/>
        <v>1.6194557287509629E-3</v>
      </c>
      <c r="X720" s="25">
        <f t="shared" si="235"/>
        <v>1.0237030159908544E-3</v>
      </c>
      <c r="Y720" s="8">
        <f t="shared" si="247"/>
        <v>0.11654715721625511</v>
      </c>
      <c r="Z720" s="27">
        <f t="shared" si="248"/>
        <v>7.0157795360916847E-2</v>
      </c>
      <c r="AA720" s="27"/>
      <c r="AB720" s="40">
        <v>32052</v>
      </c>
      <c r="AC720" s="56">
        <f t="shared" si="243"/>
        <v>1.1110415910925328E-2</v>
      </c>
      <c r="AE720" s="20">
        <f t="shared" si="236"/>
        <v>87540.75</v>
      </c>
      <c r="AF720" s="20">
        <f t="shared" si="237"/>
        <v>710247788.55000007</v>
      </c>
      <c r="AG720">
        <f t="shared" si="239"/>
        <v>33808449.600000001</v>
      </c>
      <c r="AH720">
        <f t="shared" si="240"/>
        <v>33808449.600000001</v>
      </c>
      <c r="AI720">
        <f t="shared" si="241"/>
        <v>8473865856.8400002</v>
      </c>
    </row>
    <row r="721" spans="2:35" x14ac:dyDescent="0.25">
      <c r="B721" s="4">
        <v>2024</v>
      </c>
      <c r="C721" s="4" t="s">
        <v>241</v>
      </c>
      <c r="D721" s="1" t="s">
        <v>242</v>
      </c>
      <c r="E721" s="4" t="str">
        <f t="shared" si="245"/>
        <v>Xcel-MN</v>
      </c>
      <c r="F721" s="4" t="s">
        <v>146</v>
      </c>
      <c r="G721" s="4"/>
      <c r="H721" s="11" t="s">
        <v>501</v>
      </c>
      <c r="I721" s="4"/>
      <c r="J721" s="4" t="s">
        <v>21</v>
      </c>
      <c r="K721" s="5">
        <f t="shared" si="244"/>
        <v>2833280</v>
      </c>
      <c r="L721" s="5">
        <f t="shared" si="242"/>
        <v>2833280</v>
      </c>
      <c r="M721" s="8">
        <v>922649</v>
      </c>
      <c r="N721" s="8">
        <v>717944</v>
      </c>
      <c r="O721" s="8">
        <f>SUMIFS(EIAwtransport!$J$2:$J$675,EIAwtransport!$E$2:$E$675,Program_data!$E721,EIAwtransport!$H$2:$H$675,Program_data!$F721,EIAwtransport!$I$2:$I$675,Program_data!O$2)</f>
        <v>219489723</v>
      </c>
      <c r="P721" s="5">
        <f>SUMIFS(EIAwtransport!$J$2:$J$675,EIAwtransport!$E$2:$E$675,Program_data!$E721,EIAwtransport!$H$2:$H$675,Program_data!$F721,EIAwtransport!$I$2:$I$675,Program_data!P$2)</f>
        <v>45049322</v>
      </c>
      <c r="Q721" s="5">
        <f>SUMIFS(EIAwtransport!$J$2:$J$675,EIAwtransport!$E$2:$E$675,Program_data!$E721,EIAwtransport!$H$2:$H$675,Program_data!$F721,EIAwtransport!$I$2:$I$675,Program_data!Q$2)</f>
        <v>36107</v>
      </c>
      <c r="R721" s="8">
        <f>SUMIFS(EIAwtransport!$J$2:$J$675,EIAwtransport!$E$2:$E$675,Program_data!$E721,EIAwtransport!$I$2:$I$675,Program_data!R$2)</f>
        <v>526109473</v>
      </c>
      <c r="S721" s="5">
        <f>SUMIFS(EIAwtransport!$J$2:$J$675,EIAwtransport!$E$2:$E$675,Program_data!$E721,EIAwtransport!$I$2:$I$675,Program_data!S$2)</f>
        <v>80336233</v>
      </c>
      <c r="T721" s="5">
        <f>SUMIFS(EIAwtransport!$J$2:$J$675,EIAwtransport!$E$2:$E$675,Program_data!$E721,EIAwtransport!$I$2:$I$675,Program_data!T$2)</f>
        <v>474354</v>
      </c>
      <c r="U721" s="24">
        <f t="shared" si="233"/>
        <v>3.4042251580631805E-3</v>
      </c>
      <c r="V721" s="24">
        <f t="shared" si="238"/>
        <v>3.4042251580631805E-3</v>
      </c>
      <c r="W721" s="24">
        <f t="shared" si="234"/>
        <v>1.7537205607396466E-3</v>
      </c>
      <c r="X721" s="25">
        <f t="shared" si="235"/>
        <v>1.1085755512557302E-3</v>
      </c>
      <c r="Y721" s="8">
        <f t="shared" si="247"/>
        <v>0.12620977670290706</v>
      </c>
      <c r="Z721" s="27">
        <f t="shared" si="248"/>
        <v>7.5974394382178831E-2</v>
      </c>
      <c r="AA721" s="27"/>
      <c r="AB721" s="40">
        <v>283328</v>
      </c>
      <c r="AC721" s="56">
        <f t="shared" si="243"/>
        <v>9.8212027929946696E-2</v>
      </c>
      <c r="AE721" s="20">
        <f t="shared" si="236"/>
        <v>969224.4</v>
      </c>
      <c r="AF721" s="20">
        <f t="shared" si="237"/>
        <v>710247788.55000007</v>
      </c>
      <c r="AG721">
        <f t="shared" si="239"/>
        <v>298854374.40000004</v>
      </c>
      <c r="AH721">
        <f t="shared" si="240"/>
        <v>298854374.40000004</v>
      </c>
      <c r="AI721">
        <f t="shared" si="241"/>
        <v>8473865856.8400002</v>
      </c>
    </row>
    <row r="722" spans="2:35" x14ac:dyDescent="0.25">
      <c r="B722" s="4">
        <v>2024</v>
      </c>
      <c r="C722" s="4" t="s">
        <v>241</v>
      </c>
      <c r="D722" s="1" t="s">
        <v>242</v>
      </c>
      <c r="E722" s="4" t="str">
        <f t="shared" si="245"/>
        <v>Xcel-MN</v>
      </c>
      <c r="F722" s="4" t="s">
        <v>146</v>
      </c>
      <c r="G722" s="4"/>
      <c r="H722" s="11" t="s">
        <v>502</v>
      </c>
      <c r="I722" s="4"/>
      <c r="J722" s="4" t="s">
        <v>68</v>
      </c>
      <c r="K722" s="5">
        <f t="shared" si="244"/>
        <v>1654700</v>
      </c>
      <c r="L722" s="5">
        <f t="shared" si="242"/>
        <v>1654700</v>
      </c>
      <c r="M722" s="8">
        <v>1415421</v>
      </c>
      <c r="N722" s="8">
        <v>786181</v>
      </c>
      <c r="O722" s="8">
        <f>SUMIFS(EIAwtransport!$J$2:$J$675,EIAwtransport!$E$2:$E$675,Program_data!$E722,EIAwtransport!$H$2:$H$675,Program_data!$F722,EIAwtransport!$I$2:$I$675,Program_data!O$2)</f>
        <v>219489723</v>
      </c>
      <c r="P722" s="5">
        <f>SUMIFS(EIAwtransport!$J$2:$J$675,EIAwtransport!$E$2:$E$675,Program_data!$E722,EIAwtransport!$H$2:$H$675,Program_data!$F722,EIAwtransport!$I$2:$I$675,Program_data!P$2)</f>
        <v>45049322</v>
      </c>
      <c r="Q722" s="5">
        <f>SUMIFS(EIAwtransport!$J$2:$J$675,EIAwtransport!$E$2:$E$675,Program_data!$E722,EIAwtransport!$H$2:$H$675,Program_data!$F722,EIAwtransport!$I$2:$I$675,Program_data!Q$2)</f>
        <v>36107</v>
      </c>
      <c r="R722" s="8">
        <f>SUMIFS(EIAwtransport!$J$2:$J$675,EIAwtransport!$E$2:$E$675,Program_data!$E722,EIAwtransport!$I$2:$I$675,Program_data!R$2)</f>
        <v>526109473</v>
      </c>
      <c r="S722" s="5">
        <f>SUMIFS(EIAwtransport!$J$2:$J$675,EIAwtransport!$E$2:$E$675,Program_data!$E722,EIAwtransport!$I$2:$I$675,Program_data!S$2)</f>
        <v>80336233</v>
      </c>
      <c r="T722" s="5">
        <f>SUMIFS(EIAwtransport!$J$2:$J$675,EIAwtransport!$E$2:$E$675,Program_data!$E722,EIAwtransport!$I$2:$I$675,Program_data!T$2)</f>
        <v>474354</v>
      </c>
      <c r="U722" s="24">
        <f t="shared" si="233"/>
        <v>1.9881449659218801E-3</v>
      </c>
      <c r="V722" s="24">
        <f t="shared" si="238"/>
        <v>1.9881449659218801E-3</v>
      </c>
      <c r="W722" s="24">
        <f t="shared" si="234"/>
        <v>2.6903545224702691E-3</v>
      </c>
      <c r="X722" s="25">
        <f t="shared" si="235"/>
        <v>1.7006479336496728E-3</v>
      </c>
      <c r="Y722" s="8">
        <f t="shared" si="247"/>
        <v>0.19361638971115283</v>
      </c>
      <c r="Z722" s="27">
        <f t="shared" si="248"/>
        <v>0.11655109718952489</v>
      </c>
      <c r="AA722" s="27"/>
      <c r="AB722" s="40">
        <v>165470</v>
      </c>
      <c r="AC722" s="56">
        <f t="shared" si="243"/>
        <v>5.7358059427830219E-2</v>
      </c>
      <c r="AE722" s="20">
        <f t="shared" si="236"/>
        <v>1061344.3500000001</v>
      </c>
      <c r="AF722" s="20">
        <f t="shared" si="237"/>
        <v>710247788.55000007</v>
      </c>
      <c r="AG722">
        <f t="shared" si="239"/>
        <v>174537756</v>
      </c>
      <c r="AH722">
        <f t="shared" si="240"/>
        <v>174537756</v>
      </c>
      <c r="AI722">
        <f t="shared" si="241"/>
        <v>8473865856.8400002</v>
      </c>
    </row>
    <row r="723" spans="2:35" x14ac:dyDescent="0.25">
      <c r="B723" s="4">
        <v>2024</v>
      </c>
      <c r="C723" s="4" t="s">
        <v>241</v>
      </c>
      <c r="D723" s="1" t="s">
        <v>242</v>
      </c>
      <c r="E723" s="4" t="str">
        <f t="shared" si="245"/>
        <v>Xcel-MN</v>
      </c>
      <c r="F723" s="4" t="s">
        <v>143</v>
      </c>
      <c r="G723" s="4">
        <v>1</v>
      </c>
      <c r="H723" s="11" t="s">
        <v>503</v>
      </c>
      <c r="I723" s="4"/>
      <c r="J723" s="4" t="s">
        <v>32</v>
      </c>
      <c r="K723" s="5">
        <f t="shared" si="244"/>
        <v>4600</v>
      </c>
      <c r="L723" s="5">
        <f t="shared" si="242"/>
        <v>4600</v>
      </c>
      <c r="M723" s="8">
        <v>198213</v>
      </c>
      <c r="N723" s="8">
        <v>186869</v>
      </c>
      <c r="O723" s="8">
        <f>SUMIFS(EIAwtransport!$J$2:$J$675,EIAwtransport!$E$2:$E$675,Program_data!$E723,EIAwtransport!$H$2:$H$675,Program_data!$F723,EIAwtransport!$I$2:$I$675,Program_data!O$2)</f>
        <v>0</v>
      </c>
      <c r="P723" s="5">
        <f>SUMIFS(EIAwtransport!$J$2:$J$675,EIAwtransport!$E$2:$E$675,Program_data!$E723,EIAwtransport!$H$2:$H$675,Program_data!$F723,EIAwtransport!$I$2:$I$675,Program_data!P$2)</f>
        <v>0</v>
      </c>
      <c r="Q723" s="5">
        <f>SUMIFS(EIAwtransport!$J$2:$J$675,EIAwtransport!$E$2:$E$675,Program_data!$E723,EIAwtransport!$H$2:$H$675,Program_data!$F723,EIAwtransport!$I$2:$I$675,Program_data!Q$2)</f>
        <v>0</v>
      </c>
      <c r="R723" s="8">
        <f>SUMIFS(EIAwtransport!$J$2:$J$675,EIAwtransport!$E$2:$E$675,Program_data!$E723,EIAwtransport!$I$2:$I$675,Program_data!R$2)</f>
        <v>526109473</v>
      </c>
      <c r="S723" s="5">
        <f>SUMIFS(EIAwtransport!$J$2:$J$675,EIAwtransport!$E$2:$E$675,Program_data!$E723,EIAwtransport!$I$2:$I$675,Program_data!S$2)</f>
        <v>80336233</v>
      </c>
      <c r="T723" s="5">
        <f>SUMIFS(EIAwtransport!$J$2:$J$675,EIAwtransport!$E$2:$E$675,Program_data!$E723,EIAwtransport!$I$2:$I$675,Program_data!T$2)</f>
        <v>474354</v>
      </c>
      <c r="U723" s="24">
        <f t="shared" ref="U723:U754" si="249">IFERROR(K723/10.36/S723,"")</f>
        <v>5.5269637053487935E-6</v>
      </c>
      <c r="V723" s="24">
        <f t="shared" si="238"/>
        <v>5.5269637053487935E-6</v>
      </c>
      <c r="W723" s="24">
        <f t="shared" ref="W723:W754" si="250">IFERROR(M723/R723,"")</f>
        <v>3.7675238742564896E-4</v>
      </c>
      <c r="X723" s="25">
        <f t="shared" ref="X723:X754" si="251">IFERROR(M723/S723/10.36,"")</f>
        <v>2.3815566454963051E-4</v>
      </c>
      <c r="Y723" s="8">
        <f t="shared" si="247"/>
        <v>0.67827738425213013</v>
      </c>
      <c r="Z723" s="27">
        <f t="shared" si="248"/>
        <v>1.6321605110583563E-2</v>
      </c>
      <c r="AA723" s="27"/>
      <c r="AB723" s="40">
        <v>460</v>
      </c>
      <c r="AC723" s="56">
        <f t="shared" si="243"/>
        <v>1.5945311740377048E-4</v>
      </c>
      <c r="AE723" s="20">
        <f t="shared" si="236"/>
        <v>252273.15000000002</v>
      </c>
      <c r="AF723" s="20">
        <f t="shared" si="237"/>
        <v>710247788.55000007</v>
      </c>
      <c r="AG723">
        <f t="shared" si="239"/>
        <v>485208</v>
      </c>
      <c r="AH723">
        <f t="shared" si="240"/>
        <v>485208</v>
      </c>
      <c r="AI723">
        <f t="shared" si="241"/>
        <v>8473865856.8400002</v>
      </c>
    </row>
    <row r="724" spans="2:35" x14ac:dyDescent="0.25">
      <c r="B724" s="4">
        <v>2024</v>
      </c>
      <c r="C724" s="4" t="s">
        <v>241</v>
      </c>
      <c r="D724" s="1" t="s">
        <v>242</v>
      </c>
      <c r="E724" s="4" t="str">
        <f t="shared" si="245"/>
        <v>Xcel-MN</v>
      </c>
      <c r="F724" s="4" t="s">
        <v>143</v>
      </c>
      <c r="G724" s="4">
        <v>1</v>
      </c>
      <c r="H724" s="11" t="s">
        <v>504</v>
      </c>
      <c r="I724" s="4"/>
      <c r="J724" s="4" t="s">
        <v>21</v>
      </c>
      <c r="K724" s="5">
        <f t="shared" si="244"/>
        <v>89630</v>
      </c>
      <c r="L724" s="5">
        <f t="shared" si="242"/>
        <v>89630</v>
      </c>
      <c r="M724" s="8">
        <v>2909990</v>
      </c>
      <c r="N724" s="8">
        <v>2331972</v>
      </c>
      <c r="O724" s="8">
        <f>SUMIFS(EIAwtransport!$J$2:$J$675,EIAwtransport!$E$2:$E$675,Program_data!$E724,EIAwtransport!$H$2:$H$675,Program_data!$F724,EIAwtransport!$I$2:$I$675,Program_data!O$2)</f>
        <v>0</v>
      </c>
      <c r="P724" s="5">
        <f>SUMIFS(EIAwtransport!$J$2:$J$675,EIAwtransport!$E$2:$E$675,Program_data!$E724,EIAwtransport!$H$2:$H$675,Program_data!$F724,EIAwtransport!$I$2:$I$675,Program_data!P$2)</f>
        <v>0</v>
      </c>
      <c r="Q724" s="5">
        <f>SUMIFS(EIAwtransport!$J$2:$J$675,EIAwtransport!$E$2:$E$675,Program_data!$E724,EIAwtransport!$H$2:$H$675,Program_data!$F724,EIAwtransport!$I$2:$I$675,Program_data!Q$2)</f>
        <v>0</v>
      </c>
      <c r="R724" s="8">
        <f>SUMIFS(EIAwtransport!$J$2:$J$675,EIAwtransport!$E$2:$E$675,Program_data!$E724,EIAwtransport!$I$2:$I$675,Program_data!R$2)</f>
        <v>526109473</v>
      </c>
      <c r="S724" s="5">
        <f>SUMIFS(EIAwtransport!$J$2:$J$675,EIAwtransport!$E$2:$E$675,Program_data!$E724,EIAwtransport!$I$2:$I$675,Program_data!S$2)</f>
        <v>80336233</v>
      </c>
      <c r="T724" s="5">
        <f>SUMIFS(EIAwtransport!$J$2:$J$675,EIAwtransport!$E$2:$E$675,Program_data!$E724,EIAwtransport!$I$2:$I$675,Program_data!T$2)</f>
        <v>474354</v>
      </c>
      <c r="U724" s="24">
        <f t="shared" si="249"/>
        <v>1.0769168628487227E-4</v>
      </c>
      <c r="V724" s="24">
        <f t="shared" si="238"/>
        <v>1.0769168628487227E-4</v>
      </c>
      <c r="W724" s="24">
        <f t="shared" si="250"/>
        <v>5.5311492176838258E-3</v>
      </c>
      <c r="X724" s="25">
        <f t="shared" si="251"/>
        <v>3.4963932854191167E-3</v>
      </c>
      <c r="Y724" s="8">
        <f t="shared" si="247"/>
        <v>9.9578756458953563</v>
      </c>
      <c r="Z724" s="27">
        <f t="shared" si="248"/>
        <v>0.23961953885843543</v>
      </c>
      <c r="AA724" s="27"/>
      <c r="AB724" s="40">
        <v>8963</v>
      </c>
      <c r="AC724" s="56">
        <f t="shared" si="243"/>
        <v>3.1069093288912928E-3</v>
      </c>
      <c r="AE724" s="20">
        <f t="shared" si="236"/>
        <v>3148162.2</v>
      </c>
      <c r="AF724" s="20">
        <f t="shared" si="237"/>
        <v>710247788.55000007</v>
      </c>
      <c r="AG724">
        <f t="shared" si="239"/>
        <v>9454172.4000000004</v>
      </c>
      <c r="AH724">
        <f t="shared" si="240"/>
        <v>9454172.4000000004</v>
      </c>
      <c r="AI724">
        <f t="shared" si="241"/>
        <v>8473865856.8400002</v>
      </c>
    </row>
    <row r="725" spans="2:35" x14ac:dyDescent="0.25">
      <c r="B725" s="4">
        <v>2024</v>
      </c>
      <c r="C725" s="4" t="s">
        <v>241</v>
      </c>
      <c r="D725" s="1" t="s">
        <v>242</v>
      </c>
      <c r="E725" s="4" t="str">
        <f t="shared" si="245"/>
        <v>Xcel-MN</v>
      </c>
      <c r="F725" s="4" t="s">
        <v>143</v>
      </c>
      <c r="G725" s="4">
        <v>1</v>
      </c>
      <c r="H725" s="11" t="s">
        <v>505</v>
      </c>
      <c r="I725" s="4"/>
      <c r="J725" s="4" t="s">
        <v>21</v>
      </c>
      <c r="K725" s="5">
        <f t="shared" si="244"/>
        <v>67020</v>
      </c>
      <c r="L725" s="5">
        <f t="shared" si="242"/>
        <v>67020</v>
      </c>
      <c r="M725" s="8">
        <v>363983</v>
      </c>
      <c r="N725" s="8">
        <v>39053</v>
      </c>
      <c r="O725" s="8">
        <f>SUMIFS(EIAwtransport!$J$2:$J$675,EIAwtransport!$E$2:$E$675,Program_data!$E725,EIAwtransport!$H$2:$H$675,Program_data!$F725,EIAwtransport!$I$2:$I$675,Program_data!O$2)</f>
        <v>0</v>
      </c>
      <c r="P725" s="5">
        <f>SUMIFS(EIAwtransport!$J$2:$J$675,EIAwtransport!$E$2:$E$675,Program_data!$E725,EIAwtransport!$H$2:$H$675,Program_data!$F725,EIAwtransport!$I$2:$I$675,Program_data!P$2)</f>
        <v>0</v>
      </c>
      <c r="Q725" s="5">
        <f>SUMIFS(EIAwtransport!$J$2:$J$675,EIAwtransport!$E$2:$E$675,Program_data!$E725,EIAwtransport!$H$2:$H$675,Program_data!$F725,EIAwtransport!$I$2:$I$675,Program_data!Q$2)</f>
        <v>0</v>
      </c>
      <c r="R725" s="8">
        <f>SUMIFS(EIAwtransport!$J$2:$J$675,EIAwtransport!$E$2:$E$675,Program_data!$E725,EIAwtransport!$I$2:$I$675,Program_data!R$2)</f>
        <v>526109473</v>
      </c>
      <c r="S725" s="5">
        <f>SUMIFS(EIAwtransport!$J$2:$J$675,EIAwtransport!$E$2:$E$675,Program_data!$E725,EIAwtransport!$I$2:$I$675,Program_data!S$2)</f>
        <v>80336233</v>
      </c>
      <c r="T725" s="5">
        <f>SUMIFS(EIAwtransport!$J$2:$J$675,EIAwtransport!$E$2:$E$675,Program_data!$E725,EIAwtransport!$I$2:$I$675,Program_data!T$2)</f>
        <v>474354</v>
      </c>
      <c r="U725" s="24">
        <f t="shared" si="249"/>
        <v>8.0525458159233946E-5</v>
      </c>
      <c r="V725" s="24">
        <f t="shared" si="238"/>
        <v>8.0525458159233946E-5</v>
      </c>
      <c r="W725" s="24">
        <f t="shared" si="250"/>
        <v>6.9183890174887616E-4</v>
      </c>
      <c r="X725" s="25">
        <f t="shared" si="251"/>
        <v>4.3733061529651517E-4</v>
      </c>
      <c r="Y725" s="8">
        <f t="shared" si="247"/>
        <v>1.2455360503712829</v>
      </c>
      <c r="Z725" s="27">
        <f t="shared" si="248"/>
        <v>2.9971731384750427E-2</v>
      </c>
      <c r="AA725" s="27"/>
      <c r="AB725" s="40">
        <v>6702</v>
      </c>
      <c r="AC725" s="56">
        <f t="shared" si="243"/>
        <v>2.3231625931305865E-3</v>
      </c>
      <c r="AE725" s="20">
        <f t="shared" si="236"/>
        <v>52721.55</v>
      </c>
      <c r="AF725" s="20">
        <f t="shared" si="237"/>
        <v>710247788.55000007</v>
      </c>
      <c r="AG725">
        <f t="shared" si="239"/>
        <v>7069269.6000000006</v>
      </c>
      <c r="AH725">
        <f t="shared" si="240"/>
        <v>7069269.6000000006</v>
      </c>
      <c r="AI725">
        <f t="shared" si="241"/>
        <v>8473865856.8400002</v>
      </c>
    </row>
    <row r="726" spans="2:35" x14ac:dyDescent="0.25">
      <c r="B726" s="4">
        <v>2024</v>
      </c>
      <c r="C726" s="4" t="s">
        <v>241</v>
      </c>
      <c r="D726" s="1" t="s">
        <v>242</v>
      </c>
      <c r="E726" s="4" t="str">
        <f t="shared" si="245"/>
        <v>Xcel-MN</v>
      </c>
      <c r="F726" s="4" t="s">
        <v>143</v>
      </c>
      <c r="G726" s="4">
        <v>1</v>
      </c>
      <c r="H726" s="11" t="s">
        <v>506</v>
      </c>
      <c r="I726" s="4"/>
      <c r="J726" s="4" t="s">
        <v>21</v>
      </c>
      <c r="K726" s="5">
        <f t="shared" si="244"/>
        <v>124590</v>
      </c>
      <c r="L726" s="5">
        <f t="shared" si="242"/>
        <v>124590</v>
      </c>
      <c r="M726" s="8">
        <v>239751</v>
      </c>
      <c r="N726" s="8">
        <v>27984</v>
      </c>
      <c r="O726" s="8">
        <f>SUMIFS(EIAwtransport!$J$2:$J$675,EIAwtransport!$E$2:$E$675,Program_data!$E726,EIAwtransport!$H$2:$H$675,Program_data!$F726,EIAwtransport!$I$2:$I$675,Program_data!O$2)</f>
        <v>0</v>
      </c>
      <c r="P726" s="5">
        <f>SUMIFS(EIAwtransport!$J$2:$J$675,EIAwtransport!$E$2:$E$675,Program_data!$E726,EIAwtransport!$H$2:$H$675,Program_data!$F726,EIAwtransport!$I$2:$I$675,Program_data!P$2)</f>
        <v>0</v>
      </c>
      <c r="Q726" s="5">
        <f>SUMIFS(EIAwtransport!$J$2:$J$675,EIAwtransport!$E$2:$E$675,Program_data!$E726,EIAwtransport!$H$2:$H$675,Program_data!$F726,EIAwtransport!$I$2:$I$675,Program_data!Q$2)</f>
        <v>0</v>
      </c>
      <c r="R726" s="8">
        <f>SUMIFS(EIAwtransport!$J$2:$J$675,EIAwtransport!$E$2:$E$675,Program_data!$E726,EIAwtransport!$I$2:$I$675,Program_data!R$2)</f>
        <v>526109473</v>
      </c>
      <c r="S726" s="5">
        <f>SUMIFS(EIAwtransport!$J$2:$J$675,EIAwtransport!$E$2:$E$675,Program_data!$E726,EIAwtransport!$I$2:$I$675,Program_data!S$2)</f>
        <v>80336233</v>
      </c>
      <c r="T726" s="5">
        <f>SUMIFS(EIAwtransport!$J$2:$J$675,EIAwtransport!$E$2:$E$675,Program_data!$E726,EIAwtransport!$I$2:$I$675,Program_data!T$2)</f>
        <v>474354</v>
      </c>
      <c r="U726" s="24">
        <f t="shared" si="249"/>
        <v>1.4969661044552309E-4</v>
      </c>
      <c r="V726" s="24">
        <f t="shared" si="238"/>
        <v>1.4969661044552309E-4</v>
      </c>
      <c r="W726" s="24">
        <f t="shared" si="250"/>
        <v>4.5570553716298509E-4</v>
      </c>
      <c r="X726" s="25">
        <f t="shared" si="251"/>
        <v>2.8806414680893012E-4</v>
      </c>
      <c r="Y726" s="8">
        <f t="shared" si="247"/>
        <v>0.82041884816753929</v>
      </c>
      <c r="Z726" s="27">
        <f t="shared" si="248"/>
        <v>1.9742000508884482E-2</v>
      </c>
      <c r="AA726" s="27"/>
      <c r="AB726" s="40">
        <v>12459</v>
      </c>
      <c r="AC726" s="56">
        <f t="shared" si="243"/>
        <v>4.3187530211599486E-3</v>
      </c>
      <c r="AE726" s="20">
        <f t="shared" si="236"/>
        <v>37778.400000000001</v>
      </c>
      <c r="AF726" s="20">
        <f t="shared" si="237"/>
        <v>710247788.55000007</v>
      </c>
      <c r="AG726">
        <f t="shared" si="239"/>
        <v>13141753.200000001</v>
      </c>
      <c r="AH726">
        <f t="shared" si="240"/>
        <v>13141753.200000001</v>
      </c>
      <c r="AI726">
        <f t="shared" si="241"/>
        <v>8473865856.8400002</v>
      </c>
    </row>
    <row r="727" spans="2:35" x14ac:dyDescent="0.25">
      <c r="B727" s="4">
        <v>2024</v>
      </c>
      <c r="C727" s="4" t="s">
        <v>241</v>
      </c>
      <c r="D727" s="1" t="s">
        <v>242</v>
      </c>
      <c r="E727" s="4" t="str">
        <f t="shared" si="245"/>
        <v>Xcel-MN</v>
      </c>
      <c r="F727" s="4" t="s">
        <v>143</v>
      </c>
      <c r="G727" s="4">
        <v>1</v>
      </c>
      <c r="H727" s="11" t="s">
        <v>507</v>
      </c>
      <c r="I727" s="4"/>
      <c r="J727" s="4" t="s">
        <v>155</v>
      </c>
      <c r="K727" s="5">
        <f t="shared" si="244"/>
        <v>0</v>
      </c>
      <c r="L727" s="5">
        <f t="shared" si="242"/>
        <v>0</v>
      </c>
      <c r="M727" s="8">
        <v>435008</v>
      </c>
      <c r="N727" s="8">
        <v>0</v>
      </c>
      <c r="O727" s="8">
        <f>SUMIFS(EIAwtransport!$J$2:$J$675,EIAwtransport!$E$2:$E$675,Program_data!$E727,EIAwtransport!$H$2:$H$675,Program_data!$F727,EIAwtransport!$I$2:$I$675,Program_data!O$2)</f>
        <v>0</v>
      </c>
      <c r="P727" s="5">
        <f>SUMIFS(EIAwtransport!$J$2:$J$675,EIAwtransport!$E$2:$E$675,Program_data!$E727,EIAwtransport!$H$2:$H$675,Program_data!$F727,EIAwtransport!$I$2:$I$675,Program_data!P$2)</f>
        <v>0</v>
      </c>
      <c r="Q727" s="5">
        <f>SUMIFS(EIAwtransport!$J$2:$J$675,EIAwtransport!$E$2:$E$675,Program_data!$E727,EIAwtransport!$H$2:$H$675,Program_data!$F727,EIAwtransport!$I$2:$I$675,Program_data!Q$2)</f>
        <v>0</v>
      </c>
      <c r="R727" s="8">
        <f>SUMIFS(EIAwtransport!$J$2:$J$675,EIAwtransport!$E$2:$E$675,Program_data!$E727,EIAwtransport!$I$2:$I$675,Program_data!R$2)</f>
        <v>526109473</v>
      </c>
      <c r="S727" s="5">
        <f>SUMIFS(EIAwtransport!$J$2:$J$675,EIAwtransport!$E$2:$E$675,Program_data!$E727,EIAwtransport!$I$2:$I$675,Program_data!S$2)</f>
        <v>80336233</v>
      </c>
      <c r="T727" s="5">
        <f>SUMIFS(EIAwtransport!$J$2:$J$675,EIAwtransport!$E$2:$E$675,Program_data!$E727,EIAwtransport!$I$2:$I$675,Program_data!T$2)</f>
        <v>474354</v>
      </c>
      <c r="U727" s="24">
        <f t="shared" si="249"/>
        <v>0</v>
      </c>
      <c r="V727" s="24">
        <f t="shared" si="238"/>
        <v>0</v>
      </c>
      <c r="W727" s="24">
        <f t="shared" si="250"/>
        <v>8.2683932208915006E-4</v>
      </c>
      <c r="X727" s="25">
        <f t="shared" si="251"/>
        <v>5.2266813642094952E-4</v>
      </c>
      <c r="Y727" s="8">
        <f t="shared" si="247"/>
        <v>1.4885809122951099</v>
      </c>
      <c r="Z727" s="27">
        <f t="shared" si="248"/>
        <v>3.5820197443884781E-2</v>
      </c>
      <c r="AA727" s="27"/>
      <c r="AB727" s="40"/>
      <c r="AC727" s="56">
        <f t="shared" si="243"/>
        <v>0</v>
      </c>
      <c r="AE727" s="20">
        <f t="shared" si="236"/>
        <v>0</v>
      </c>
      <c r="AF727" s="20">
        <f t="shared" si="237"/>
        <v>710247788.55000007</v>
      </c>
      <c r="AG727">
        <f t="shared" si="239"/>
        <v>0</v>
      </c>
      <c r="AH727">
        <f t="shared" si="240"/>
        <v>0</v>
      </c>
      <c r="AI727">
        <f t="shared" si="241"/>
        <v>8473865856.8400002</v>
      </c>
    </row>
    <row r="728" spans="2:35" x14ac:dyDescent="0.25">
      <c r="B728" s="4">
        <v>2024</v>
      </c>
      <c r="C728" s="4" t="s">
        <v>241</v>
      </c>
      <c r="D728" s="1" t="s">
        <v>242</v>
      </c>
      <c r="E728" s="4" t="str">
        <f t="shared" si="245"/>
        <v>Xcel-MN</v>
      </c>
      <c r="F728" s="4" t="s">
        <v>143</v>
      </c>
      <c r="G728" s="4">
        <v>1</v>
      </c>
      <c r="H728" s="11" t="s">
        <v>508</v>
      </c>
      <c r="I728" s="4"/>
      <c r="J728" s="4" t="s">
        <v>21</v>
      </c>
      <c r="K728" s="5">
        <f t="shared" si="244"/>
        <v>6390</v>
      </c>
      <c r="L728" s="5">
        <f t="shared" si="242"/>
        <v>6390</v>
      </c>
      <c r="M728" s="8">
        <v>32765</v>
      </c>
      <c r="N728" s="8">
        <v>4765</v>
      </c>
      <c r="O728" s="8">
        <f>SUMIFS(EIAwtransport!$J$2:$J$675,EIAwtransport!$E$2:$E$675,Program_data!$E728,EIAwtransport!$H$2:$H$675,Program_data!$F728,EIAwtransport!$I$2:$I$675,Program_data!O$2)</f>
        <v>0</v>
      </c>
      <c r="P728" s="5">
        <f>SUMIFS(EIAwtransport!$J$2:$J$675,EIAwtransport!$E$2:$E$675,Program_data!$E728,EIAwtransport!$H$2:$H$675,Program_data!$F728,EIAwtransport!$I$2:$I$675,Program_data!P$2)</f>
        <v>0</v>
      </c>
      <c r="Q728" s="5">
        <f>SUMIFS(EIAwtransport!$J$2:$J$675,EIAwtransport!$E$2:$E$675,Program_data!$E728,EIAwtransport!$H$2:$H$675,Program_data!$F728,EIAwtransport!$I$2:$I$675,Program_data!Q$2)</f>
        <v>0</v>
      </c>
      <c r="R728" s="8">
        <f>SUMIFS(EIAwtransport!$J$2:$J$675,EIAwtransport!$E$2:$E$675,Program_data!$E728,EIAwtransport!$I$2:$I$675,Program_data!R$2)</f>
        <v>526109473</v>
      </c>
      <c r="S728" s="5">
        <f>SUMIFS(EIAwtransport!$J$2:$J$675,EIAwtransport!$E$2:$E$675,Program_data!$E728,EIAwtransport!$I$2:$I$675,Program_data!S$2)</f>
        <v>80336233</v>
      </c>
      <c r="T728" s="5">
        <f>SUMIFS(EIAwtransport!$J$2:$J$675,EIAwtransport!$E$2:$E$675,Program_data!$E728,EIAwtransport!$I$2:$I$675,Program_data!T$2)</f>
        <v>474354</v>
      </c>
      <c r="U728" s="24">
        <f t="shared" si="249"/>
        <v>7.6776734950388673E-6</v>
      </c>
      <c r="V728" s="24">
        <f t="shared" si="238"/>
        <v>7.6776734950388673E-6</v>
      </c>
      <c r="W728" s="24">
        <f t="shared" si="250"/>
        <v>6.2277913022866255E-5</v>
      </c>
      <c r="X728" s="25">
        <f t="shared" si="251"/>
        <v>3.9367601262120263E-5</v>
      </c>
      <c r="Y728" s="8">
        <f t="shared" si="247"/>
        <v>0.11212058994627519</v>
      </c>
      <c r="Z728" s="27">
        <f t="shared" si="248"/>
        <v>2.6979935294267803E-3</v>
      </c>
      <c r="AA728" s="27"/>
      <c r="AB728" s="40">
        <v>639</v>
      </c>
      <c r="AC728" s="56">
        <f t="shared" si="243"/>
        <v>2.2150117830654204E-4</v>
      </c>
      <c r="AE728" s="20">
        <f t="shared" si="236"/>
        <v>6432.75</v>
      </c>
      <c r="AF728" s="20">
        <f t="shared" si="237"/>
        <v>710247788.55000007</v>
      </c>
      <c r="AG728">
        <f t="shared" si="239"/>
        <v>674017.20000000007</v>
      </c>
      <c r="AH728">
        <f t="shared" si="240"/>
        <v>674017.20000000007</v>
      </c>
      <c r="AI728">
        <f t="shared" si="241"/>
        <v>8473865856.8400002</v>
      </c>
    </row>
    <row r="729" spans="2:35" x14ac:dyDescent="0.25">
      <c r="B729" s="4">
        <v>2024</v>
      </c>
      <c r="C729" s="4" t="s">
        <v>241</v>
      </c>
      <c r="D729" s="1" t="s">
        <v>242</v>
      </c>
      <c r="E729" s="4" t="str">
        <f t="shared" si="245"/>
        <v>Xcel-MN</v>
      </c>
      <c r="F729" s="4" t="s">
        <v>306</v>
      </c>
      <c r="G729" s="4"/>
      <c r="H729" s="11" t="s">
        <v>509</v>
      </c>
      <c r="I729" s="4"/>
      <c r="J729" s="4" t="s">
        <v>155</v>
      </c>
      <c r="K729" s="5">
        <f t="shared" si="244"/>
        <v>0</v>
      </c>
      <c r="L729" s="5">
        <f t="shared" si="242"/>
        <v>0</v>
      </c>
      <c r="M729" s="8">
        <v>1610483</v>
      </c>
      <c r="N729" s="8">
        <v>0</v>
      </c>
      <c r="O729" s="8">
        <f>SUMIFS(EIAwtransport!$J$2:$J$675,EIAwtransport!$E$2:$E$675,Program_data!$E729,EIAwtransport!$H$2:$H$675,Program_data!$F729,EIAwtransport!$I$2:$I$675,Program_data!O$2)</f>
        <v>0</v>
      </c>
      <c r="P729" s="5">
        <f>SUMIFS(EIAwtransport!$J$2:$J$675,EIAwtransport!$E$2:$E$675,Program_data!$E729,EIAwtransport!$H$2:$H$675,Program_data!$F729,EIAwtransport!$I$2:$I$675,Program_data!P$2)</f>
        <v>0</v>
      </c>
      <c r="Q729" s="5">
        <f>SUMIFS(EIAwtransport!$J$2:$J$675,EIAwtransport!$E$2:$E$675,Program_data!$E729,EIAwtransport!$H$2:$H$675,Program_data!$F729,EIAwtransport!$I$2:$I$675,Program_data!Q$2)</f>
        <v>0</v>
      </c>
      <c r="R729" s="8">
        <f>SUMIFS(EIAwtransport!$J$2:$J$675,EIAwtransport!$E$2:$E$675,Program_data!$E729,EIAwtransport!$I$2:$I$675,Program_data!R$2)</f>
        <v>526109473</v>
      </c>
      <c r="S729" s="5">
        <f>SUMIFS(EIAwtransport!$J$2:$J$675,EIAwtransport!$E$2:$E$675,Program_data!$E729,EIAwtransport!$I$2:$I$675,Program_data!S$2)</f>
        <v>80336233</v>
      </c>
      <c r="T729" s="5">
        <f>SUMIFS(EIAwtransport!$J$2:$J$675,EIAwtransport!$E$2:$E$675,Program_data!$E729,EIAwtransport!$I$2:$I$675,Program_data!T$2)</f>
        <v>474354</v>
      </c>
      <c r="U729" s="24">
        <f t="shared" si="249"/>
        <v>0</v>
      </c>
      <c r="V729" s="24">
        <f t="shared" si="238"/>
        <v>0</v>
      </c>
      <c r="W729" s="24">
        <f t="shared" si="250"/>
        <v>3.0611176621029973E-3</v>
      </c>
      <c r="X729" s="25">
        <f t="shared" si="251"/>
        <v>1.9350176280611394E-3</v>
      </c>
      <c r="Y729" s="8" t="str">
        <f t="shared" si="247"/>
        <v/>
      </c>
      <c r="Z729" s="27">
        <f t="shared" si="248"/>
        <v>0.13261323708993833</v>
      </c>
      <c r="AA729" s="27"/>
      <c r="AB729" s="40"/>
      <c r="AC729" s="56">
        <f t="shared" si="243"/>
        <v>0</v>
      </c>
      <c r="AE729" s="20">
        <f t="shared" si="236"/>
        <v>0</v>
      </c>
      <c r="AF729" s="20">
        <f t="shared" si="237"/>
        <v>710247788.55000007</v>
      </c>
      <c r="AG729">
        <f t="shared" si="239"/>
        <v>0</v>
      </c>
      <c r="AH729">
        <f t="shared" si="240"/>
        <v>0</v>
      </c>
      <c r="AI729">
        <f t="shared" si="241"/>
        <v>8473865856.8400002</v>
      </c>
    </row>
    <row r="730" spans="2:35" x14ac:dyDescent="0.25">
      <c r="B730" s="4">
        <v>2024</v>
      </c>
      <c r="C730" s="4" t="s">
        <v>241</v>
      </c>
      <c r="D730" s="1" t="s">
        <v>242</v>
      </c>
      <c r="E730" s="4" t="str">
        <f t="shared" si="245"/>
        <v>Xcel-MN</v>
      </c>
      <c r="F730" s="4" t="s">
        <v>306</v>
      </c>
      <c r="G730" s="4"/>
      <c r="H730" s="11" t="s">
        <v>510</v>
      </c>
      <c r="I730" s="4"/>
      <c r="J730" s="4" t="s">
        <v>155</v>
      </c>
      <c r="K730" s="5">
        <f t="shared" si="244"/>
        <v>0</v>
      </c>
      <c r="L730" s="5">
        <f t="shared" si="242"/>
        <v>0</v>
      </c>
      <c r="M730" s="8">
        <v>712737</v>
      </c>
      <c r="N730" s="8">
        <v>0</v>
      </c>
      <c r="O730" s="8">
        <f>SUMIFS(EIAwtransport!$J$2:$J$675,EIAwtransport!$E$2:$E$675,Program_data!$E730,EIAwtransport!$H$2:$H$675,Program_data!$F730,EIAwtransport!$I$2:$I$675,Program_data!O$2)</f>
        <v>0</v>
      </c>
      <c r="P730" s="5">
        <f>SUMIFS(EIAwtransport!$J$2:$J$675,EIAwtransport!$E$2:$E$675,Program_data!$E730,EIAwtransport!$H$2:$H$675,Program_data!$F730,EIAwtransport!$I$2:$I$675,Program_data!P$2)</f>
        <v>0</v>
      </c>
      <c r="Q730" s="5">
        <f>SUMIFS(EIAwtransport!$J$2:$J$675,EIAwtransport!$E$2:$E$675,Program_data!$E730,EIAwtransport!$H$2:$H$675,Program_data!$F730,EIAwtransport!$I$2:$I$675,Program_data!Q$2)</f>
        <v>0</v>
      </c>
      <c r="R730" s="8">
        <f>SUMIFS(EIAwtransport!$J$2:$J$675,EIAwtransport!$E$2:$E$675,Program_data!$E730,EIAwtransport!$I$2:$I$675,Program_data!R$2)</f>
        <v>526109473</v>
      </c>
      <c r="S730" s="5">
        <f>SUMIFS(EIAwtransport!$J$2:$J$675,EIAwtransport!$E$2:$E$675,Program_data!$E730,EIAwtransport!$I$2:$I$675,Program_data!S$2)</f>
        <v>80336233</v>
      </c>
      <c r="T730" s="5">
        <f>SUMIFS(EIAwtransport!$J$2:$J$675,EIAwtransport!$E$2:$E$675,Program_data!$E730,EIAwtransport!$I$2:$I$675,Program_data!T$2)</f>
        <v>474354</v>
      </c>
      <c r="U730" s="24">
        <f t="shared" si="249"/>
        <v>0</v>
      </c>
      <c r="V730" s="24">
        <f t="shared" si="238"/>
        <v>0</v>
      </c>
      <c r="W730" s="24">
        <f t="shared" si="250"/>
        <v>1.3547313564528803E-3</v>
      </c>
      <c r="X730" s="25">
        <f t="shared" si="251"/>
        <v>8.5636337618677895E-4</v>
      </c>
      <c r="Y730" s="8" t="str">
        <f t="shared" si="247"/>
        <v/>
      </c>
      <c r="Z730" s="27">
        <f t="shared" si="248"/>
        <v>5.8689449540151234E-2</v>
      </c>
      <c r="AA730" s="27"/>
      <c r="AB730" s="40"/>
      <c r="AC730" s="56">
        <f t="shared" si="243"/>
        <v>0</v>
      </c>
      <c r="AE730" s="20">
        <f t="shared" si="236"/>
        <v>0</v>
      </c>
      <c r="AF730" s="20">
        <f t="shared" si="237"/>
        <v>710247788.55000007</v>
      </c>
      <c r="AG730">
        <f t="shared" si="239"/>
        <v>0</v>
      </c>
      <c r="AH730">
        <f t="shared" si="240"/>
        <v>0</v>
      </c>
      <c r="AI730">
        <f t="shared" si="241"/>
        <v>8473865856.8400002</v>
      </c>
    </row>
    <row r="731" spans="2:35" x14ac:dyDescent="0.25">
      <c r="B731" s="4">
        <v>2024</v>
      </c>
      <c r="C731" s="4" t="s">
        <v>241</v>
      </c>
      <c r="D731" s="1" t="s">
        <v>242</v>
      </c>
      <c r="E731" s="4" t="str">
        <f t="shared" si="245"/>
        <v>Xcel-MN</v>
      </c>
      <c r="F731" s="4" t="s">
        <v>146</v>
      </c>
      <c r="G731" s="4"/>
      <c r="H731" s="11" t="s">
        <v>511</v>
      </c>
      <c r="I731" s="4"/>
      <c r="J731" s="4" t="s">
        <v>155</v>
      </c>
      <c r="K731" s="5">
        <f t="shared" si="244"/>
        <v>0</v>
      </c>
      <c r="L731" s="5">
        <f t="shared" si="242"/>
        <v>0</v>
      </c>
      <c r="M731" s="8">
        <v>146397</v>
      </c>
      <c r="N731" s="8">
        <v>0</v>
      </c>
      <c r="O731" s="8">
        <f>SUMIFS(EIAwtransport!$J$2:$J$675,EIAwtransport!$E$2:$E$675,Program_data!$E731,EIAwtransport!$H$2:$H$675,Program_data!$F731,EIAwtransport!$I$2:$I$675,Program_data!O$2)</f>
        <v>219489723</v>
      </c>
      <c r="P731" s="5">
        <f>SUMIFS(EIAwtransport!$J$2:$J$675,EIAwtransport!$E$2:$E$675,Program_data!$E731,EIAwtransport!$H$2:$H$675,Program_data!$F731,EIAwtransport!$I$2:$I$675,Program_data!P$2)</f>
        <v>45049322</v>
      </c>
      <c r="Q731" s="5">
        <f>SUMIFS(EIAwtransport!$J$2:$J$675,EIAwtransport!$E$2:$E$675,Program_data!$E731,EIAwtransport!$H$2:$H$675,Program_data!$F731,EIAwtransport!$I$2:$I$675,Program_data!Q$2)</f>
        <v>36107</v>
      </c>
      <c r="R731" s="8">
        <f>SUMIFS(EIAwtransport!$J$2:$J$675,EIAwtransport!$E$2:$E$675,Program_data!$E731,EIAwtransport!$I$2:$I$675,Program_data!R$2)</f>
        <v>526109473</v>
      </c>
      <c r="S731" s="5">
        <f>SUMIFS(EIAwtransport!$J$2:$J$675,EIAwtransport!$E$2:$E$675,Program_data!$E731,EIAwtransport!$I$2:$I$675,Program_data!S$2)</f>
        <v>80336233</v>
      </c>
      <c r="T731" s="5">
        <f>SUMIFS(EIAwtransport!$J$2:$J$675,EIAwtransport!$E$2:$E$675,Program_data!$E731,EIAwtransport!$I$2:$I$675,Program_data!T$2)</f>
        <v>474354</v>
      </c>
      <c r="U731" s="24">
        <f t="shared" si="249"/>
        <v>0</v>
      </c>
      <c r="V731" s="24">
        <f t="shared" si="238"/>
        <v>0</v>
      </c>
      <c r="W731" s="24">
        <f t="shared" si="250"/>
        <v>2.7826337960654818E-4</v>
      </c>
      <c r="X731" s="25">
        <f t="shared" si="251"/>
        <v>1.7589802295042334E-4</v>
      </c>
      <c r="Y731" s="8">
        <f t="shared" si="247"/>
        <v>2.0025744004464847E-2</v>
      </c>
      <c r="Z731" s="27">
        <f t="shared" si="248"/>
        <v>1.2054880473904848E-2</v>
      </c>
      <c r="AA731" s="27"/>
      <c r="AB731" s="40"/>
      <c r="AC731" s="56">
        <f t="shared" si="243"/>
        <v>0</v>
      </c>
      <c r="AE731" s="20">
        <f t="shared" si="236"/>
        <v>0</v>
      </c>
      <c r="AF731" s="20">
        <f t="shared" si="237"/>
        <v>710247788.55000007</v>
      </c>
      <c r="AG731">
        <f t="shared" si="239"/>
        <v>0</v>
      </c>
      <c r="AH731">
        <f t="shared" si="240"/>
        <v>0</v>
      </c>
      <c r="AI731">
        <f t="shared" si="241"/>
        <v>8473865856.8400002</v>
      </c>
    </row>
    <row r="732" spans="2:35" x14ac:dyDescent="0.25">
      <c r="B732" s="4">
        <v>2024</v>
      </c>
      <c r="C732" s="4" t="s">
        <v>241</v>
      </c>
      <c r="D732" s="1" t="s">
        <v>242</v>
      </c>
      <c r="E732" s="4" t="str">
        <f t="shared" si="245"/>
        <v>Xcel-MN</v>
      </c>
      <c r="F732" s="4" t="s">
        <v>143</v>
      </c>
      <c r="G732" s="4"/>
      <c r="H732" s="11" t="s">
        <v>512</v>
      </c>
      <c r="I732" s="4"/>
      <c r="J732" s="4" t="s">
        <v>155</v>
      </c>
      <c r="K732" s="5">
        <f t="shared" si="244"/>
        <v>0</v>
      </c>
      <c r="L732" s="5">
        <f t="shared" ref="L732:L757" si="252">K732</f>
        <v>0</v>
      </c>
      <c r="M732" s="8">
        <v>13625</v>
      </c>
      <c r="N732" s="8">
        <v>0</v>
      </c>
      <c r="O732" s="8">
        <f>SUMIFS(EIAwtransport!$J$2:$J$675,EIAwtransport!$E$2:$E$675,Program_data!$E732,EIAwtransport!$H$2:$H$675,Program_data!$F732,EIAwtransport!$I$2:$I$675,Program_data!O$2)</f>
        <v>0</v>
      </c>
      <c r="P732" s="5">
        <f>SUMIFS(EIAwtransport!$J$2:$J$675,EIAwtransport!$E$2:$E$675,Program_data!$E732,EIAwtransport!$H$2:$H$675,Program_data!$F732,EIAwtransport!$I$2:$I$675,Program_data!P$2)</f>
        <v>0</v>
      </c>
      <c r="Q732" s="5">
        <f>SUMIFS(EIAwtransport!$J$2:$J$675,EIAwtransport!$E$2:$E$675,Program_data!$E732,EIAwtransport!$H$2:$H$675,Program_data!$F732,EIAwtransport!$I$2:$I$675,Program_data!Q$2)</f>
        <v>0</v>
      </c>
      <c r="R732" s="8">
        <f>SUMIFS(EIAwtransport!$J$2:$J$675,EIAwtransport!$E$2:$E$675,Program_data!$E732,EIAwtransport!$I$2:$I$675,Program_data!R$2)</f>
        <v>526109473</v>
      </c>
      <c r="S732" s="5">
        <f>SUMIFS(EIAwtransport!$J$2:$J$675,EIAwtransport!$E$2:$E$675,Program_data!$E732,EIAwtransport!$I$2:$I$675,Program_data!S$2)</f>
        <v>80336233</v>
      </c>
      <c r="T732" s="5">
        <f>SUMIFS(EIAwtransport!$J$2:$J$675,EIAwtransport!$E$2:$E$675,Program_data!$E732,EIAwtransport!$I$2:$I$675,Program_data!T$2)</f>
        <v>474354</v>
      </c>
      <c r="U732" s="24">
        <f t="shared" si="249"/>
        <v>0</v>
      </c>
      <c r="V732" s="24">
        <f t="shared" si="238"/>
        <v>0</v>
      </c>
      <c r="W732" s="24">
        <f t="shared" si="250"/>
        <v>2.5897651913216927E-5</v>
      </c>
      <c r="X732" s="25">
        <f t="shared" si="251"/>
        <v>1.6370626192473329E-5</v>
      </c>
      <c r="Y732" s="8">
        <f t="shared" si="247"/>
        <v>4.6624234335968247E-2</v>
      </c>
      <c r="Z732" s="27">
        <f t="shared" si="248"/>
        <v>1.1219338269018735E-3</v>
      </c>
      <c r="AA732" s="27"/>
      <c r="AB732" s="40"/>
      <c r="AC732" s="56">
        <f t="shared" si="243"/>
        <v>0</v>
      </c>
      <c r="AE732" s="20">
        <f t="shared" si="236"/>
        <v>0</v>
      </c>
      <c r="AF732" s="20">
        <f t="shared" si="237"/>
        <v>710247788.55000007</v>
      </c>
      <c r="AG732">
        <f t="shared" si="239"/>
        <v>0</v>
      </c>
      <c r="AH732">
        <f t="shared" si="240"/>
        <v>0</v>
      </c>
      <c r="AI732">
        <f t="shared" si="241"/>
        <v>8473865856.8400002</v>
      </c>
    </row>
    <row r="733" spans="2:35" x14ac:dyDescent="0.25">
      <c r="B733" s="4">
        <v>2024</v>
      </c>
      <c r="C733" s="4" t="s">
        <v>241</v>
      </c>
      <c r="D733" s="1" t="s">
        <v>242</v>
      </c>
      <c r="E733" s="4" t="str">
        <f t="shared" si="245"/>
        <v>Xcel-MN</v>
      </c>
      <c r="F733" s="4" t="s">
        <v>146</v>
      </c>
      <c r="G733" s="4"/>
      <c r="H733" s="11" t="s">
        <v>513</v>
      </c>
      <c r="I733" s="4"/>
      <c r="J733" s="4" t="s">
        <v>155</v>
      </c>
      <c r="K733" s="5">
        <f t="shared" si="244"/>
        <v>0</v>
      </c>
      <c r="L733" s="5">
        <f t="shared" si="252"/>
        <v>0</v>
      </c>
      <c r="M733" s="8">
        <v>31427</v>
      </c>
      <c r="N733" s="8">
        <v>0</v>
      </c>
      <c r="O733" s="8">
        <f>SUMIFS(EIAwtransport!$J$2:$J$675,EIAwtransport!$E$2:$E$675,Program_data!$E733,EIAwtransport!$H$2:$H$675,Program_data!$F733,EIAwtransport!$I$2:$I$675,Program_data!O$2)</f>
        <v>219489723</v>
      </c>
      <c r="P733" s="5">
        <f>SUMIFS(EIAwtransport!$J$2:$J$675,EIAwtransport!$E$2:$E$675,Program_data!$E733,EIAwtransport!$H$2:$H$675,Program_data!$F733,EIAwtransport!$I$2:$I$675,Program_data!P$2)</f>
        <v>45049322</v>
      </c>
      <c r="Q733" s="5">
        <f>SUMIFS(EIAwtransport!$J$2:$J$675,EIAwtransport!$E$2:$E$675,Program_data!$E733,EIAwtransport!$H$2:$H$675,Program_data!$F733,EIAwtransport!$I$2:$I$675,Program_data!Q$2)</f>
        <v>36107</v>
      </c>
      <c r="R733" s="8">
        <f>SUMIFS(EIAwtransport!$J$2:$J$675,EIAwtransport!$E$2:$E$675,Program_data!$E733,EIAwtransport!$I$2:$I$675,Program_data!R$2)</f>
        <v>526109473</v>
      </c>
      <c r="S733" s="5">
        <f>SUMIFS(EIAwtransport!$J$2:$J$675,EIAwtransport!$E$2:$E$675,Program_data!$E733,EIAwtransport!$I$2:$I$675,Program_data!S$2)</f>
        <v>80336233</v>
      </c>
      <c r="T733" s="5">
        <f>SUMIFS(EIAwtransport!$J$2:$J$675,EIAwtransport!$E$2:$E$675,Program_data!$E733,EIAwtransport!$I$2:$I$675,Program_data!T$2)</f>
        <v>474354</v>
      </c>
      <c r="U733" s="24">
        <f t="shared" si="249"/>
        <v>0</v>
      </c>
      <c r="V733" s="24">
        <f t="shared" si="238"/>
        <v>0</v>
      </c>
      <c r="W733" s="24">
        <f t="shared" si="250"/>
        <v>5.9734716086360985E-5</v>
      </c>
      <c r="X733" s="25">
        <f t="shared" si="251"/>
        <v>3.7759975732173161E-5</v>
      </c>
      <c r="Y733" s="8">
        <f t="shared" si="247"/>
        <v>4.2989204480168089E-3</v>
      </c>
      <c r="Z733" s="27">
        <f t="shared" si="248"/>
        <v>2.5878175690308386E-3</v>
      </c>
      <c r="AA733" s="27"/>
      <c r="AB733" s="40"/>
      <c r="AC733" s="56">
        <f t="shared" si="243"/>
        <v>0</v>
      </c>
      <c r="AE733" s="20">
        <f t="shared" ref="AE733:AE797" si="253">N733*1.35</f>
        <v>0</v>
      </c>
      <c r="AF733" s="20">
        <f t="shared" ref="AF733:AF797" si="254">R733*1.35</f>
        <v>710247788.55000007</v>
      </c>
      <c r="AG733">
        <f t="shared" si="239"/>
        <v>0</v>
      </c>
      <c r="AH733">
        <f t="shared" si="240"/>
        <v>0</v>
      </c>
      <c r="AI733">
        <f t="shared" si="241"/>
        <v>8473865856.8400002</v>
      </c>
    </row>
    <row r="734" spans="2:35" x14ac:dyDescent="0.25">
      <c r="B734" s="4">
        <v>2024</v>
      </c>
      <c r="C734" s="4" t="s">
        <v>241</v>
      </c>
      <c r="D734" s="1" t="s">
        <v>242</v>
      </c>
      <c r="E734" s="4" t="str">
        <f t="shared" si="245"/>
        <v>Xcel-MN</v>
      </c>
      <c r="F734" s="4" t="s">
        <v>146</v>
      </c>
      <c r="G734" s="4"/>
      <c r="H734" s="11" t="s">
        <v>514</v>
      </c>
      <c r="I734" s="4" t="s">
        <v>515</v>
      </c>
      <c r="J734" s="4" t="s">
        <v>155</v>
      </c>
      <c r="K734" s="5">
        <f t="shared" si="244"/>
        <v>0</v>
      </c>
      <c r="L734" s="5">
        <f t="shared" si="252"/>
        <v>0</v>
      </c>
      <c r="M734" s="8">
        <v>340504</v>
      </c>
      <c r="N734" s="8">
        <v>0</v>
      </c>
      <c r="O734" s="8">
        <f>SUMIFS(EIAwtransport!$J$2:$J$675,EIAwtransport!$E$2:$E$675,Program_data!$E734,EIAwtransport!$H$2:$H$675,Program_data!$F734,EIAwtransport!$I$2:$I$675,Program_data!O$2)</f>
        <v>219489723</v>
      </c>
      <c r="P734" s="5">
        <f>SUMIFS(EIAwtransport!$J$2:$J$675,EIAwtransport!$E$2:$E$675,Program_data!$E734,EIAwtransport!$H$2:$H$675,Program_data!$F734,EIAwtransport!$I$2:$I$675,Program_data!P$2)</f>
        <v>45049322</v>
      </c>
      <c r="Q734" s="5">
        <f>SUMIFS(EIAwtransport!$J$2:$J$675,EIAwtransport!$E$2:$E$675,Program_data!$E734,EIAwtransport!$H$2:$H$675,Program_data!$F734,EIAwtransport!$I$2:$I$675,Program_data!Q$2)</f>
        <v>36107</v>
      </c>
      <c r="R734" s="8">
        <f>SUMIFS(EIAwtransport!$J$2:$J$675,EIAwtransport!$E$2:$E$675,Program_data!$E734,EIAwtransport!$I$2:$I$675,Program_data!R$2)</f>
        <v>526109473</v>
      </c>
      <c r="S734" s="5">
        <f>SUMIFS(EIAwtransport!$J$2:$J$675,EIAwtransport!$E$2:$E$675,Program_data!$E734,EIAwtransport!$I$2:$I$675,Program_data!S$2)</f>
        <v>80336233</v>
      </c>
      <c r="T734" s="5">
        <f>SUMIFS(EIAwtransport!$J$2:$J$675,EIAwtransport!$E$2:$E$675,Program_data!$E734,EIAwtransport!$I$2:$I$675,Program_data!T$2)</f>
        <v>474354</v>
      </c>
      <c r="U734" s="24">
        <f t="shared" si="249"/>
        <v>0</v>
      </c>
      <c r="V734" s="24">
        <f t="shared" si="238"/>
        <v>0</v>
      </c>
      <c r="W734" s="24">
        <f t="shared" si="250"/>
        <v>6.4721130767398294E-4</v>
      </c>
      <c r="X734" s="25">
        <f t="shared" si="251"/>
        <v>4.0912027163610555E-4</v>
      </c>
      <c r="Y734" s="8">
        <f t="shared" si="247"/>
        <v>4.6577770968642108E-2</v>
      </c>
      <c r="Z734" s="27">
        <f t="shared" si="248"/>
        <v>2.8038382076726275E-2</v>
      </c>
      <c r="AA734" s="27"/>
      <c r="AB734" s="40"/>
      <c r="AC734" s="56">
        <f t="shared" si="243"/>
        <v>0</v>
      </c>
      <c r="AE734" s="20">
        <f t="shared" si="253"/>
        <v>0</v>
      </c>
      <c r="AF734" s="20">
        <f t="shared" si="254"/>
        <v>710247788.55000007</v>
      </c>
      <c r="AG734">
        <f t="shared" si="239"/>
        <v>0</v>
      </c>
      <c r="AH734">
        <f t="shared" si="240"/>
        <v>0</v>
      </c>
      <c r="AI734">
        <f t="shared" si="241"/>
        <v>8473865856.8400002</v>
      </c>
    </row>
    <row r="735" spans="2:35" x14ac:dyDescent="0.25">
      <c r="B735" s="4">
        <v>2024</v>
      </c>
      <c r="C735" s="4" t="s">
        <v>241</v>
      </c>
      <c r="D735" s="1" t="s">
        <v>242</v>
      </c>
      <c r="E735" s="4" t="str">
        <f t="shared" si="245"/>
        <v>Xcel-MN</v>
      </c>
      <c r="F735" s="4" t="s">
        <v>306</v>
      </c>
      <c r="G735" s="4"/>
      <c r="H735" s="11" t="s">
        <v>516</v>
      </c>
      <c r="I735" s="4"/>
      <c r="J735" s="4" t="s">
        <v>155</v>
      </c>
      <c r="K735" s="5">
        <f t="shared" si="244"/>
        <v>0</v>
      </c>
      <c r="L735" s="5">
        <f t="shared" si="252"/>
        <v>0</v>
      </c>
      <c r="M735" s="8">
        <v>350000</v>
      </c>
      <c r="N735" s="8">
        <v>0</v>
      </c>
      <c r="O735" s="8">
        <f>SUMIFS(EIAwtransport!$J$2:$J$675,EIAwtransport!$E$2:$E$675,Program_data!$E735,EIAwtransport!$H$2:$H$675,Program_data!$F735,EIAwtransport!$I$2:$I$675,Program_data!O$2)</f>
        <v>0</v>
      </c>
      <c r="P735" s="5">
        <f>SUMIFS(EIAwtransport!$J$2:$J$675,EIAwtransport!$E$2:$E$675,Program_data!$E735,EIAwtransport!$H$2:$H$675,Program_data!$F735,EIAwtransport!$I$2:$I$675,Program_data!P$2)</f>
        <v>0</v>
      </c>
      <c r="Q735" s="5">
        <f>SUMIFS(EIAwtransport!$J$2:$J$675,EIAwtransport!$E$2:$E$675,Program_data!$E735,EIAwtransport!$H$2:$H$675,Program_data!$F735,EIAwtransport!$I$2:$I$675,Program_data!Q$2)</f>
        <v>0</v>
      </c>
      <c r="R735" s="8">
        <f>SUMIFS(EIAwtransport!$J$2:$J$675,EIAwtransport!$E$2:$E$675,Program_data!$E735,EIAwtransport!$I$2:$I$675,Program_data!R$2)</f>
        <v>526109473</v>
      </c>
      <c r="S735" s="5">
        <f>SUMIFS(EIAwtransport!$J$2:$J$675,EIAwtransport!$E$2:$E$675,Program_data!$E735,EIAwtransport!$I$2:$I$675,Program_data!S$2)</f>
        <v>80336233</v>
      </c>
      <c r="T735" s="5">
        <f>SUMIFS(EIAwtransport!$J$2:$J$675,EIAwtransport!$E$2:$E$675,Program_data!$E735,EIAwtransport!$I$2:$I$675,Program_data!T$2)</f>
        <v>474354</v>
      </c>
      <c r="U735" s="24">
        <f t="shared" si="249"/>
        <v>0</v>
      </c>
      <c r="V735" s="24">
        <f t="shared" si="238"/>
        <v>0</v>
      </c>
      <c r="W735" s="24">
        <f t="shared" si="250"/>
        <v>6.65260783091811E-4</v>
      </c>
      <c r="X735" s="25">
        <f t="shared" si="251"/>
        <v>4.2052984714610392E-4</v>
      </c>
      <c r="Y735" s="8" t="str">
        <f t="shared" si="247"/>
        <v/>
      </c>
      <c r="Z735" s="27">
        <f t="shared" si="248"/>
        <v>2.8820318489222434E-2</v>
      </c>
      <c r="AA735" s="27"/>
      <c r="AB735" s="40"/>
      <c r="AC735" s="56">
        <f t="shared" si="243"/>
        <v>0</v>
      </c>
      <c r="AE735" s="20">
        <f t="shared" si="253"/>
        <v>0</v>
      </c>
      <c r="AF735" s="20">
        <f t="shared" si="254"/>
        <v>710247788.55000007</v>
      </c>
      <c r="AG735">
        <f t="shared" si="239"/>
        <v>0</v>
      </c>
      <c r="AH735">
        <f t="shared" si="240"/>
        <v>0</v>
      </c>
      <c r="AI735">
        <f t="shared" si="241"/>
        <v>8473865856.8400002</v>
      </c>
    </row>
    <row r="736" spans="2:35" x14ac:dyDescent="0.25">
      <c r="B736" s="4">
        <v>2024</v>
      </c>
      <c r="C736" s="4" t="s">
        <v>241</v>
      </c>
      <c r="D736" s="1" t="s">
        <v>242</v>
      </c>
      <c r="E736" s="4" t="str">
        <f t="shared" si="245"/>
        <v>Xcel-MN</v>
      </c>
      <c r="F736" s="4" t="s">
        <v>306</v>
      </c>
      <c r="G736" s="4"/>
      <c r="H736" s="11" t="s">
        <v>285</v>
      </c>
      <c r="I736" s="4"/>
      <c r="J736" s="4" t="s">
        <v>155</v>
      </c>
      <c r="K736" s="5">
        <f t="shared" si="244"/>
        <v>0</v>
      </c>
      <c r="L736" s="5">
        <f t="shared" si="252"/>
        <v>0</v>
      </c>
      <c r="M736" s="8">
        <v>525579</v>
      </c>
      <c r="N736" s="8">
        <v>0</v>
      </c>
      <c r="O736" s="8">
        <f>SUMIFS(EIAwtransport!$J$2:$J$675,EIAwtransport!$E$2:$E$675,Program_data!$E736,EIAwtransport!$H$2:$H$675,Program_data!$F736,EIAwtransport!$I$2:$I$675,Program_data!O$2)</f>
        <v>0</v>
      </c>
      <c r="P736" s="5">
        <f>SUMIFS(EIAwtransport!$J$2:$J$675,EIAwtransport!$E$2:$E$675,Program_data!$E736,EIAwtransport!$H$2:$H$675,Program_data!$F736,EIAwtransport!$I$2:$I$675,Program_data!P$2)</f>
        <v>0</v>
      </c>
      <c r="Q736" s="5">
        <f>SUMIFS(EIAwtransport!$J$2:$J$675,EIAwtransport!$E$2:$E$675,Program_data!$E736,EIAwtransport!$H$2:$H$675,Program_data!$F736,EIAwtransport!$I$2:$I$675,Program_data!Q$2)</f>
        <v>0</v>
      </c>
      <c r="R736" s="8">
        <f>SUMIFS(EIAwtransport!$J$2:$J$675,EIAwtransport!$E$2:$E$675,Program_data!$E736,EIAwtransport!$I$2:$I$675,Program_data!R$2)</f>
        <v>526109473</v>
      </c>
      <c r="S736" s="5">
        <f>SUMIFS(EIAwtransport!$J$2:$J$675,EIAwtransport!$E$2:$E$675,Program_data!$E736,EIAwtransport!$I$2:$I$675,Program_data!S$2)</f>
        <v>80336233</v>
      </c>
      <c r="T736" s="5">
        <f>SUMIFS(EIAwtransport!$J$2:$J$675,EIAwtransport!$E$2:$E$675,Program_data!$E736,EIAwtransport!$I$2:$I$675,Program_data!T$2)</f>
        <v>474354</v>
      </c>
      <c r="U736" s="24">
        <f t="shared" si="249"/>
        <v>0</v>
      </c>
      <c r="V736" s="24">
        <f t="shared" si="238"/>
        <v>0</v>
      </c>
      <c r="W736" s="24">
        <f t="shared" si="250"/>
        <v>9.9899170604745972E-4</v>
      </c>
      <c r="X736" s="25">
        <f t="shared" si="251"/>
        <v>6.3149044723772034E-4</v>
      </c>
      <c r="Y736" s="8" t="str">
        <f t="shared" si="247"/>
        <v/>
      </c>
      <c r="Z736" s="27">
        <f t="shared" si="248"/>
        <v>4.3278154774991542E-2</v>
      </c>
      <c r="AA736" s="27"/>
      <c r="AB736" s="40"/>
      <c r="AC736" s="56">
        <f t="shared" si="243"/>
        <v>0</v>
      </c>
      <c r="AE736" s="20">
        <f t="shared" si="253"/>
        <v>0</v>
      </c>
      <c r="AF736" s="20">
        <f t="shared" si="254"/>
        <v>710247788.55000007</v>
      </c>
      <c r="AG736">
        <f t="shared" si="239"/>
        <v>0</v>
      </c>
      <c r="AH736">
        <f t="shared" si="240"/>
        <v>0</v>
      </c>
      <c r="AI736">
        <f t="shared" si="241"/>
        <v>8473865856.8400002</v>
      </c>
    </row>
    <row r="737" spans="2:35" x14ac:dyDescent="0.25">
      <c r="B737" s="4">
        <v>2024</v>
      </c>
      <c r="C737" s="4" t="s">
        <v>241</v>
      </c>
      <c r="D737" s="1" t="s">
        <v>242</v>
      </c>
      <c r="E737" s="4" t="str">
        <f t="shared" si="245"/>
        <v>Xcel-MN</v>
      </c>
      <c r="F737" s="4" t="s">
        <v>306</v>
      </c>
      <c r="G737" s="4"/>
      <c r="H737" s="11" t="s">
        <v>517</v>
      </c>
      <c r="I737" s="4"/>
      <c r="J737" s="4" t="s">
        <v>155</v>
      </c>
      <c r="K737" s="5">
        <f t="shared" si="244"/>
        <v>0</v>
      </c>
      <c r="L737" s="5">
        <f t="shared" si="252"/>
        <v>0</v>
      </c>
      <c r="M737" s="8">
        <v>198051</v>
      </c>
      <c r="N737" s="8">
        <v>0</v>
      </c>
      <c r="O737" s="8">
        <f>SUMIFS(EIAwtransport!$J$2:$J$675,EIAwtransport!$E$2:$E$675,Program_data!$E737,EIAwtransport!$H$2:$H$675,Program_data!$F737,EIAwtransport!$I$2:$I$675,Program_data!O$2)</f>
        <v>0</v>
      </c>
      <c r="P737" s="5">
        <f>SUMIFS(EIAwtransport!$J$2:$J$675,EIAwtransport!$E$2:$E$675,Program_data!$E737,EIAwtransport!$H$2:$H$675,Program_data!$F737,EIAwtransport!$I$2:$I$675,Program_data!P$2)</f>
        <v>0</v>
      </c>
      <c r="Q737" s="5">
        <f>SUMIFS(EIAwtransport!$J$2:$J$675,EIAwtransport!$E$2:$E$675,Program_data!$E737,EIAwtransport!$H$2:$H$675,Program_data!$F737,EIAwtransport!$I$2:$I$675,Program_data!Q$2)</f>
        <v>0</v>
      </c>
      <c r="R737" s="8">
        <f>SUMIFS(EIAwtransport!$J$2:$J$675,EIAwtransport!$E$2:$E$675,Program_data!$E737,EIAwtransport!$I$2:$I$675,Program_data!R$2)</f>
        <v>526109473</v>
      </c>
      <c r="S737" s="5">
        <f>SUMIFS(EIAwtransport!$J$2:$J$675,EIAwtransport!$E$2:$E$675,Program_data!$E737,EIAwtransport!$I$2:$I$675,Program_data!S$2)</f>
        <v>80336233</v>
      </c>
      <c r="T737" s="5">
        <f>SUMIFS(EIAwtransport!$J$2:$J$675,EIAwtransport!$E$2:$E$675,Program_data!$E737,EIAwtransport!$I$2:$I$675,Program_data!T$2)</f>
        <v>474354</v>
      </c>
      <c r="U737" s="24">
        <f t="shared" si="249"/>
        <v>0</v>
      </c>
      <c r="V737" s="24">
        <f t="shared" ref="V737:V754" si="255">IFERROR(L737/10.36/S737,"")</f>
        <v>0</v>
      </c>
      <c r="W737" s="24">
        <f t="shared" si="250"/>
        <v>3.7644446672033217E-4</v>
      </c>
      <c r="X737" s="25">
        <f t="shared" si="251"/>
        <v>2.3796101930609434E-4</v>
      </c>
      <c r="Y737" s="8" t="str">
        <f t="shared" si="247"/>
        <v/>
      </c>
      <c r="Z737" s="27">
        <f t="shared" si="248"/>
        <v>1.6308265420311406E-2</v>
      </c>
      <c r="AA737" s="27"/>
      <c r="AB737" s="40"/>
      <c r="AC737" s="56">
        <f t="shared" si="243"/>
        <v>0</v>
      </c>
      <c r="AE737" s="20">
        <f t="shared" si="253"/>
        <v>0</v>
      </c>
      <c r="AF737" s="20">
        <f t="shared" si="254"/>
        <v>710247788.55000007</v>
      </c>
      <c r="AG737">
        <f t="shared" si="239"/>
        <v>0</v>
      </c>
      <c r="AH737">
        <f t="shared" si="240"/>
        <v>0</v>
      </c>
      <c r="AI737">
        <f t="shared" si="241"/>
        <v>8473865856.8400002</v>
      </c>
    </row>
    <row r="738" spans="2:35" x14ac:dyDescent="0.25">
      <c r="B738" s="4">
        <v>2024</v>
      </c>
      <c r="C738" s="4" t="s">
        <v>241</v>
      </c>
      <c r="D738" s="1" t="s">
        <v>242</v>
      </c>
      <c r="E738" s="4" t="str">
        <f t="shared" si="245"/>
        <v>Xcel-MN</v>
      </c>
      <c r="F738" s="4" t="s">
        <v>306</v>
      </c>
      <c r="G738" s="4"/>
      <c r="H738" s="11" t="s">
        <v>518</v>
      </c>
      <c r="I738" s="4"/>
      <c r="J738" s="4" t="s">
        <v>155</v>
      </c>
      <c r="K738" s="5">
        <f t="shared" si="244"/>
        <v>0</v>
      </c>
      <c r="L738" s="5">
        <f t="shared" si="252"/>
        <v>0</v>
      </c>
      <c r="M738" s="8">
        <v>294738</v>
      </c>
      <c r="N738" s="8">
        <v>0</v>
      </c>
      <c r="O738" s="8">
        <f>SUMIFS(EIAwtransport!$J$2:$J$675,EIAwtransport!$E$2:$E$675,Program_data!$E738,EIAwtransport!$H$2:$H$675,Program_data!$F738,EIAwtransport!$I$2:$I$675,Program_data!O$2)</f>
        <v>0</v>
      </c>
      <c r="P738" s="5">
        <f>SUMIFS(EIAwtransport!$J$2:$J$675,EIAwtransport!$E$2:$E$675,Program_data!$E738,EIAwtransport!$H$2:$H$675,Program_data!$F738,EIAwtransport!$I$2:$I$675,Program_data!P$2)</f>
        <v>0</v>
      </c>
      <c r="Q738" s="5">
        <f>SUMIFS(EIAwtransport!$J$2:$J$675,EIAwtransport!$E$2:$E$675,Program_data!$E738,EIAwtransport!$H$2:$H$675,Program_data!$F738,EIAwtransport!$I$2:$I$675,Program_data!Q$2)</f>
        <v>0</v>
      </c>
      <c r="R738" s="8">
        <f>SUMIFS(EIAwtransport!$J$2:$J$675,EIAwtransport!$E$2:$E$675,Program_data!$E738,EIAwtransport!$I$2:$I$675,Program_data!R$2)</f>
        <v>526109473</v>
      </c>
      <c r="S738" s="5">
        <f>SUMIFS(EIAwtransport!$J$2:$J$675,EIAwtransport!$E$2:$E$675,Program_data!$E738,EIAwtransport!$I$2:$I$675,Program_data!S$2)</f>
        <v>80336233</v>
      </c>
      <c r="T738" s="5">
        <f>SUMIFS(EIAwtransport!$J$2:$J$675,EIAwtransport!$E$2:$E$675,Program_data!$E738,EIAwtransport!$I$2:$I$675,Program_data!T$2)</f>
        <v>474354</v>
      </c>
      <c r="U738" s="24">
        <f t="shared" si="249"/>
        <v>0</v>
      </c>
      <c r="V738" s="24">
        <f t="shared" si="255"/>
        <v>0</v>
      </c>
      <c r="W738" s="24">
        <f t="shared" si="250"/>
        <v>5.6022180767689765E-4</v>
      </c>
      <c r="X738" s="25">
        <f t="shared" si="251"/>
        <v>3.5413178882328104E-4</v>
      </c>
      <c r="Y738" s="8" t="str">
        <f t="shared" si="247"/>
        <v/>
      </c>
      <c r="Z738" s="27">
        <f t="shared" si="248"/>
        <v>2.426983723107555E-2</v>
      </c>
      <c r="AA738" s="27"/>
      <c r="AB738" s="40"/>
      <c r="AC738" s="56">
        <f t="shared" si="243"/>
        <v>0</v>
      </c>
      <c r="AE738" s="20">
        <f t="shared" si="253"/>
        <v>0</v>
      </c>
      <c r="AF738" s="20">
        <f t="shared" si="254"/>
        <v>710247788.55000007</v>
      </c>
      <c r="AG738">
        <f t="shared" si="239"/>
        <v>0</v>
      </c>
      <c r="AH738">
        <f t="shared" si="240"/>
        <v>0</v>
      </c>
      <c r="AI738">
        <f t="shared" si="241"/>
        <v>8473865856.8400002</v>
      </c>
    </row>
    <row r="739" spans="2:35" x14ac:dyDescent="0.25">
      <c r="B739" s="4">
        <v>2024</v>
      </c>
      <c r="C739" s="4" t="s">
        <v>241</v>
      </c>
      <c r="D739" s="1" t="s">
        <v>242</v>
      </c>
      <c r="E739" s="4" t="str">
        <f t="shared" si="245"/>
        <v>Xcel-MN</v>
      </c>
      <c r="F739" s="4" t="s">
        <v>306</v>
      </c>
      <c r="G739" s="4"/>
      <c r="H739" s="11" t="s">
        <v>519</v>
      </c>
      <c r="I739" s="4"/>
      <c r="J739" s="4" t="s">
        <v>155</v>
      </c>
      <c r="K739" s="5">
        <f t="shared" si="244"/>
        <v>0</v>
      </c>
      <c r="L739" s="5">
        <f t="shared" si="252"/>
        <v>0</v>
      </c>
      <c r="M739" s="8">
        <v>572364</v>
      </c>
      <c r="N739" s="8">
        <v>0</v>
      </c>
      <c r="O739" s="8">
        <f>SUMIFS(EIAwtransport!$J$2:$J$675,EIAwtransport!$E$2:$E$675,Program_data!$E739,EIAwtransport!$H$2:$H$675,Program_data!$F739,EIAwtransport!$I$2:$I$675,Program_data!O$2)</f>
        <v>0</v>
      </c>
      <c r="P739" s="5">
        <f>SUMIFS(EIAwtransport!$J$2:$J$675,EIAwtransport!$E$2:$E$675,Program_data!$E739,EIAwtransport!$H$2:$H$675,Program_data!$F739,EIAwtransport!$I$2:$I$675,Program_data!P$2)</f>
        <v>0</v>
      </c>
      <c r="Q739" s="5">
        <f>SUMIFS(EIAwtransport!$J$2:$J$675,EIAwtransport!$E$2:$E$675,Program_data!$E739,EIAwtransport!$H$2:$H$675,Program_data!$F739,EIAwtransport!$I$2:$I$675,Program_data!Q$2)</f>
        <v>0</v>
      </c>
      <c r="R739" s="8">
        <f>SUMIFS(EIAwtransport!$J$2:$J$675,EIAwtransport!$E$2:$E$675,Program_data!$E739,EIAwtransport!$I$2:$I$675,Program_data!R$2)</f>
        <v>526109473</v>
      </c>
      <c r="S739" s="5">
        <f>SUMIFS(EIAwtransport!$J$2:$J$675,EIAwtransport!$E$2:$E$675,Program_data!$E739,EIAwtransport!$I$2:$I$675,Program_data!S$2)</f>
        <v>80336233</v>
      </c>
      <c r="T739" s="5">
        <f>SUMIFS(EIAwtransport!$J$2:$J$675,EIAwtransport!$E$2:$E$675,Program_data!$E739,EIAwtransport!$I$2:$I$675,Program_data!T$2)</f>
        <v>474354</v>
      </c>
      <c r="U739" s="24">
        <f t="shared" si="249"/>
        <v>0</v>
      </c>
      <c r="V739" s="24">
        <f t="shared" si="255"/>
        <v>0</v>
      </c>
      <c r="W739" s="24">
        <f t="shared" si="250"/>
        <v>1.0879180652958896E-3</v>
      </c>
      <c r="X739" s="25">
        <f t="shared" si="251"/>
        <v>6.8770327266266449E-4</v>
      </c>
      <c r="Y739" s="8" t="str">
        <f t="shared" si="247"/>
        <v/>
      </c>
      <c r="Z739" s="27">
        <f t="shared" si="248"/>
        <v>4.7130607919329458E-2</v>
      </c>
      <c r="AA739" s="27"/>
      <c r="AB739" s="40"/>
      <c r="AC739" s="56">
        <f t="shared" si="243"/>
        <v>0</v>
      </c>
      <c r="AE739" s="20">
        <f t="shared" si="253"/>
        <v>0</v>
      </c>
      <c r="AF739" s="20">
        <f t="shared" si="254"/>
        <v>710247788.55000007</v>
      </c>
      <c r="AG739">
        <f t="shared" si="239"/>
        <v>0</v>
      </c>
      <c r="AH739">
        <f t="shared" si="240"/>
        <v>0</v>
      </c>
      <c r="AI739">
        <f t="shared" si="241"/>
        <v>8473865856.8400002</v>
      </c>
    </row>
    <row r="740" spans="2:35" x14ac:dyDescent="0.25">
      <c r="B740" s="4">
        <v>2024</v>
      </c>
      <c r="C740" s="4" t="s">
        <v>241</v>
      </c>
      <c r="D740" s="1" t="s">
        <v>242</v>
      </c>
      <c r="E740" s="4" t="str">
        <f t="shared" si="245"/>
        <v>Xcel-MN</v>
      </c>
      <c r="F740" s="4" t="s">
        <v>306</v>
      </c>
      <c r="G740" s="4"/>
      <c r="H740" s="11" t="s">
        <v>520</v>
      </c>
      <c r="I740" s="4"/>
      <c r="J740" s="4" t="s">
        <v>155</v>
      </c>
      <c r="K740" s="5">
        <f t="shared" si="244"/>
        <v>0</v>
      </c>
      <c r="L740" s="5">
        <f t="shared" si="252"/>
        <v>0</v>
      </c>
      <c r="M740" s="8">
        <v>77934</v>
      </c>
      <c r="N740" s="8">
        <v>0</v>
      </c>
      <c r="O740" s="8">
        <f>SUMIFS(EIAwtransport!$J$2:$J$675,EIAwtransport!$E$2:$E$675,Program_data!$E740,EIAwtransport!$H$2:$H$675,Program_data!$F740,EIAwtransport!$I$2:$I$675,Program_data!O$2)</f>
        <v>0</v>
      </c>
      <c r="P740" s="5">
        <f>SUMIFS(EIAwtransport!$J$2:$J$675,EIAwtransport!$E$2:$E$675,Program_data!$E740,EIAwtransport!$H$2:$H$675,Program_data!$F740,EIAwtransport!$I$2:$I$675,Program_data!P$2)</f>
        <v>0</v>
      </c>
      <c r="Q740" s="5">
        <f>SUMIFS(EIAwtransport!$J$2:$J$675,EIAwtransport!$E$2:$E$675,Program_data!$E740,EIAwtransport!$H$2:$H$675,Program_data!$F740,EIAwtransport!$I$2:$I$675,Program_data!Q$2)</f>
        <v>0</v>
      </c>
      <c r="R740" s="8">
        <f>SUMIFS(EIAwtransport!$J$2:$J$675,EIAwtransport!$E$2:$E$675,Program_data!$E740,EIAwtransport!$I$2:$I$675,Program_data!R$2)</f>
        <v>526109473</v>
      </c>
      <c r="S740" s="5">
        <f>SUMIFS(EIAwtransport!$J$2:$J$675,EIAwtransport!$E$2:$E$675,Program_data!$E740,EIAwtransport!$I$2:$I$675,Program_data!S$2)</f>
        <v>80336233</v>
      </c>
      <c r="T740" s="5">
        <f>SUMIFS(EIAwtransport!$J$2:$J$675,EIAwtransport!$E$2:$E$675,Program_data!$E740,EIAwtransport!$I$2:$I$675,Program_data!T$2)</f>
        <v>474354</v>
      </c>
      <c r="U740" s="24">
        <f t="shared" si="249"/>
        <v>0</v>
      </c>
      <c r="V740" s="24">
        <f t="shared" si="255"/>
        <v>0</v>
      </c>
      <c r="W740" s="24">
        <f t="shared" si="250"/>
        <v>1.4813266819850628E-4</v>
      </c>
      <c r="X740" s="25">
        <f t="shared" si="251"/>
        <v>9.3638780307098464E-5</v>
      </c>
      <c r="Y740" s="8" t="str">
        <f t="shared" si="247"/>
        <v/>
      </c>
      <c r="Z740" s="27">
        <f t="shared" si="248"/>
        <v>6.4173791461116037E-3</v>
      </c>
      <c r="AA740" s="27"/>
      <c r="AB740" s="40"/>
      <c r="AC740" s="56">
        <f t="shared" si="243"/>
        <v>0</v>
      </c>
      <c r="AE740" s="20">
        <f t="shared" si="253"/>
        <v>0</v>
      </c>
      <c r="AF740" s="20">
        <f t="shared" si="254"/>
        <v>710247788.55000007</v>
      </c>
      <c r="AG740">
        <f t="shared" si="239"/>
        <v>0</v>
      </c>
      <c r="AH740">
        <f t="shared" si="240"/>
        <v>0</v>
      </c>
      <c r="AI740">
        <f t="shared" si="241"/>
        <v>8473865856.8400002</v>
      </c>
    </row>
    <row r="741" spans="2:35" x14ac:dyDescent="0.25">
      <c r="B741" s="4">
        <v>2024</v>
      </c>
      <c r="C741" s="4" t="s">
        <v>241</v>
      </c>
      <c r="D741" s="1" t="s">
        <v>242</v>
      </c>
      <c r="E741" s="4" t="str">
        <f t="shared" si="245"/>
        <v>Xcel-MN</v>
      </c>
      <c r="F741" s="4" t="s">
        <v>306</v>
      </c>
      <c r="G741" s="4"/>
      <c r="H741" s="11" t="s">
        <v>521</v>
      </c>
      <c r="I741" s="4"/>
      <c r="J741" s="4" t="s">
        <v>155</v>
      </c>
      <c r="K741" s="5">
        <f t="shared" si="244"/>
        <v>0</v>
      </c>
      <c r="L741" s="5">
        <f t="shared" si="252"/>
        <v>0</v>
      </c>
      <c r="M741" s="8">
        <v>46725</v>
      </c>
      <c r="N741" s="8">
        <v>0</v>
      </c>
      <c r="O741" s="8">
        <f>SUMIFS(EIAwtransport!$J$2:$J$675,EIAwtransport!$E$2:$E$675,Program_data!$E741,EIAwtransport!$H$2:$H$675,Program_data!$F741,EIAwtransport!$I$2:$I$675,Program_data!O$2)</f>
        <v>0</v>
      </c>
      <c r="P741" s="5">
        <f>SUMIFS(EIAwtransport!$J$2:$J$675,EIAwtransport!$E$2:$E$675,Program_data!$E741,EIAwtransport!$H$2:$H$675,Program_data!$F741,EIAwtransport!$I$2:$I$675,Program_data!P$2)</f>
        <v>0</v>
      </c>
      <c r="Q741" s="5">
        <f>SUMIFS(EIAwtransport!$J$2:$J$675,EIAwtransport!$E$2:$E$675,Program_data!$E741,EIAwtransport!$H$2:$H$675,Program_data!$F741,EIAwtransport!$I$2:$I$675,Program_data!Q$2)</f>
        <v>0</v>
      </c>
      <c r="R741" s="8">
        <f>SUMIFS(EIAwtransport!$J$2:$J$675,EIAwtransport!$E$2:$E$675,Program_data!$E741,EIAwtransport!$I$2:$I$675,Program_data!R$2)</f>
        <v>526109473</v>
      </c>
      <c r="S741" s="5">
        <f>SUMIFS(EIAwtransport!$J$2:$J$675,EIAwtransport!$E$2:$E$675,Program_data!$E741,EIAwtransport!$I$2:$I$675,Program_data!S$2)</f>
        <v>80336233</v>
      </c>
      <c r="T741" s="5">
        <f>SUMIFS(EIAwtransport!$J$2:$J$675,EIAwtransport!$E$2:$E$675,Program_data!$E741,EIAwtransport!$I$2:$I$675,Program_data!T$2)</f>
        <v>474354</v>
      </c>
      <c r="U741" s="24">
        <f t="shared" si="249"/>
        <v>0</v>
      </c>
      <c r="V741" s="24">
        <f t="shared" si="255"/>
        <v>0</v>
      </c>
      <c r="W741" s="24">
        <f t="shared" si="250"/>
        <v>8.8812314542756766E-5</v>
      </c>
      <c r="X741" s="25">
        <f t="shared" si="251"/>
        <v>5.6140734594004869E-5</v>
      </c>
      <c r="Y741" s="8" t="str">
        <f t="shared" si="247"/>
        <v/>
      </c>
      <c r="Z741" s="27">
        <f t="shared" si="248"/>
        <v>3.8475125183111952E-3</v>
      </c>
      <c r="AA741" s="27"/>
      <c r="AB741" s="40"/>
      <c r="AC741" s="56">
        <f t="shared" si="243"/>
        <v>0</v>
      </c>
      <c r="AE741" s="20">
        <f t="shared" si="253"/>
        <v>0</v>
      </c>
      <c r="AF741" s="20">
        <f t="shared" si="254"/>
        <v>710247788.55000007</v>
      </c>
      <c r="AG741">
        <f t="shared" si="239"/>
        <v>0</v>
      </c>
      <c r="AH741">
        <f t="shared" si="240"/>
        <v>0</v>
      </c>
      <c r="AI741">
        <f t="shared" si="241"/>
        <v>8473865856.8400002</v>
      </c>
    </row>
    <row r="742" spans="2:35" x14ac:dyDescent="0.25">
      <c r="B742" s="4">
        <v>2024</v>
      </c>
      <c r="C742" s="4" t="s">
        <v>241</v>
      </c>
      <c r="D742" s="1" t="s">
        <v>242</v>
      </c>
      <c r="E742" s="4" t="str">
        <f t="shared" si="245"/>
        <v>Xcel-MN</v>
      </c>
      <c r="F742" s="4" t="s">
        <v>135</v>
      </c>
      <c r="G742" s="4"/>
      <c r="H742" s="11" t="s">
        <v>522</v>
      </c>
      <c r="I742" s="4"/>
      <c r="J742" s="4" t="s">
        <v>21</v>
      </c>
      <c r="K742" s="5">
        <f t="shared" si="244"/>
        <v>106760</v>
      </c>
      <c r="L742" s="5">
        <f t="shared" si="252"/>
        <v>106760</v>
      </c>
      <c r="M742" s="8">
        <v>99099</v>
      </c>
      <c r="N742" s="8">
        <v>62522</v>
      </c>
      <c r="O742" s="8">
        <f>SUMIFS(EIAwtransport!$J$2:$J$675,EIAwtransport!$E$2:$E$675,Program_data!$E742,EIAwtransport!$H$2:$H$675,Program_data!$F742,EIAwtransport!$I$2:$I$675,Program_data!O$2)</f>
        <v>306619750</v>
      </c>
      <c r="P742" s="5">
        <f>SUMIFS(EIAwtransport!$J$2:$J$675,EIAwtransport!$E$2:$E$675,Program_data!$E742,EIAwtransport!$H$2:$H$675,Program_data!$F742,EIAwtransport!$I$2:$I$675,Program_data!P$2)</f>
        <v>35286911</v>
      </c>
      <c r="Q742" s="5">
        <f>SUMIFS(EIAwtransport!$J$2:$J$675,EIAwtransport!$E$2:$E$675,Program_data!$E742,EIAwtransport!$H$2:$H$675,Program_data!$F742,EIAwtransport!$I$2:$I$675,Program_data!Q$2)</f>
        <v>438247</v>
      </c>
      <c r="R742" s="8">
        <f>SUMIFS(EIAwtransport!$J$2:$J$675,EIAwtransport!$E$2:$E$675,Program_data!$E742,EIAwtransport!$I$2:$I$675,Program_data!R$2)</f>
        <v>526109473</v>
      </c>
      <c r="S742" s="5">
        <f>SUMIFS(EIAwtransport!$J$2:$J$675,EIAwtransport!$E$2:$E$675,Program_data!$E742,EIAwtransport!$I$2:$I$675,Program_data!S$2)</f>
        <v>80336233</v>
      </c>
      <c r="T742" s="5">
        <f>SUMIFS(EIAwtransport!$J$2:$J$675,EIAwtransport!$E$2:$E$675,Program_data!$E742,EIAwtransport!$I$2:$I$675,Program_data!T$2)</f>
        <v>474354</v>
      </c>
      <c r="U742" s="24">
        <f t="shared" si="249"/>
        <v>1.2827361851805156E-4</v>
      </c>
      <c r="V742" s="24">
        <f t="shared" si="255"/>
        <v>1.2827361851805156E-4</v>
      </c>
      <c r="W742" s="24">
        <f t="shared" si="250"/>
        <v>1.8836193812461538E-4</v>
      </c>
      <c r="X742" s="25">
        <f t="shared" si="251"/>
        <v>1.1906882092094784E-4</v>
      </c>
      <c r="Y742" s="8">
        <f t="shared" si="247"/>
        <v>2.1820571876500043E-2</v>
      </c>
      <c r="Z742" s="27">
        <f t="shared" si="248"/>
        <v>8.1601849770384406E-3</v>
      </c>
      <c r="AA742" s="27"/>
      <c r="AB742" s="40">
        <v>10676</v>
      </c>
      <c r="AC742" s="56">
        <f t="shared" si="243"/>
        <v>3.7006988726144643E-3</v>
      </c>
      <c r="AE742" s="20">
        <f t="shared" si="253"/>
        <v>84404.700000000012</v>
      </c>
      <c r="AF742" s="20">
        <f t="shared" si="254"/>
        <v>710247788.55000007</v>
      </c>
      <c r="AG742">
        <f t="shared" si="239"/>
        <v>11261044.800000001</v>
      </c>
      <c r="AH742">
        <f t="shared" si="240"/>
        <v>11261044.800000001</v>
      </c>
      <c r="AI742">
        <f t="shared" si="241"/>
        <v>8473865856.8400002</v>
      </c>
    </row>
    <row r="743" spans="2:35" x14ac:dyDescent="0.25">
      <c r="B743" s="4">
        <v>2024</v>
      </c>
      <c r="C743" s="4" t="s">
        <v>241</v>
      </c>
      <c r="D743" s="1" t="s">
        <v>242</v>
      </c>
      <c r="E743" s="4" t="str">
        <f t="shared" si="245"/>
        <v>Xcel-MN</v>
      </c>
      <c r="F743" s="4" t="s">
        <v>306</v>
      </c>
      <c r="G743" s="4"/>
      <c r="H743" s="11" t="s">
        <v>523</v>
      </c>
      <c r="I743" s="4"/>
      <c r="J743" s="4" t="s">
        <v>155</v>
      </c>
      <c r="K743" s="5">
        <f t="shared" si="244"/>
        <v>0</v>
      </c>
      <c r="L743" s="5">
        <f t="shared" si="252"/>
        <v>0</v>
      </c>
      <c r="M743" s="8">
        <v>21877</v>
      </c>
      <c r="N743" s="8">
        <v>0</v>
      </c>
      <c r="O743" s="8">
        <f>SUMIFS(EIAwtransport!$J$2:$J$675,EIAwtransport!$E$2:$E$675,Program_data!$E743,EIAwtransport!$H$2:$H$675,Program_data!$F743,EIAwtransport!$I$2:$I$675,Program_data!O$2)</f>
        <v>0</v>
      </c>
      <c r="P743" s="5">
        <f>SUMIFS(EIAwtransport!$J$2:$J$675,EIAwtransport!$E$2:$E$675,Program_data!$E743,EIAwtransport!$H$2:$H$675,Program_data!$F743,EIAwtransport!$I$2:$I$675,Program_data!P$2)</f>
        <v>0</v>
      </c>
      <c r="Q743" s="5">
        <f>SUMIFS(EIAwtransport!$J$2:$J$675,EIAwtransport!$E$2:$E$675,Program_data!$E743,EIAwtransport!$H$2:$H$675,Program_data!$F743,EIAwtransport!$I$2:$I$675,Program_data!Q$2)</f>
        <v>0</v>
      </c>
      <c r="R743" s="8">
        <f>SUMIFS(EIAwtransport!$J$2:$J$675,EIAwtransport!$E$2:$E$675,Program_data!$E743,EIAwtransport!$I$2:$I$675,Program_data!R$2)</f>
        <v>526109473</v>
      </c>
      <c r="S743" s="5">
        <f>SUMIFS(EIAwtransport!$J$2:$J$675,EIAwtransport!$E$2:$E$675,Program_data!$E743,EIAwtransport!$I$2:$I$675,Program_data!S$2)</f>
        <v>80336233</v>
      </c>
      <c r="T743" s="5">
        <f>SUMIFS(EIAwtransport!$J$2:$J$675,EIAwtransport!$E$2:$E$675,Program_data!$E743,EIAwtransport!$I$2:$I$675,Program_data!T$2)</f>
        <v>474354</v>
      </c>
      <c r="U743" s="24">
        <f t="shared" si="249"/>
        <v>0</v>
      </c>
      <c r="V743" s="24">
        <f t="shared" si="255"/>
        <v>0</v>
      </c>
      <c r="W743" s="24">
        <f t="shared" si="250"/>
        <v>4.1582600433427285E-5</v>
      </c>
      <c r="X743" s="25">
        <f t="shared" si="251"/>
        <v>2.6285518474329472E-5</v>
      </c>
      <c r="Y743" s="8" t="str">
        <f t="shared" si="247"/>
        <v/>
      </c>
      <c r="Z743" s="27">
        <f t="shared" si="248"/>
        <v>1.8014345931106263E-3</v>
      </c>
      <c r="AA743" s="27"/>
      <c r="AB743" s="40"/>
      <c r="AC743" s="56">
        <f t="shared" si="243"/>
        <v>0</v>
      </c>
      <c r="AE743" s="20">
        <f t="shared" si="253"/>
        <v>0</v>
      </c>
      <c r="AF743" s="20">
        <f t="shared" si="254"/>
        <v>710247788.55000007</v>
      </c>
      <c r="AG743">
        <f t="shared" si="239"/>
        <v>0</v>
      </c>
      <c r="AH743">
        <f t="shared" si="240"/>
        <v>0</v>
      </c>
      <c r="AI743">
        <f t="shared" si="241"/>
        <v>8473865856.8400002</v>
      </c>
    </row>
    <row r="744" spans="2:35" x14ac:dyDescent="0.25">
      <c r="B744" s="4">
        <v>2024</v>
      </c>
      <c r="C744" s="4" t="s">
        <v>49</v>
      </c>
      <c r="D744" s="1" t="s">
        <v>86</v>
      </c>
      <c r="E744" s="4" t="str">
        <f t="shared" si="245"/>
        <v>Avista-WA</v>
      </c>
      <c r="F744" s="4" t="s">
        <v>135</v>
      </c>
      <c r="G744" s="4"/>
      <c r="H744" s="11" t="s">
        <v>524</v>
      </c>
      <c r="I744" s="4"/>
      <c r="J744" s="4" t="s">
        <v>21</v>
      </c>
      <c r="K744" s="5">
        <v>245266</v>
      </c>
      <c r="L744" s="5">
        <f t="shared" si="252"/>
        <v>245266</v>
      </c>
      <c r="M744" s="8">
        <v>1957130</v>
      </c>
      <c r="N744" s="8">
        <v>1369991</v>
      </c>
      <c r="O744" s="8">
        <f>SUMIFS(EIAwtransport!$J$2:$J$675,EIAwtransport!$E$2:$E$675,Program_data!$E744,EIAwtransport!$H$2:$H$675,Program_data!$F744,EIAwtransport!$I$2:$I$675,Program_data!O$2)</f>
        <v>108498566</v>
      </c>
      <c r="P744" s="5">
        <f>SUMIFS(EIAwtransport!$J$2:$J$675,EIAwtransport!$E$2:$E$675,Program_data!$E744,EIAwtransport!$H$2:$H$675,Program_data!$F744,EIAwtransport!$I$2:$I$675,Program_data!P$2)</f>
        <v>10808791</v>
      </c>
      <c r="Q744" s="5">
        <f>SUMIFS(EIAwtransport!$J$2:$J$675,EIAwtransport!$E$2:$E$675,Program_data!$E744,EIAwtransport!$H$2:$H$675,Program_data!$F744,EIAwtransport!$I$2:$I$675,Program_data!Q$2)</f>
        <v>158391</v>
      </c>
      <c r="R744" s="8">
        <f>SUMIFS(EIAwtransport!$J$2:$J$675,EIAwtransport!$E$2:$E$675,Program_data!$E744,EIAwtransport!$I$2:$I$675,Program_data!R$2)</f>
        <v>165278369</v>
      </c>
      <c r="S744" s="5">
        <f>SUMIFS(EIAwtransport!$J$2:$J$675,EIAwtransport!$E$2:$E$675,Program_data!$E744,EIAwtransport!$I$2:$I$675,Program_data!S$2)</f>
        <v>25379156</v>
      </c>
      <c r="T744" s="5">
        <f>SUMIFS(EIAwtransport!$J$2:$J$675,EIAwtransport!$E$2:$E$675,Program_data!$E744,EIAwtransport!$I$2:$I$675,Program_data!T$2)</f>
        <v>173721</v>
      </c>
      <c r="U744" s="104">
        <f t="shared" si="249"/>
        <v>9.3282551729948491E-4</v>
      </c>
      <c r="V744" s="104">
        <f t="shared" si="255"/>
        <v>9.3282551729948491E-4</v>
      </c>
      <c r="W744" s="104">
        <f t="shared" si="250"/>
        <v>1.1841416465091086E-2</v>
      </c>
      <c r="X744" s="105">
        <f t="shared" si="251"/>
        <v>7.4435951361882229E-3</v>
      </c>
      <c r="Y744" s="8">
        <f t="shared" si="247"/>
        <v>4.5266632127228483</v>
      </c>
      <c r="Z744" s="27">
        <f t="shared" si="248"/>
        <v>2.0538024828686261</v>
      </c>
      <c r="AA744" s="27"/>
      <c r="AB744" s="40"/>
      <c r="AC744" s="56">
        <f t="shared" si="243"/>
        <v>2.8505997317066198E-2</v>
      </c>
      <c r="AE744" s="20">
        <f t="shared" si="253"/>
        <v>1849487.85</v>
      </c>
      <c r="AF744" s="20">
        <f t="shared" si="254"/>
        <v>223125798.15000001</v>
      </c>
      <c r="AG744">
        <f t="shared" si="239"/>
        <v>25870657.68</v>
      </c>
      <c r="AH744">
        <f t="shared" si="240"/>
        <v>25870657.68</v>
      </c>
      <c r="AI744">
        <f t="shared" si="241"/>
        <v>2676993374.8800001</v>
      </c>
    </row>
    <row r="745" spans="2:35" x14ac:dyDescent="0.25">
      <c r="B745" s="4">
        <v>2024</v>
      </c>
      <c r="C745" s="4" t="s">
        <v>49</v>
      </c>
      <c r="D745" s="1" t="s">
        <v>86</v>
      </c>
      <c r="E745" s="4" t="str">
        <f t="shared" si="245"/>
        <v>Avista-WA</v>
      </c>
      <c r="F745" s="4" t="s">
        <v>135</v>
      </c>
      <c r="G745" s="4"/>
      <c r="H745" s="11" t="s">
        <v>525</v>
      </c>
      <c r="I745" s="4"/>
      <c r="J745" s="4" t="s">
        <v>21</v>
      </c>
      <c r="K745" s="5">
        <v>144975</v>
      </c>
      <c r="L745" s="5">
        <f t="shared" si="252"/>
        <v>144975</v>
      </c>
      <c r="M745" s="8">
        <v>2378407</v>
      </c>
      <c r="N745" s="8">
        <v>1664885</v>
      </c>
      <c r="O745" s="8">
        <f>SUMIFS(EIAwtransport!$J$2:$J$675,EIAwtransport!$E$2:$E$675,Program_data!$E745,EIAwtransport!$H$2:$H$675,Program_data!$F745,EIAwtransport!$I$2:$I$675,Program_data!O$2)</f>
        <v>108498566</v>
      </c>
      <c r="P745" s="5">
        <f>SUMIFS(EIAwtransport!$J$2:$J$675,EIAwtransport!$E$2:$E$675,Program_data!$E745,EIAwtransport!$H$2:$H$675,Program_data!$F745,EIAwtransport!$I$2:$I$675,Program_data!P$2)</f>
        <v>10808791</v>
      </c>
      <c r="Q745" s="5">
        <f>SUMIFS(EIAwtransport!$J$2:$J$675,EIAwtransport!$E$2:$E$675,Program_data!$E745,EIAwtransport!$H$2:$H$675,Program_data!$F745,EIAwtransport!$I$2:$I$675,Program_data!Q$2)</f>
        <v>158391</v>
      </c>
      <c r="R745" s="8">
        <f>SUMIFS(EIAwtransport!$J$2:$J$675,EIAwtransport!$E$2:$E$675,Program_data!$E745,EIAwtransport!$I$2:$I$675,Program_data!R$2)</f>
        <v>165278369</v>
      </c>
      <c r="S745" s="5">
        <f>SUMIFS(EIAwtransport!$J$2:$J$675,EIAwtransport!$E$2:$E$675,Program_data!$E745,EIAwtransport!$I$2:$I$675,Program_data!S$2)</f>
        <v>25379156</v>
      </c>
      <c r="T745" s="5">
        <f>SUMIFS(EIAwtransport!$J$2:$J$675,EIAwtransport!$E$2:$E$675,Program_data!$E745,EIAwtransport!$I$2:$I$675,Program_data!T$2)</f>
        <v>173721</v>
      </c>
      <c r="U745" s="104">
        <f t="shared" si="249"/>
        <v>5.5138657364042635E-4</v>
      </c>
      <c r="V745" s="104">
        <f t="shared" si="255"/>
        <v>5.5138657364042635E-4</v>
      </c>
      <c r="W745" s="104">
        <f t="shared" si="250"/>
        <v>1.4390310204476909E-2</v>
      </c>
      <c r="X745" s="105">
        <f t="shared" si="251"/>
        <v>9.0458471215892778E-3</v>
      </c>
      <c r="Y745" s="8">
        <f t="shared" si="247"/>
        <v>5.5010384960541776</v>
      </c>
      <c r="Z745" s="27">
        <f t="shared" si="248"/>
        <v>2.4958884702968738</v>
      </c>
      <c r="AA745" s="27"/>
      <c r="AB745" s="40"/>
      <c r="AC745" s="56">
        <f t="shared" si="243"/>
        <v>1.6849693642990354E-2</v>
      </c>
      <c r="AE745" s="20">
        <f t="shared" si="253"/>
        <v>2247594.75</v>
      </c>
      <c r="AF745" s="20">
        <f t="shared" si="254"/>
        <v>223125798.15000001</v>
      </c>
      <c r="AG745">
        <f t="shared" si="239"/>
        <v>15291963</v>
      </c>
      <c r="AH745">
        <f t="shared" si="240"/>
        <v>15291963</v>
      </c>
      <c r="AI745">
        <f t="shared" si="241"/>
        <v>2676993374.8800001</v>
      </c>
    </row>
    <row r="746" spans="2:35" x14ac:dyDescent="0.25">
      <c r="B746" s="4">
        <v>2024</v>
      </c>
      <c r="C746" s="4" t="s">
        <v>49</v>
      </c>
      <c r="D746" s="1" t="s">
        <v>86</v>
      </c>
      <c r="E746" s="4" t="str">
        <f t="shared" si="245"/>
        <v>Avista-WA</v>
      </c>
      <c r="F746" s="4" t="s">
        <v>135</v>
      </c>
      <c r="G746" s="4"/>
      <c r="H746" s="11" t="s">
        <v>526</v>
      </c>
      <c r="I746" s="4"/>
      <c r="J746" s="4" t="s">
        <v>32</v>
      </c>
      <c r="K746" s="5">
        <v>16591</v>
      </c>
      <c r="L746" s="5">
        <f t="shared" si="252"/>
        <v>16591</v>
      </c>
      <c r="M746" s="8">
        <v>94807</v>
      </c>
      <c r="N746" s="8">
        <v>66365</v>
      </c>
      <c r="O746" s="8">
        <f>SUMIFS(EIAwtransport!$J$2:$J$675,EIAwtransport!$E$2:$E$675,Program_data!$E746,EIAwtransport!$H$2:$H$675,Program_data!$F746,EIAwtransport!$I$2:$I$675,Program_data!O$2)</f>
        <v>108498566</v>
      </c>
      <c r="P746" s="5">
        <f>SUMIFS(EIAwtransport!$J$2:$J$675,EIAwtransport!$E$2:$E$675,Program_data!$E746,EIAwtransport!$H$2:$H$675,Program_data!$F746,EIAwtransport!$I$2:$I$675,Program_data!P$2)</f>
        <v>10808791</v>
      </c>
      <c r="Q746" s="5">
        <f>SUMIFS(EIAwtransport!$J$2:$J$675,EIAwtransport!$E$2:$E$675,Program_data!$E746,EIAwtransport!$H$2:$H$675,Program_data!$F746,EIAwtransport!$I$2:$I$675,Program_data!Q$2)</f>
        <v>158391</v>
      </c>
      <c r="R746" s="8">
        <f>SUMIFS(EIAwtransport!$J$2:$J$675,EIAwtransport!$E$2:$E$675,Program_data!$E746,EIAwtransport!$I$2:$I$675,Program_data!R$2)</f>
        <v>165278369</v>
      </c>
      <c r="S746" s="5">
        <f>SUMIFS(EIAwtransport!$J$2:$J$675,EIAwtransport!$E$2:$E$675,Program_data!$E746,EIAwtransport!$I$2:$I$675,Program_data!S$2)</f>
        <v>25379156</v>
      </c>
      <c r="T746" s="5">
        <f>SUMIFS(EIAwtransport!$J$2:$J$675,EIAwtransport!$E$2:$E$675,Program_data!$E746,EIAwtransport!$I$2:$I$675,Program_data!T$2)</f>
        <v>173721</v>
      </c>
      <c r="U746" s="104">
        <f t="shared" si="249"/>
        <v>6.3100911490038383E-5</v>
      </c>
      <c r="V746" s="104">
        <f t="shared" si="255"/>
        <v>6.3100911490038383E-5</v>
      </c>
      <c r="W746" s="104">
        <f t="shared" si="250"/>
        <v>5.7362013295278826E-4</v>
      </c>
      <c r="X746" s="105">
        <f t="shared" si="251"/>
        <v>3.6058152707106676E-4</v>
      </c>
      <c r="Y746" s="8">
        <f t="shared" si="247"/>
        <v>0.21927994523031946</v>
      </c>
      <c r="Z746" s="27">
        <f t="shared" si="248"/>
        <v>9.9489994018448366E-2</v>
      </c>
      <c r="AA746" s="27"/>
      <c r="AB746" s="40"/>
      <c r="AC746" s="56">
        <f t="shared" si="243"/>
        <v>1.9282860302179889E-3</v>
      </c>
      <c r="AE746" s="20">
        <f t="shared" si="253"/>
        <v>89592.75</v>
      </c>
      <c r="AF746" s="20">
        <f t="shared" si="254"/>
        <v>223125798.15000001</v>
      </c>
      <c r="AG746">
        <f t="shared" si="239"/>
        <v>1750018.6800000002</v>
      </c>
      <c r="AH746">
        <f t="shared" si="240"/>
        <v>1750018.6800000002</v>
      </c>
      <c r="AI746">
        <f t="shared" si="241"/>
        <v>2676993374.8800001</v>
      </c>
    </row>
    <row r="747" spans="2:35" x14ac:dyDescent="0.25">
      <c r="B747" s="4">
        <v>2024</v>
      </c>
      <c r="C747" s="4" t="s">
        <v>49</v>
      </c>
      <c r="D747" s="1" t="s">
        <v>86</v>
      </c>
      <c r="E747" s="4" t="str">
        <f t="shared" si="245"/>
        <v>Avista-WA</v>
      </c>
      <c r="F747" s="4" t="s">
        <v>135</v>
      </c>
      <c r="G747" s="4"/>
      <c r="H747" s="11" t="s">
        <v>527</v>
      </c>
      <c r="I747" s="4"/>
      <c r="J747" s="4" t="s">
        <v>21</v>
      </c>
      <c r="K747" s="5">
        <v>8788</v>
      </c>
      <c r="L747" s="5">
        <f t="shared" si="252"/>
        <v>8788</v>
      </c>
      <c r="M747" s="8">
        <v>294286</v>
      </c>
      <c r="N747" s="8">
        <v>206000</v>
      </c>
      <c r="O747" s="8">
        <f>SUMIFS(EIAwtransport!$J$2:$J$675,EIAwtransport!$E$2:$E$675,Program_data!$E747,EIAwtransport!$H$2:$H$675,Program_data!$F747,EIAwtransport!$I$2:$I$675,Program_data!O$2)</f>
        <v>108498566</v>
      </c>
      <c r="P747" s="5">
        <f>SUMIFS(EIAwtransport!$J$2:$J$675,EIAwtransport!$E$2:$E$675,Program_data!$E747,EIAwtransport!$H$2:$H$675,Program_data!$F747,EIAwtransport!$I$2:$I$675,Program_data!P$2)</f>
        <v>10808791</v>
      </c>
      <c r="Q747" s="5">
        <f>SUMIFS(EIAwtransport!$J$2:$J$675,EIAwtransport!$E$2:$E$675,Program_data!$E747,EIAwtransport!$H$2:$H$675,Program_data!$F747,EIAwtransport!$I$2:$I$675,Program_data!Q$2)</f>
        <v>158391</v>
      </c>
      <c r="R747" s="8">
        <f>SUMIFS(EIAwtransport!$J$2:$J$675,EIAwtransport!$E$2:$E$675,Program_data!$E747,EIAwtransport!$I$2:$I$675,Program_data!R$2)</f>
        <v>165278369</v>
      </c>
      <c r="S747" s="5">
        <f>SUMIFS(EIAwtransport!$J$2:$J$675,EIAwtransport!$E$2:$E$675,Program_data!$E747,EIAwtransport!$I$2:$I$675,Program_data!S$2)</f>
        <v>25379156</v>
      </c>
      <c r="T747" s="5">
        <f>SUMIFS(EIAwtransport!$J$2:$J$675,EIAwtransport!$E$2:$E$675,Program_data!$E747,EIAwtransport!$I$2:$I$675,Program_data!T$2)</f>
        <v>173721</v>
      </c>
      <c r="U747" s="104">
        <f t="shared" si="249"/>
        <v>3.3423591716861993E-5</v>
      </c>
      <c r="V747" s="104">
        <f t="shared" si="255"/>
        <v>3.3423591716861993E-5</v>
      </c>
      <c r="W747" s="104">
        <f t="shared" si="250"/>
        <v>1.7805475803067733E-3</v>
      </c>
      <c r="X747" s="105">
        <f t="shared" si="251"/>
        <v>1.1192643504766098E-3</v>
      </c>
      <c r="Y747" s="8">
        <f t="shared" si="247"/>
        <v>0.68065668106837884</v>
      </c>
      <c r="Z747" s="27">
        <f t="shared" si="248"/>
        <v>0.30882226396482426</v>
      </c>
      <c r="AA747" s="27"/>
      <c r="AB747" s="40"/>
      <c r="AC747" s="56">
        <f t="shared" si="243"/>
        <v>1.0213837401938212E-3</v>
      </c>
      <c r="AE747" s="20">
        <f t="shared" si="253"/>
        <v>278100</v>
      </c>
      <c r="AF747" s="20">
        <f t="shared" si="254"/>
        <v>223125798.15000001</v>
      </c>
      <c r="AG747">
        <f t="shared" si="239"/>
        <v>926958.24</v>
      </c>
      <c r="AH747">
        <f t="shared" si="240"/>
        <v>926958.24</v>
      </c>
      <c r="AI747">
        <f t="shared" si="241"/>
        <v>2676993374.8800001</v>
      </c>
    </row>
    <row r="748" spans="2:35" x14ac:dyDescent="0.25">
      <c r="B748" s="4">
        <v>2024</v>
      </c>
      <c r="C748" s="4" t="s">
        <v>49</v>
      </c>
      <c r="D748" s="1" t="s">
        <v>86</v>
      </c>
      <c r="E748" s="4" t="str">
        <f t="shared" si="245"/>
        <v>Avista-WA</v>
      </c>
      <c r="F748" s="4" t="s">
        <v>135</v>
      </c>
      <c r="G748" s="4"/>
      <c r="H748" s="11" t="s">
        <v>483</v>
      </c>
      <c r="I748" s="4"/>
      <c r="J748" s="4" t="s">
        <v>21</v>
      </c>
      <c r="K748" s="5">
        <v>16736</v>
      </c>
      <c r="L748" s="5">
        <f t="shared" si="252"/>
        <v>16736</v>
      </c>
      <c r="M748" s="8">
        <v>153016</v>
      </c>
      <c r="N748" s="8">
        <v>107111</v>
      </c>
      <c r="O748" s="8">
        <f>SUMIFS(EIAwtransport!$J$2:$J$675,EIAwtransport!$E$2:$E$675,Program_data!$E748,EIAwtransport!$H$2:$H$675,Program_data!$F748,EIAwtransport!$I$2:$I$675,Program_data!O$2)</f>
        <v>108498566</v>
      </c>
      <c r="P748" s="5">
        <f>SUMIFS(EIAwtransport!$J$2:$J$675,EIAwtransport!$E$2:$E$675,Program_data!$E748,EIAwtransport!$H$2:$H$675,Program_data!$F748,EIAwtransport!$I$2:$I$675,Program_data!P$2)</f>
        <v>10808791</v>
      </c>
      <c r="Q748" s="5">
        <f>SUMIFS(EIAwtransport!$J$2:$J$675,EIAwtransport!$E$2:$E$675,Program_data!$E748,EIAwtransport!$H$2:$H$675,Program_data!$F748,EIAwtransport!$I$2:$I$675,Program_data!Q$2)</f>
        <v>158391</v>
      </c>
      <c r="R748" s="8">
        <f>SUMIFS(EIAwtransport!$J$2:$J$675,EIAwtransport!$E$2:$E$675,Program_data!$E748,EIAwtransport!$I$2:$I$675,Program_data!R$2)</f>
        <v>165278369</v>
      </c>
      <c r="S748" s="5">
        <f>SUMIFS(EIAwtransport!$J$2:$J$675,EIAwtransport!$E$2:$E$675,Program_data!$E748,EIAwtransport!$I$2:$I$675,Program_data!S$2)</f>
        <v>25379156</v>
      </c>
      <c r="T748" s="5">
        <f>SUMIFS(EIAwtransport!$J$2:$J$675,EIAwtransport!$E$2:$E$675,Program_data!$E748,EIAwtransport!$I$2:$I$675,Program_data!T$2)</f>
        <v>173721</v>
      </c>
      <c r="U748" s="104">
        <f t="shared" si="249"/>
        <v>6.3652393146723069E-5</v>
      </c>
      <c r="V748" s="104">
        <f t="shared" si="255"/>
        <v>6.3652393146723069E-5</v>
      </c>
      <c r="W748" s="104">
        <f t="shared" si="250"/>
        <v>9.2580778069028505E-4</v>
      </c>
      <c r="X748" s="105">
        <f t="shared" si="251"/>
        <v>5.8196908399491974E-4</v>
      </c>
      <c r="Y748" s="8">
        <f t="shared" si="247"/>
        <v>0.35391205395553665</v>
      </c>
      <c r="Z748" s="27">
        <f t="shared" si="248"/>
        <v>0.16057422895700629</v>
      </c>
      <c r="AA748" s="27"/>
      <c r="AB748" s="40"/>
      <c r="AC748" s="56">
        <f t="shared" si="243"/>
        <v>1.9451386294815419E-3</v>
      </c>
      <c r="AE748" s="20">
        <f t="shared" si="253"/>
        <v>144599.85</v>
      </c>
      <c r="AF748" s="20">
        <f t="shared" si="254"/>
        <v>223125798.15000001</v>
      </c>
      <c r="AG748">
        <f t="shared" si="239"/>
        <v>1765313.28</v>
      </c>
      <c r="AH748">
        <f t="shared" si="240"/>
        <v>1765313.28</v>
      </c>
      <c r="AI748">
        <f t="shared" si="241"/>
        <v>2676993374.8800001</v>
      </c>
    </row>
    <row r="749" spans="2:35" x14ac:dyDescent="0.25">
      <c r="B749" s="4">
        <v>2024</v>
      </c>
      <c r="C749" s="4" t="s">
        <v>49</v>
      </c>
      <c r="D749" s="1" t="s">
        <v>86</v>
      </c>
      <c r="E749" s="4" t="str">
        <f t="shared" si="245"/>
        <v>Avista-WA</v>
      </c>
      <c r="F749" s="4" t="s">
        <v>146</v>
      </c>
      <c r="G749" s="4"/>
      <c r="H749" s="11" t="s">
        <v>528</v>
      </c>
      <c r="I749" s="4"/>
      <c r="J749" s="4" t="s">
        <v>21</v>
      </c>
      <c r="K749" s="5">
        <v>37810</v>
      </c>
      <c r="L749" s="5">
        <f t="shared" si="252"/>
        <v>37810</v>
      </c>
      <c r="M749" s="8">
        <v>167127</v>
      </c>
      <c r="N749" s="8">
        <v>116989</v>
      </c>
      <c r="O749" s="8">
        <f>SUMIFS(EIAwtransport!$J$2:$J$675,EIAwtransport!$E$2:$E$675,Program_data!$E749,EIAwtransport!$H$2:$H$675,Program_data!$F749,EIAwtransport!$I$2:$I$675,Program_data!O$2)</f>
        <v>56779803</v>
      </c>
      <c r="P749" s="5">
        <f>SUMIFS(EIAwtransport!$J$2:$J$675,EIAwtransport!$E$2:$E$675,Program_data!$E749,EIAwtransport!$H$2:$H$675,Program_data!$F749,EIAwtransport!$I$2:$I$675,Program_data!P$2)</f>
        <v>14570365</v>
      </c>
      <c r="Q749" s="5">
        <f>SUMIFS(EIAwtransport!$J$2:$J$675,EIAwtransport!$E$2:$E$675,Program_data!$E749,EIAwtransport!$H$2:$H$675,Program_data!$F749,EIAwtransport!$I$2:$I$675,Program_data!Q$2)</f>
        <v>15330</v>
      </c>
      <c r="R749" s="8">
        <f>SUMIFS(EIAwtransport!$J$2:$J$675,EIAwtransport!$E$2:$E$675,Program_data!$E749,EIAwtransport!$I$2:$I$675,Program_data!R$2)</f>
        <v>165278369</v>
      </c>
      <c r="S749" s="5">
        <f>SUMIFS(EIAwtransport!$J$2:$J$675,EIAwtransport!$E$2:$E$675,Program_data!$E749,EIAwtransport!$I$2:$I$675,Program_data!S$2)</f>
        <v>25379156</v>
      </c>
      <c r="T749" s="5">
        <f>SUMIFS(EIAwtransport!$J$2:$J$675,EIAwtransport!$E$2:$E$675,Program_data!$E749,EIAwtransport!$I$2:$I$675,Program_data!T$2)</f>
        <v>173721</v>
      </c>
      <c r="U749" s="104">
        <f t="shared" si="249"/>
        <v>1.4380359613274372E-4</v>
      </c>
      <c r="V749" s="104">
        <f t="shared" si="255"/>
        <v>1.4380359613274372E-4</v>
      </c>
      <c r="W749" s="104">
        <f t="shared" si="250"/>
        <v>1.0111849542755349E-3</v>
      </c>
      <c r="X749" s="105">
        <f t="shared" si="251"/>
        <v>6.3563775749476492E-4</v>
      </c>
      <c r="Y749" s="8">
        <f t="shared" si="247"/>
        <v>0.32484455268687207</v>
      </c>
      <c r="Z749" s="27">
        <f t="shared" si="248"/>
        <v>0.17538224213740777</v>
      </c>
      <c r="AA749" s="27"/>
      <c r="AB749" s="40"/>
      <c r="AC749" s="56">
        <f t="shared" si="243"/>
        <v>4.3944605389995882E-3</v>
      </c>
      <c r="AE749" s="20">
        <f t="shared" si="253"/>
        <v>157935.15000000002</v>
      </c>
      <c r="AF749" s="20">
        <f t="shared" si="254"/>
        <v>223125798.15000001</v>
      </c>
      <c r="AG749">
        <f t="shared" si="239"/>
        <v>3988198.8000000003</v>
      </c>
      <c r="AH749">
        <f t="shared" si="240"/>
        <v>3988198.8000000003</v>
      </c>
      <c r="AI749">
        <f t="shared" si="241"/>
        <v>2676993374.8800001</v>
      </c>
    </row>
    <row r="750" spans="2:35" x14ac:dyDescent="0.25">
      <c r="B750" s="4">
        <v>2024</v>
      </c>
      <c r="C750" s="4" t="s">
        <v>49</v>
      </c>
      <c r="D750" s="1" t="s">
        <v>86</v>
      </c>
      <c r="E750" s="4" t="str">
        <f t="shared" si="245"/>
        <v>Avista-WA</v>
      </c>
      <c r="F750" s="4" t="s">
        <v>146</v>
      </c>
      <c r="G750" s="4"/>
      <c r="H750" s="11" t="s">
        <v>529</v>
      </c>
      <c r="I750" s="4"/>
      <c r="J750" s="4" t="s">
        <v>21</v>
      </c>
      <c r="K750" s="5">
        <v>129896</v>
      </c>
      <c r="L750" s="5">
        <f t="shared" si="252"/>
        <v>129896</v>
      </c>
      <c r="M750" s="8">
        <v>662092</v>
      </c>
      <c r="N750" s="8">
        <v>463464</v>
      </c>
      <c r="O750" s="8">
        <f>SUMIFS(EIAwtransport!$J$2:$J$675,EIAwtransport!$E$2:$E$675,Program_data!$E750,EIAwtransport!$H$2:$H$675,Program_data!$F750,EIAwtransport!$I$2:$I$675,Program_data!O$2)</f>
        <v>56779803</v>
      </c>
      <c r="P750" s="5">
        <f>SUMIFS(EIAwtransport!$J$2:$J$675,EIAwtransport!$E$2:$E$675,Program_data!$E750,EIAwtransport!$H$2:$H$675,Program_data!$F750,EIAwtransport!$I$2:$I$675,Program_data!P$2)</f>
        <v>14570365</v>
      </c>
      <c r="Q750" s="5">
        <f>SUMIFS(EIAwtransport!$J$2:$J$675,EIAwtransport!$E$2:$E$675,Program_data!$E750,EIAwtransport!$H$2:$H$675,Program_data!$F750,EIAwtransport!$I$2:$I$675,Program_data!Q$2)</f>
        <v>15330</v>
      </c>
      <c r="R750" s="8">
        <f>SUMIFS(EIAwtransport!$J$2:$J$675,EIAwtransport!$E$2:$E$675,Program_data!$E750,EIAwtransport!$I$2:$I$675,Program_data!R$2)</f>
        <v>165278369</v>
      </c>
      <c r="S750" s="5">
        <f>SUMIFS(EIAwtransport!$J$2:$J$675,EIAwtransport!$E$2:$E$675,Program_data!$E750,EIAwtransport!$I$2:$I$675,Program_data!S$2)</f>
        <v>25379156</v>
      </c>
      <c r="T750" s="5">
        <f>SUMIFS(EIAwtransport!$J$2:$J$675,EIAwtransport!$E$2:$E$675,Program_data!$E750,EIAwtransport!$I$2:$I$675,Program_data!T$2)</f>
        <v>173721</v>
      </c>
      <c r="U750" s="104">
        <f t="shared" si="249"/>
        <v>4.9403628466698963E-4</v>
      </c>
      <c r="V750" s="104">
        <f t="shared" si="255"/>
        <v>4.9403628466698963E-4</v>
      </c>
      <c r="W750" s="104">
        <f t="shared" si="250"/>
        <v>4.005920460166206E-3</v>
      </c>
      <c r="X750" s="105">
        <f t="shared" si="251"/>
        <v>2.5181489175012052E-3</v>
      </c>
      <c r="Y750" s="8">
        <f t="shared" si="247"/>
        <v>1.2869074391184938</v>
      </c>
      <c r="Z750" s="27">
        <f t="shared" si="248"/>
        <v>0.69479605007713052</v>
      </c>
      <c r="AA750" s="27"/>
      <c r="AB750" s="40"/>
      <c r="AC750" s="56">
        <f t="shared" si="243"/>
        <v>1.5097139544403344E-2</v>
      </c>
      <c r="AE750" s="20">
        <f t="shared" si="253"/>
        <v>625676.4</v>
      </c>
      <c r="AF750" s="20">
        <f t="shared" si="254"/>
        <v>223125798.15000001</v>
      </c>
      <c r="AG750">
        <f t="shared" si="239"/>
        <v>13701430.08</v>
      </c>
      <c r="AH750">
        <f t="shared" si="240"/>
        <v>13701430.08</v>
      </c>
      <c r="AI750">
        <f t="shared" si="241"/>
        <v>2676993374.8800001</v>
      </c>
    </row>
    <row r="751" spans="2:35" x14ac:dyDescent="0.25">
      <c r="B751" s="4">
        <v>2024</v>
      </c>
      <c r="C751" s="4" t="s">
        <v>49</v>
      </c>
      <c r="D751" s="1" t="s">
        <v>86</v>
      </c>
      <c r="E751" s="4" t="str">
        <f t="shared" si="245"/>
        <v>Avista-WA</v>
      </c>
      <c r="F751" s="4" t="s">
        <v>146</v>
      </c>
      <c r="G751" s="4"/>
      <c r="H751" s="11" t="s">
        <v>524</v>
      </c>
      <c r="I751" s="4"/>
      <c r="J751" s="4" t="s">
        <v>21</v>
      </c>
      <c r="K751" s="5">
        <v>209078</v>
      </c>
      <c r="L751" s="5">
        <f t="shared" si="252"/>
        <v>209078</v>
      </c>
      <c r="M751" s="34">
        <v>1666178</v>
      </c>
      <c r="N751" s="8">
        <v>1166325</v>
      </c>
      <c r="O751" s="8">
        <f>SUMIFS(EIAwtransport!$J$2:$J$675,EIAwtransport!$E$2:$E$675,Program_data!$E751,EIAwtransport!$H$2:$H$675,Program_data!$F751,EIAwtransport!$I$2:$I$675,Program_data!O$2)</f>
        <v>56779803</v>
      </c>
      <c r="P751" s="5">
        <f>SUMIFS(EIAwtransport!$J$2:$J$675,EIAwtransport!$E$2:$E$675,Program_data!$E751,EIAwtransport!$H$2:$H$675,Program_data!$F751,EIAwtransport!$I$2:$I$675,Program_data!P$2)</f>
        <v>14570365</v>
      </c>
      <c r="Q751" s="5">
        <f>SUMIFS(EIAwtransport!$J$2:$J$675,EIAwtransport!$E$2:$E$675,Program_data!$E751,EIAwtransport!$H$2:$H$675,Program_data!$F751,EIAwtransport!$I$2:$I$675,Program_data!Q$2)</f>
        <v>15330</v>
      </c>
      <c r="R751" s="8">
        <f>SUMIFS(EIAwtransport!$J$2:$J$675,EIAwtransport!$E$2:$E$675,Program_data!$E751,EIAwtransport!$I$2:$I$675,Program_data!R$2)</f>
        <v>165278369</v>
      </c>
      <c r="S751" s="5">
        <f>SUMIFS(EIAwtransport!$J$2:$J$675,EIAwtransport!$E$2:$E$675,Program_data!$E751,EIAwtransport!$I$2:$I$675,Program_data!S$2)</f>
        <v>25379156</v>
      </c>
      <c r="T751" s="5">
        <f>SUMIFS(EIAwtransport!$J$2:$J$675,EIAwtransport!$E$2:$E$675,Program_data!$E751,EIAwtransport!$I$2:$I$675,Program_data!T$2)</f>
        <v>173721</v>
      </c>
      <c r="U751" s="104">
        <f t="shared" si="249"/>
        <v>7.951909090780691E-4</v>
      </c>
      <c r="V751" s="104">
        <f t="shared" si="255"/>
        <v>7.951909090780691E-4</v>
      </c>
      <c r="W751" s="104">
        <f t="shared" si="250"/>
        <v>1.008104091346642E-2</v>
      </c>
      <c r="X751" s="105">
        <f t="shared" si="251"/>
        <v>6.3370110604935911E-3</v>
      </c>
      <c r="Y751" s="8">
        <f t="shared" si="247"/>
        <v>3.2385482124773803</v>
      </c>
      <c r="Z751" s="27">
        <f t="shared" si="248"/>
        <v>1.7484789019130471</v>
      </c>
      <c r="AA751" s="27"/>
      <c r="AB751" s="40"/>
      <c r="AC751" s="56">
        <f t="shared" si="243"/>
        <v>2.4300053440173389E-2</v>
      </c>
      <c r="AE751" s="20">
        <f t="shared" si="253"/>
        <v>1574538.75</v>
      </c>
      <c r="AF751" s="20">
        <f t="shared" si="254"/>
        <v>223125798.15000001</v>
      </c>
      <c r="AG751">
        <f t="shared" si="239"/>
        <v>22053547.440000001</v>
      </c>
      <c r="AH751">
        <f t="shared" si="240"/>
        <v>22053547.440000001</v>
      </c>
      <c r="AI751">
        <f t="shared" si="241"/>
        <v>2676993374.8800001</v>
      </c>
    </row>
    <row r="752" spans="2:35" x14ac:dyDescent="0.25">
      <c r="B752" s="4">
        <v>2024</v>
      </c>
      <c r="C752" s="4" t="s">
        <v>49</v>
      </c>
      <c r="D752" s="1" t="s">
        <v>86</v>
      </c>
      <c r="E752" s="4" t="str">
        <f t="shared" si="245"/>
        <v>Avista-WA</v>
      </c>
      <c r="F752" s="4" t="s">
        <v>146</v>
      </c>
      <c r="G752" s="4"/>
      <c r="H752" s="11" t="s">
        <v>530</v>
      </c>
      <c r="I752" s="4"/>
      <c r="J752" s="4" t="s">
        <v>21</v>
      </c>
      <c r="K752" s="5">
        <v>123634</v>
      </c>
      <c r="L752" s="5">
        <f t="shared" si="252"/>
        <v>123634</v>
      </c>
      <c r="M752" s="8">
        <v>275970</v>
      </c>
      <c r="N752" s="8">
        <v>193179</v>
      </c>
      <c r="O752" s="8">
        <f>SUMIFS(EIAwtransport!$J$2:$J$675,EIAwtransport!$E$2:$E$675,Program_data!$E752,EIAwtransport!$H$2:$H$675,Program_data!$F752,EIAwtransport!$I$2:$I$675,Program_data!O$2)</f>
        <v>56779803</v>
      </c>
      <c r="P752" s="5">
        <f>SUMIFS(EIAwtransport!$J$2:$J$675,EIAwtransport!$E$2:$E$675,Program_data!$E752,EIAwtransport!$H$2:$H$675,Program_data!$F752,EIAwtransport!$I$2:$I$675,Program_data!P$2)</f>
        <v>14570365</v>
      </c>
      <c r="Q752" s="5">
        <f>SUMIFS(EIAwtransport!$J$2:$J$675,EIAwtransport!$E$2:$E$675,Program_data!$E752,EIAwtransport!$H$2:$H$675,Program_data!$F752,EIAwtransport!$I$2:$I$675,Program_data!Q$2)</f>
        <v>15330</v>
      </c>
      <c r="R752" s="8">
        <f>SUMIFS(EIAwtransport!$J$2:$J$675,EIAwtransport!$E$2:$E$675,Program_data!$E752,EIAwtransport!$I$2:$I$675,Program_data!R$2)</f>
        <v>165278369</v>
      </c>
      <c r="S752" s="5">
        <f>SUMIFS(EIAwtransport!$J$2:$J$675,EIAwtransport!$E$2:$E$675,Program_data!$E752,EIAwtransport!$I$2:$I$675,Program_data!S$2)</f>
        <v>25379156</v>
      </c>
      <c r="T752" s="5">
        <f>SUMIFS(EIAwtransport!$J$2:$J$675,EIAwtransport!$E$2:$E$675,Program_data!$E752,EIAwtransport!$I$2:$I$675,Program_data!T$2)</f>
        <v>173721</v>
      </c>
      <c r="U752" s="104">
        <f t="shared" si="249"/>
        <v>4.7021988374175189E-4</v>
      </c>
      <c r="V752" s="104">
        <f t="shared" si="255"/>
        <v>4.7021988374175189E-4</v>
      </c>
      <c r="W752" s="104">
        <f t="shared" si="250"/>
        <v>1.6697284809242038E-3</v>
      </c>
      <c r="X752" s="105">
        <f t="shared" si="251"/>
        <v>1.0496027089329089E-3</v>
      </c>
      <c r="Y752" s="8">
        <f t="shared" si="247"/>
        <v>0.5364025633500038</v>
      </c>
      <c r="Z752" s="27">
        <f t="shared" si="248"/>
        <v>0.28960154470947497</v>
      </c>
      <c r="AA752" s="27"/>
      <c r="AB752" s="40"/>
      <c r="AC752" s="56">
        <f t="shared" si="243"/>
        <v>1.4369339705862868E-2</v>
      </c>
      <c r="AE752" s="20">
        <f t="shared" si="253"/>
        <v>260791.65000000002</v>
      </c>
      <c r="AF752" s="20">
        <f t="shared" si="254"/>
        <v>223125798.15000001</v>
      </c>
      <c r="AG752">
        <f t="shared" si="239"/>
        <v>13040914.32</v>
      </c>
      <c r="AH752">
        <f t="shared" si="240"/>
        <v>13040914.32</v>
      </c>
      <c r="AI752">
        <f t="shared" si="241"/>
        <v>2676993374.8800001</v>
      </c>
    </row>
    <row r="753" spans="2:35" x14ac:dyDescent="0.25">
      <c r="B753" s="4">
        <v>2024</v>
      </c>
      <c r="C753" s="4" t="s">
        <v>49</v>
      </c>
      <c r="D753" s="1" t="s">
        <v>86</v>
      </c>
      <c r="E753" s="4" t="str">
        <f t="shared" si="245"/>
        <v>Avista-WA</v>
      </c>
      <c r="F753" s="4" t="s">
        <v>146</v>
      </c>
      <c r="G753" s="4"/>
      <c r="H753" s="11" t="s">
        <v>531</v>
      </c>
      <c r="I753" s="4"/>
      <c r="J753" s="4" t="s">
        <v>21</v>
      </c>
      <c r="K753" s="5">
        <v>14065</v>
      </c>
      <c r="L753" s="5">
        <f t="shared" si="252"/>
        <v>14065</v>
      </c>
      <c r="M753" s="8">
        <v>25461</v>
      </c>
      <c r="N753" s="8">
        <v>0</v>
      </c>
      <c r="O753" s="8">
        <f>SUMIFS(EIAwtransport!$J$2:$J$675,EIAwtransport!$E$2:$E$675,Program_data!$E753,EIAwtransport!$H$2:$H$675,Program_data!$F753,EIAwtransport!$I$2:$I$675,Program_data!O$2)</f>
        <v>56779803</v>
      </c>
      <c r="P753" s="5">
        <f>SUMIFS(EIAwtransport!$J$2:$J$675,EIAwtransport!$E$2:$E$675,Program_data!$E753,EIAwtransport!$H$2:$H$675,Program_data!$F753,EIAwtransport!$I$2:$I$675,Program_data!P$2)</f>
        <v>14570365</v>
      </c>
      <c r="Q753" s="5">
        <f>SUMIFS(EIAwtransport!$J$2:$J$675,EIAwtransport!$E$2:$E$675,Program_data!$E753,EIAwtransport!$H$2:$H$675,Program_data!$F753,EIAwtransport!$I$2:$I$675,Program_data!Q$2)</f>
        <v>15330</v>
      </c>
      <c r="R753" s="8">
        <f>SUMIFS(EIAwtransport!$J$2:$J$675,EIAwtransport!$E$2:$E$675,Program_data!$E753,EIAwtransport!$I$2:$I$675,Program_data!R$2)</f>
        <v>165278369</v>
      </c>
      <c r="S753" s="5">
        <f>SUMIFS(EIAwtransport!$J$2:$J$675,EIAwtransport!$E$2:$E$675,Program_data!$E753,EIAwtransport!$I$2:$I$675,Program_data!S$2)</f>
        <v>25379156</v>
      </c>
      <c r="T753" s="5">
        <f>SUMIFS(EIAwtransport!$J$2:$J$675,EIAwtransport!$E$2:$E$675,Program_data!$E753,EIAwtransport!$I$2:$I$675,Program_data!T$2)</f>
        <v>173721</v>
      </c>
      <c r="U753" s="104">
        <f t="shared" si="249"/>
        <v>5.3493720698414187E-5</v>
      </c>
      <c r="V753" s="104">
        <f t="shared" si="255"/>
        <v>5.3493720698414187E-5</v>
      </c>
      <c r="W753" s="104">
        <f t="shared" si="250"/>
        <v>1.5404919684317554E-4</v>
      </c>
      <c r="X753" s="105">
        <f t="shared" si="251"/>
        <v>9.6836375592059996E-5</v>
      </c>
      <c r="Y753" s="8">
        <f t="shared" si="247"/>
        <v>4.9488515655522147E-2</v>
      </c>
      <c r="Z753" s="27">
        <f t="shared" si="248"/>
        <v>2.6718646700177349E-2</v>
      </c>
      <c r="AA753" s="27"/>
      <c r="AB753" s="40"/>
      <c r="AC753" s="56">
        <f t="shared" si="243"/>
        <v>1.6347021285646444E-3</v>
      </c>
      <c r="AE753" s="20">
        <f t="shared" si="253"/>
        <v>0</v>
      </c>
      <c r="AF753" s="20">
        <f t="shared" si="254"/>
        <v>223125798.15000001</v>
      </c>
      <c r="AG753">
        <f t="shared" si="239"/>
        <v>1483576.2</v>
      </c>
      <c r="AH753">
        <f t="shared" si="240"/>
        <v>1483576.2</v>
      </c>
      <c r="AI753">
        <f t="shared" si="241"/>
        <v>2676993374.8800001</v>
      </c>
    </row>
    <row r="754" spans="2:35" x14ac:dyDescent="0.25">
      <c r="B754" s="4">
        <v>2024</v>
      </c>
      <c r="C754" s="4" t="s">
        <v>49</v>
      </c>
      <c r="D754" s="1" t="s">
        <v>86</v>
      </c>
      <c r="E754" s="4" t="str">
        <f>D754&amp;"-"&amp;C754</f>
        <v>Avista-WA</v>
      </c>
      <c r="F754" s="4" t="s">
        <v>143</v>
      </c>
      <c r="G754" s="4">
        <v>1</v>
      </c>
      <c r="H754" s="11" t="s">
        <v>532</v>
      </c>
      <c r="I754" s="4"/>
      <c r="J754" s="4" t="s">
        <v>108</v>
      </c>
      <c r="K754" s="5">
        <v>6091</v>
      </c>
      <c r="L754" s="5">
        <f>K754</f>
        <v>6091</v>
      </c>
      <c r="M754" s="8">
        <v>929540</v>
      </c>
      <c r="N754" s="8">
        <v>440678</v>
      </c>
      <c r="O754" s="8">
        <f>SUMIFS(EIAwtransport!$J$2:$J$675,EIAwtransport!$E$2:$E$675,Program_data!$E754,EIAwtransport!$H$2:$H$675,Program_data!$F754,EIAwtransport!$I$2:$I$675,Program_data!O$2)</f>
        <v>0</v>
      </c>
      <c r="P754" s="5">
        <f>SUMIFS(EIAwtransport!$J$2:$J$675,EIAwtransport!$E$2:$E$675,Program_data!$E754,EIAwtransport!$H$2:$H$675,Program_data!$F754,EIAwtransport!$I$2:$I$675,Program_data!P$2)</f>
        <v>0</v>
      </c>
      <c r="Q754" s="5">
        <f>SUMIFS(EIAwtransport!$J$2:$J$675,EIAwtransport!$E$2:$E$675,Program_data!$E754,EIAwtransport!$H$2:$H$675,Program_data!$F754,EIAwtransport!$I$2:$I$675,Program_data!Q$2)</f>
        <v>0</v>
      </c>
      <c r="R754" s="8">
        <f>SUMIFS(EIAwtransport!$J$2:$J$675,EIAwtransport!$E$2:$E$675,Program_data!$E754,EIAwtransport!$I$2:$I$675,Program_data!R$2)</f>
        <v>165278369</v>
      </c>
      <c r="S754" s="5">
        <f>SUMIFS(EIAwtransport!$J$2:$J$675,EIAwtransport!$E$2:$E$675,Program_data!$E754,EIAwtransport!$I$2:$I$675,Program_data!S$2)</f>
        <v>25379156</v>
      </c>
      <c r="T754" s="5">
        <f>SUMIFS(EIAwtransport!$J$2:$J$675,EIAwtransport!$E$2:$E$675,Program_data!$E754,EIAwtransport!$I$2:$I$675,Program_data!T$2)</f>
        <v>173721</v>
      </c>
      <c r="U754" s="104">
        <f t="shared" si="249"/>
        <v>2.3166032902526899E-5</v>
      </c>
      <c r="V754" s="104">
        <f t="shared" si="255"/>
        <v>2.3166032902526899E-5</v>
      </c>
      <c r="W754" s="104">
        <f t="shared" si="250"/>
        <v>5.6240874448609786E-3</v>
      </c>
      <c r="X754" s="105">
        <f t="shared" si="251"/>
        <v>3.5353397183081358E-3</v>
      </c>
      <c r="Y754" s="8">
        <f t="shared" si="247"/>
        <v>152.60876703332787</v>
      </c>
      <c r="Z754" s="27">
        <f t="shared" si="248"/>
        <v>0.97545465039404788</v>
      </c>
      <c r="AA754" s="27"/>
      <c r="AB754" s="40"/>
      <c r="AC754" s="56">
        <f t="shared" si="243"/>
        <v>7.0792539389173475E-4</v>
      </c>
      <c r="AE754" s="20">
        <f>N754*1.35</f>
        <v>594915.30000000005</v>
      </c>
      <c r="AF754" s="20">
        <f>R754*1.35</f>
        <v>223125798.15000001</v>
      </c>
      <c r="AG754">
        <f>K754*105.48</f>
        <v>642478.68000000005</v>
      </c>
      <c r="AH754">
        <f>L754*105.48</f>
        <v>642478.68000000005</v>
      </c>
      <c r="AI754">
        <f>S754*105.48</f>
        <v>2676993374.8800001</v>
      </c>
    </row>
    <row r="755" spans="2:35" x14ac:dyDescent="0.25">
      <c r="B755" s="4">
        <v>2025</v>
      </c>
      <c r="C755" s="4" t="s">
        <v>49</v>
      </c>
      <c r="D755" s="1" t="s">
        <v>86</v>
      </c>
      <c r="E755" s="4" t="str">
        <f t="shared" si="245"/>
        <v>Avista-WA</v>
      </c>
      <c r="F755" s="4" t="s">
        <v>143</v>
      </c>
      <c r="G755" s="4">
        <v>1</v>
      </c>
      <c r="H755" s="11" t="s">
        <v>532</v>
      </c>
      <c r="I755" s="4"/>
      <c r="J755" s="4" t="s">
        <v>108</v>
      </c>
      <c r="K755" s="5">
        <v>6091</v>
      </c>
      <c r="L755" s="5">
        <f t="shared" si="252"/>
        <v>6091</v>
      </c>
      <c r="M755" s="8">
        <v>929540</v>
      </c>
      <c r="N755" s="8">
        <v>440678</v>
      </c>
      <c r="O755" s="8">
        <f>SUMIFS(EIAwtransport!$J$2:$J$675,EIAwtransport!$E$2:$E$675,Program_data!$E755,EIAwtransport!$H$2:$H$675,Program_data!$F755,EIAwtransport!$I$2:$I$675,Program_data!O$2)</f>
        <v>0</v>
      </c>
      <c r="P755" s="5">
        <f>SUMIFS(EIAwtransport!$J$2:$J$675,EIAwtransport!$E$2:$E$675,Program_data!$E755,EIAwtransport!$H$2:$H$675,Program_data!$F755,EIAwtransport!$I$2:$I$675,Program_data!P$2)</f>
        <v>0</v>
      </c>
      <c r="Q755" s="5">
        <f>SUMIFS(EIAwtransport!$J$2:$J$675,EIAwtransport!$E$2:$E$675,Program_data!$E755,EIAwtransport!$H$2:$H$675,Program_data!$F755,EIAwtransport!$I$2:$I$675,Program_data!Q$2)</f>
        <v>0</v>
      </c>
      <c r="R755" s="8">
        <f>SUMIFS(EIAwtransport!$J$2:$J$675,EIAwtransport!$E$2:$E$675,Program_data!$E755,EIAwtransport!$I$2:$I$675,Program_data!R$2)</f>
        <v>165278369</v>
      </c>
      <c r="S755" s="5">
        <f>SUMIFS(EIAwtransport!$J$2:$J$675,EIAwtransport!$E$2:$E$675,Program_data!$E755,EIAwtransport!$I$2:$I$675,Program_data!S$2)</f>
        <v>25379156</v>
      </c>
      <c r="T755" s="5">
        <f>SUMIFS(EIAwtransport!$J$2:$J$675,EIAwtransport!$E$2:$E$675,Program_data!$E755,EIAwtransport!$I$2:$I$675,Program_data!T$2)</f>
        <v>173721</v>
      </c>
      <c r="U755" s="24">
        <f t="shared" ref="U755:U792" si="256">IFERROR(K755/10.36/S755,"")</f>
        <v>2.3166032902526899E-5</v>
      </c>
      <c r="V755" s="24">
        <f t="shared" ref="V755:V801" si="257">IFERROR(L755/10.36/S755,"")</f>
        <v>2.3166032902526899E-5</v>
      </c>
      <c r="W755" s="24">
        <f t="shared" ref="W755:W792" si="258">IFERROR(M755/R755,"")</f>
        <v>5.6240874448609786E-3</v>
      </c>
      <c r="X755" s="25">
        <f t="shared" ref="X755:X792" si="259">IFERROR(M755/S755/10.36,"")</f>
        <v>3.5353397183081358E-3</v>
      </c>
      <c r="Y755" s="8">
        <f t="shared" si="247"/>
        <v>152.60876703332787</v>
      </c>
      <c r="Z755" s="27">
        <f t="shared" si="248"/>
        <v>152.60876703332787</v>
      </c>
      <c r="AA755" s="27"/>
      <c r="AB755" s="40"/>
      <c r="AC755" s="56">
        <f t="shared" si="243"/>
        <v>6.5527034877466269E-3</v>
      </c>
      <c r="AE755" s="20">
        <f t="shared" si="253"/>
        <v>594915.30000000005</v>
      </c>
      <c r="AF755" s="20">
        <f t="shared" si="254"/>
        <v>223125798.15000001</v>
      </c>
      <c r="AG755">
        <f t="shared" si="239"/>
        <v>642478.68000000005</v>
      </c>
      <c r="AH755">
        <f t="shared" si="240"/>
        <v>642478.68000000005</v>
      </c>
      <c r="AI755">
        <f t="shared" si="241"/>
        <v>2676993374.8800001</v>
      </c>
    </row>
    <row r="756" spans="2:35" x14ac:dyDescent="0.25">
      <c r="B756" s="4">
        <v>2026</v>
      </c>
      <c r="C756" s="4" t="s">
        <v>49</v>
      </c>
      <c r="D756" s="1" t="s">
        <v>86</v>
      </c>
      <c r="E756" s="4" t="str">
        <f t="shared" si="245"/>
        <v>Avista-WA</v>
      </c>
      <c r="F756" s="4" t="s">
        <v>135</v>
      </c>
      <c r="G756" s="4"/>
      <c r="H756" s="11" t="s">
        <v>533</v>
      </c>
      <c r="I756" s="4"/>
      <c r="J756" s="4" t="s">
        <v>142</v>
      </c>
      <c r="K756" s="5">
        <v>36432</v>
      </c>
      <c r="L756" s="5">
        <f t="shared" si="252"/>
        <v>36432</v>
      </c>
      <c r="M756" s="8">
        <v>406000</v>
      </c>
      <c r="N756" s="8">
        <v>0</v>
      </c>
      <c r="O756" s="8">
        <f>SUMIFS(EIAwtransport!$J$2:$J$675,EIAwtransport!$E$2:$E$675,Program_data!$E756,EIAwtransport!$H$2:$H$675,Program_data!$F756,EIAwtransport!$I$2:$I$675,Program_data!O$2)</f>
        <v>108498566</v>
      </c>
      <c r="P756" s="5">
        <f>SUMIFS(EIAwtransport!$J$2:$J$675,EIAwtransport!$E$2:$E$675,Program_data!$E756,EIAwtransport!$H$2:$H$675,Program_data!$F756,EIAwtransport!$I$2:$I$675,Program_data!P$2)</f>
        <v>10808791</v>
      </c>
      <c r="Q756" s="5">
        <f>SUMIFS(EIAwtransport!$J$2:$J$675,EIAwtransport!$E$2:$E$675,Program_data!$E756,EIAwtransport!$H$2:$H$675,Program_data!$F756,EIAwtransport!$I$2:$I$675,Program_data!Q$2)</f>
        <v>158391</v>
      </c>
      <c r="R756" s="8">
        <f>SUMIFS(EIAwtransport!$J$2:$J$675,EIAwtransport!$E$2:$E$675,Program_data!$E756,EIAwtransport!$I$2:$I$675,Program_data!R$2)</f>
        <v>165278369</v>
      </c>
      <c r="S756" s="5">
        <f>SUMIFS(EIAwtransport!$J$2:$J$675,EIAwtransport!$E$2:$E$675,Program_data!$E756,EIAwtransport!$I$2:$I$675,Program_data!S$2)</f>
        <v>25379156</v>
      </c>
      <c r="T756" s="5">
        <f>SUMIFS(EIAwtransport!$J$2:$J$675,EIAwtransport!$E$2:$E$675,Program_data!$E756,EIAwtransport!$I$2:$I$675,Program_data!T$2)</f>
        <v>173721</v>
      </c>
      <c r="U756" s="24">
        <f t="shared" si="256"/>
        <v>1.3856261873335414E-4</v>
      </c>
      <c r="V756" s="24">
        <f t="shared" si="257"/>
        <v>1.3856261873335414E-4</v>
      </c>
      <c r="W756" s="24">
        <f t="shared" si="258"/>
        <v>2.4564618011205085E-3</v>
      </c>
      <c r="X756" s="25">
        <f t="shared" si="259"/>
        <v>1.5441486387171106E-3</v>
      </c>
      <c r="Y756" s="8">
        <f t="shared" si="247"/>
        <v>11.144049187527449</v>
      </c>
      <c r="Z756" s="27">
        <f t="shared" si="248"/>
        <v>11.144049187527449</v>
      </c>
      <c r="AA756" s="27"/>
      <c r="AB756" s="40"/>
      <c r="AC756" s="56">
        <f t="shared" si="243"/>
        <v>8.9733990147783257E-2</v>
      </c>
      <c r="AE756" s="20">
        <f t="shared" si="253"/>
        <v>0</v>
      </c>
      <c r="AF756" s="20">
        <f t="shared" si="254"/>
        <v>223125798.15000001</v>
      </c>
      <c r="AG756">
        <f t="shared" si="239"/>
        <v>3842847.3600000003</v>
      </c>
      <c r="AH756">
        <f t="shared" si="240"/>
        <v>3842847.3600000003</v>
      </c>
      <c r="AI756">
        <f t="shared" si="241"/>
        <v>2676993374.8800001</v>
      </c>
    </row>
    <row r="757" spans="2:35" x14ac:dyDescent="0.25">
      <c r="B757" s="4">
        <v>2027</v>
      </c>
      <c r="C757" s="4" t="s">
        <v>49</v>
      </c>
      <c r="D757" s="1" t="s">
        <v>86</v>
      </c>
      <c r="E757" s="4" t="str">
        <f t="shared" si="245"/>
        <v>Avista-WA</v>
      </c>
      <c r="F757" s="4" t="s">
        <v>155</v>
      </c>
      <c r="G757" s="4"/>
      <c r="H757" s="11"/>
      <c r="I757" s="4"/>
      <c r="J757" s="4" t="s">
        <v>155</v>
      </c>
      <c r="K757" s="5">
        <v>0</v>
      </c>
      <c r="L757" s="5">
        <f t="shared" si="252"/>
        <v>0</v>
      </c>
      <c r="M757" s="8">
        <v>539855</v>
      </c>
      <c r="N757" s="8">
        <v>0</v>
      </c>
      <c r="O757" s="8">
        <f>SUMIFS(EIAwtransport!$J$2:$J$675,EIAwtransport!$E$2:$E$675,Program_data!$E757,EIAwtransport!$H$2:$H$675,Program_data!$F757,EIAwtransport!$I$2:$I$675,Program_data!O$2)</f>
        <v>0</v>
      </c>
      <c r="P757" s="5">
        <f>SUMIFS(EIAwtransport!$J$2:$J$675,EIAwtransport!$E$2:$E$675,Program_data!$E757,EIAwtransport!$H$2:$H$675,Program_data!$F757,EIAwtransport!$I$2:$I$675,Program_data!P$2)</f>
        <v>0</v>
      </c>
      <c r="Q757" s="5">
        <f>SUMIFS(EIAwtransport!$J$2:$J$675,EIAwtransport!$E$2:$E$675,Program_data!$E757,EIAwtransport!$H$2:$H$675,Program_data!$F757,EIAwtransport!$I$2:$I$675,Program_data!Q$2)</f>
        <v>0</v>
      </c>
      <c r="R757" s="8">
        <f>SUMIFS(EIAwtransport!$J$2:$J$675,EIAwtransport!$E$2:$E$675,Program_data!$E757,EIAwtransport!$I$2:$I$675,Program_data!R$2)</f>
        <v>165278369</v>
      </c>
      <c r="S757" s="5">
        <f>SUMIFS(EIAwtransport!$J$2:$J$675,EIAwtransport!$E$2:$E$675,Program_data!$E757,EIAwtransport!$I$2:$I$675,Program_data!S$2)</f>
        <v>25379156</v>
      </c>
      <c r="T757" s="5">
        <f>SUMIFS(EIAwtransport!$J$2:$J$675,EIAwtransport!$E$2:$E$675,Program_data!$E757,EIAwtransport!$I$2:$I$675,Program_data!T$2)</f>
        <v>173721</v>
      </c>
      <c r="U757" s="24">
        <f t="shared" si="256"/>
        <v>0</v>
      </c>
      <c r="V757" s="24">
        <f t="shared" si="257"/>
        <v>0</v>
      </c>
      <c r="W757" s="24">
        <f t="shared" si="258"/>
        <v>3.2663378956746601E-3</v>
      </c>
      <c r="X757" s="25">
        <f t="shared" si="259"/>
        <v>2.0532422742724774E-3</v>
      </c>
      <c r="Y757" s="8" t="str">
        <f t="shared" si="247"/>
        <v/>
      </c>
      <c r="Z757" s="27" t="str">
        <f t="shared" si="248"/>
        <v/>
      </c>
      <c r="AA757" s="27"/>
      <c r="AB757" s="40"/>
      <c r="AC757" s="56">
        <f t="shared" si="243"/>
        <v>0</v>
      </c>
      <c r="AE757" s="20">
        <f t="shared" si="253"/>
        <v>0</v>
      </c>
      <c r="AF757" s="20">
        <f t="shared" si="254"/>
        <v>223125798.15000001</v>
      </c>
      <c r="AG757">
        <f t="shared" si="239"/>
        <v>0</v>
      </c>
      <c r="AH757">
        <f t="shared" si="240"/>
        <v>0</v>
      </c>
      <c r="AI757">
        <f t="shared" si="241"/>
        <v>2676993374.8800001</v>
      </c>
    </row>
    <row r="758" spans="2:35" x14ac:dyDescent="0.25">
      <c r="B758" s="4">
        <v>2024</v>
      </c>
      <c r="C758" s="4" t="s">
        <v>534</v>
      </c>
      <c r="D758" s="1" t="s">
        <v>242</v>
      </c>
      <c r="E758" s="4" t="str">
        <f t="shared" si="245"/>
        <v>Xcel-CO</v>
      </c>
      <c r="F758" s="4" t="s">
        <v>146</v>
      </c>
      <c r="G758" s="4"/>
      <c r="H758" s="4" t="s">
        <v>491</v>
      </c>
      <c r="I758" s="4"/>
      <c r="J758" s="4" t="s">
        <v>68</v>
      </c>
      <c r="K758" s="5">
        <v>89580</v>
      </c>
      <c r="L758" s="5">
        <f t="shared" ref="L758:L792" si="260">K758/0.645</f>
        <v>138883.72093023255</v>
      </c>
      <c r="M758" s="8">
        <v>64750</v>
      </c>
      <c r="N758" s="8">
        <v>46562</v>
      </c>
      <c r="O758" s="8">
        <f>SUMIFS(EIAwtransport!$J$2:$J$675,EIAwtransport!$E$2:$E$675,Program_data!$E758,EIAwtransport!$H$2:$H$675,Program_data!$F758,EIAwtransport!$I$2:$I$675,Program_data!O$2)</f>
        <v>386405636</v>
      </c>
      <c r="P758" s="5">
        <f>SUMIFS(EIAwtransport!$J$2:$J$675,EIAwtransport!$E$2:$E$675,Program_data!$E758,EIAwtransport!$H$2:$H$675,Program_data!$F758,EIAwtransport!$I$2:$I$675,Program_data!P$2)</f>
        <v>90043838</v>
      </c>
      <c r="Q758" s="5">
        <f>SUMIFS(EIAwtransport!$J$2:$J$675,EIAwtransport!$E$2:$E$675,Program_data!$E758,EIAwtransport!$H$2:$H$675,Program_data!$F758,EIAwtransport!$I$2:$I$675,Program_data!Q$2)</f>
        <v>110096</v>
      </c>
      <c r="R758" s="8">
        <f>SUMIFS(EIAwtransport!$J$2:$J$675,EIAwtransport!$E$2:$E$675,Program_data!$E758,EIAwtransport!$I$2:$I$675,Program_data!R$2)</f>
        <v>1224988736</v>
      </c>
      <c r="S758" s="5">
        <f>SUMIFS(EIAwtransport!$J$2:$J$675,EIAwtransport!$E$2:$E$675,Program_data!$E758,EIAwtransport!$I$2:$I$675,Program_data!S$2)</f>
        <v>185460106</v>
      </c>
      <c r="T758" s="5">
        <f>SUMIFS(EIAwtransport!$J$2:$J$675,EIAwtransport!$E$2:$E$675,Program_data!$E758,EIAwtransport!$I$2:$I$675,Program_data!T$2)</f>
        <v>1451821</v>
      </c>
      <c r="U758" s="24">
        <f t="shared" si="256"/>
        <v>4.6623062680219472E-5</v>
      </c>
      <c r="V758" s="24">
        <f t="shared" si="257"/>
        <v>7.2283818108867393E-5</v>
      </c>
      <c r="W758" s="24">
        <f>IFERROR(M758/R758,"")</f>
        <v>5.2857628888434119E-5</v>
      </c>
      <c r="X758" s="25">
        <f>IFERROR(M758/S758/10.36,"")</f>
        <v>3.3699969954724385E-5</v>
      </c>
      <c r="Y758" s="8">
        <f t="shared" si="247"/>
        <v>4.0415452122513434E-2</v>
      </c>
      <c r="Z758" s="27">
        <f t="shared" si="248"/>
        <v>7.9188328802171047E-3</v>
      </c>
      <c r="AA758" s="27"/>
      <c r="AB758" s="40"/>
      <c r="AC758" s="56">
        <f t="shared" si="243"/>
        <v>4.1245460029613115E-3</v>
      </c>
      <c r="AE758" s="20">
        <f t="shared" si="253"/>
        <v>62858.700000000004</v>
      </c>
      <c r="AF758" s="20">
        <f t="shared" si="254"/>
        <v>1653734793.6000001</v>
      </c>
      <c r="AG758">
        <f t="shared" si="239"/>
        <v>9448898.4000000004</v>
      </c>
      <c r="AH758">
        <f t="shared" si="240"/>
        <v>14649454.883720931</v>
      </c>
      <c r="AI758">
        <f t="shared" si="241"/>
        <v>19562331980.880001</v>
      </c>
    </row>
    <row r="759" spans="2:35" x14ac:dyDescent="0.25">
      <c r="B759" s="4">
        <v>2024</v>
      </c>
      <c r="C759" s="4" t="s">
        <v>534</v>
      </c>
      <c r="D759" s="1" t="s">
        <v>242</v>
      </c>
      <c r="E759" s="4" t="str">
        <f t="shared" si="245"/>
        <v>Xcel-CO</v>
      </c>
      <c r="F759" s="4" t="s">
        <v>146</v>
      </c>
      <c r="G759" s="4"/>
      <c r="H759" s="4" t="s">
        <v>535</v>
      </c>
      <c r="I759" s="4"/>
      <c r="J759" s="4" t="s">
        <v>21</v>
      </c>
      <c r="K759" s="5">
        <v>246740</v>
      </c>
      <c r="L759" s="5">
        <f t="shared" si="260"/>
        <v>382542.63565891475</v>
      </c>
      <c r="M759" s="8">
        <v>375440</v>
      </c>
      <c r="N759" s="8">
        <v>270915</v>
      </c>
      <c r="O759" s="8">
        <f>SUMIFS(EIAwtransport!$J$2:$J$675,EIAwtransport!$E$2:$E$675,Program_data!$E759,EIAwtransport!$H$2:$H$675,Program_data!$F759,EIAwtransport!$I$2:$I$675,Program_data!O$2)</f>
        <v>386405636</v>
      </c>
      <c r="P759" s="5">
        <f>SUMIFS(EIAwtransport!$J$2:$J$675,EIAwtransport!$E$2:$E$675,Program_data!$E759,EIAwtransport!$H$2:$H$675,Program_data!$F759,EIAwtransport!$I$2:$I$675,Program_data!P$2)</f>
        <v>90043838</v>
      </c>
      <c r="Q759" s="5">
        <f>SUMIFS(EIAwtransport!$J$2:$J$675,EIAwtransport!$E$2:$E$675,Program_data!$E759,EIAwtransport!$H$2:$H$675,Program_data!$F759,EIAwtransport!$I$2:$I$675,Program_data!Q$2)</f>
        <v>110096</v>
      </c>
      <c r="R759" s="8">
        <f>SUMIFS(EIAwtransport!$J$2:$J$675,EIAwtransport!$E$2:$E$675,Program_data!$E759,EIAwtransport!$I$2:$I$675,Program_data!R$2)</f>
        <v>1224988736</v>
      </c>
      <c r="S759" s="5">
        <f>SUMIFS(EIAwtransport!$J$2:$J$675,EIAwtransport!$E$2:$E$675,Program_data!$E759,EIAwtransport!$I$2:$I$675,Program_data!S$2)</f>
        <v>185460106</v>
      </c>
      <c r="T759" s="5">
        <f>SUMIFS(EIAwtransport!$J$2:$J$675,EIAwtransport!$E$2:$E$675,Program_data!$E759,EIAwtransport!$I$2:$I$675,Program_data!T$2)</f>
        <v>1451821</v>
      </c>
      <c r="U759" s="24">
        <f t="shared" si="256"/>
        <v>1.2841900519889877E-4</v>
      </c>
      <c r="V759" s="24">
        <f t="shared" si="257"/>
        <v>1.9909923286650974E-4</v>
      </c>
      <c r="W759" s="24">
        <f t="shared" si="258"/>
        <v>3.0648445080886034E-4</v>
      </c>
      <c r="X759" s="25">
        <f t="shared" si="259"/>
        <v>1.9540257482319264E-4</v>
      </c>
      <c r="Y759" s="8">
        <f t="shared" si="247"/>
        <v>0.23434096285523465</v>
      </c>
      <c r="Z759" s="27">
        <f t="shared" si="248"/>
        <v>4.5915777861756137E-2</v>
      </c>
      <c r="AA759" s="27"/>
      <c r="AB759" s="40"/>
      <c r="AC759" s="56">
        <f t="shared" si="243"/>
        <v>1.1360688555153762E-2</v>
      </c>
      <c r="AE759" s="20">
        <f t="shared" si="253"/>
        <v>365735.25</v>
      </c>
      <c r="AF759" s="20">
        <f t="shared" si="254"/>
        <v>1653734793.6000001</v>
      </c>
      <c r="AG759">
        <f t="shared" si="239"/>
        <v>26026135.199999999</v>
      </c>
      <c r="AH759">
        <f t="shared" si="240"/>
        <v>40350597.209302329</v>
      </c>
      <c r="AI759">
        <f t="shared" si="241"/>
        <v>19562331980.880001</v>
      </c>
    </row>
    <row r="760" spans="2:35" x14ac:dyDescent="0.25">
      <c r="B760" s="4">
        <v>2024</v>
      </c>
      <c r="C760" s="4" t="s">
        <v>534</v>
      </c>
      <c r="D760" s="1" t="s">
        <v>242</v>
      </c>
      <c r="E760" s="4" t="str">
        <f t="shared" si="245"/>
        <v>Xcel-CO</v>
      </c>
      <c r="F760" s="4" t="s">
        <v>146</v>
      </c>
      <c r="G760" s="4"/>
      <c r="H760" s="4" t="s">
        <v>493</v>
      </c>
      <c r="I760" s="4"/>
      <c r="J760" s="4" t="s">
        <v>61</v>
      </c>
      <c r="K760" s="5">
        <v>57980</v>
      </c>
      <c r="L760" s="5">
        <f t="shared" si="260"/>
        <v>89891.472868217053</v>
      </c>
      <c r="M760" s="8">
        <v>103234</v>
      </c>
      <c r="N760" s="8">
        <v>73384</v>
      </c>
      <c r="O760" s="8">
        <f>SUMIFS(EIAwtransport!$J$2:$J$675,EIAwtransport!$E$2:$E$675,Program_data!$E760,EIAwtransport!$H$2:$H$675,Program_data!$F760,EIAwtransport!$I$2:$I$675,Program_data!O$2)</f>
        <v>386405636</v>
      </c>
      <c r="P760" s="5">
        <f>SUMIFS(EIAwtransport!$J$2:$J$675,EIAwtransport!$E$2:$E$675,Program_data!$E760,EIAwtransport!$H$2:$H$675,Program_data!$F760,EIAwtransport!$I$2:$I$675,Program_data!P$2)</f>
        <v>90043838</v>
      </c>
      <c r="Q760" s="5">
        <f>SUMIFS(EIAwtransport!$J$2:$J$675,EIAwtransport!$E$2:$E$675,Program_data!$E760,EIAwtransport!$H$2:$H$675,Program_data!$F760,EIAwtransport!$I$2:$I$675,Program_data!Q$2)</f>
        <v>110096</v>
      </c>
      <c r="R760" s="8">
        <f>SUMIFS(EIAwtransport!$J$2:$J$675,EIAwtransport!$E$2:$E$675,Program_data!$E760,EIAwtransport!$I$2:$I$675,Program_data!R$2)</f>
        <v>1224988736</v>
      </c>
      <c r="S760" s="5">
        <f>SUMIFS(EIAwtransport!$J$2:$J$675,EIAwtransport!$E$2:$E$675,Program_data!$E760,EIAwtransport!$I$2:$I$675,Program_data!S$2)</f>
        <v>185460106</v>
      </c>
      <c r="T760" s="5">
        <f>SUMIFS(EIAwtransport!$J$2:$J$675,EIAwtransport!$E$2:$E$675,Program_data!$E760,EIAwtransport!$I$2:$I$675,Program_data!T$2)</f>
        <v>1451821</v>
      </c>
      <c r="U760" s="24">
        <f t="shared" si="256"/>
        <v>3.0176436416601083E-5</v>
      </c>
      <c r="V760" s="24">
        <f t="shared" si="257"/>
        <v>4.6785172738916406E-5</v>
      </c>
      <c r="W760" s="24">
        <f t="shared" si="258"/>
        <v>8.4273427963993953E-5</v>
      </c>
      <c r="X760" s="25">
        <f t="shared" si="259"/>
        <v>5.3729462522100657E-5</v>
      </c>
      <c r="Y760" s="8">
        <f t="shared" si="247"/>
        <v>6.4436274662788451E-2</v>
      </c>
      <c r="Z760" s="27">
        <f t="shared" si="248"/>
        <v>1.262537132905533E-2</v>
      </c>
      <c r="AA760" s="27"/>
      <c r="AB760" s="40"/>
      <c r="AC760" s="56">
        <f t="shared" si="243"/>
        <v>2.6695822421488819E-3</v>
      </c>
      <c r="AE760" s="20">
        <f t="shared" si="253"/>
        <v>99068.400000000009</v>
      </c>
      <c r="AF760" s="20">
        <f t="shared" si="254"/>
        <v>1653734793.6000001</v>
      </c>
      <c r="AG760">
        <f t="shared" si="239"/>
        <v>6115730.4000000004</v>
      </c>
      <c r="AH760">
        <f t="shared" si="240"/>
        <v>9481752.5581395347</v>
      </c>
      <c r="AI760">
        <f t="shared" si="241"/>
        <v>19562331980.880001</v>
      </c>
    </row>
    <row r="761" spans="2:35" x14ac:dyDescent="0.25">
      <c r="B761" s="4">
        <v>2024</v>
      </c>
      <c r="C761" s="4" t="s">
        <v>534</v>
      </c>
      <c r="D761" s="1" t="s">
        <v>242</v>
      </c>
      <c r="E761" s="4" t="str">
        <f t="shared" si="245"/>
        <v>Xcel-CO</v>
      </c>
      <c r="F761" s="4" t="s">
        <v>146</v>
      </c>
      <c r="G761" s="4"/>
      <c r="H761" s="4" t="s">
        <v>536</v>
      </c>
      <c r="I761" s="4"/>
      <c r="J761" s="4" t="s">
        <v>68</v>
      </c>
      <c r="K761" s="5">
        <v>81310</v>
      </c>
      <c r="L761" s="5">
        <f t="shared" si="260"/>
        <v>126062.01550387597</v>
      </c>
      <c r="M761" s="8">
        <v>85871</v>
      </c>
      <c r="N761" s="8">
        <v>84115</v>
      </c>
      <c r="O761" s="8">
        <f>SUMIFS(EIAwtransport!$J$2:$J$675,EIAwtransport!$E$2:$E$675,Program_data!$E761,EIAwtransport!$H$2:$H$675,Program_data!$F761,EIAwtransport!$I$2:$I$675,Program_data!O$2)</f>
        <v>386405636</v>
      </c>
      <c r="P761" s="5">
        <f>SUMIFS(EIAwtransport!$J$2:$J$675,EIAwtransport!$E$2:$E$675,Program_data!$E761,EIAwtransport!$H$2:$H$675,Program_data!$F761,EIAwtransport!$I$2:$I$675,Program_data!P$2)</f>
        <v>90043838</v>
      </c>
      <c r="Q761" s="5">
        <f>SUMIFS(EIAwtransport!$J$2:$J$675,EIAwtransport!$E$2:$E$675,Program_data!$E761,EIAwtransport!$H$2:$H$675,Program_data!$F761,EIAwtransport!$I$2:$I$675,Program_data!Q$2)</f>
        <v>110096</v>
      </c>
      <c r="R761" s="8">
        <f>SUMIFS(EIAwtransport!$J$2:$J$675,EIAwtransport!$E$2:$E$675,Program_data!$E761,EIAwtransport!$I$2:$I$675,Program_data!R$2)</f>
        <v>1224988736</v>
      </c>
      <c r="S761" s="5">
        <f>SUMIFS(EIAwtransport!$J$2:$J$675,EIAwtransport!$E$2:$E$675,Program_data!$E761,EIAwtransport!$I$2:$I$675,Program_data!S$2)</f>
        <v>185460106</v>
      </c>
      <c r="T761" s="5">
        <f>SUMIFS(EIAwtransport!$J$2:$J$675,EIAwtransport!$E$2:$E$675,Program_data!$E761,EIAwtransport!$I$2:$I$675,Program_data!T$2)</f>
        <v>1451821</v>
      </c>
      <c r="U761" s="24">
        <f t="shared" si="256"/>
        <v>4.2318834857430736E-5</v>
      </c>
      <c r="V761" s="24">
        <f t="shared" si="257"/>
        <v>6.5610596678187182E-5</v>
      </c>
      <c r="W761" s="24">
        <f t="shared" si="258"/>
        <v>7.0099420081524736E-5</v>
      </c>
      <c r="X761" s="25">
        <f t="shared" si="259"/>
        <v>4.4692665945670087E-5</v>
      </c>
      <c r="Y761" s="8">
        <f t="shared" si="247"/>
        <v>5.3598691725287279E-2</v>
      </c>
      <c r="Z761" s="27">
        <f t="shared" si="248"/>
        <v>1.0501901131384139E-2</v>
      </c>
      <c r="AA761" s="27"/>
      <c r="AB761" s="40"/>
      <c r="AC761" s="56">
        <f t="shared" si="243"/>
        <v>3.7437690946727424E-3</v>
      </c>
      <c r="AE761" s="20">
        <f t="shared" si="253"/>
        <v>113555.25000000001</v>
      </c>
      <c r="AF761" s="20">
        <f t="shared" si="254"/>
        <v>1653734793.6000001</v>
      </c>
      <c r="AG761">
        <f t="shared" si="239"/>
        <v>8576578.8000000007</v>
      </c>
      <c r="AH761">
        <f t="shared" si="240"/>
        <v>13297021.395348838</v>
      </c>
      <c r="AI761">
        <f t="shared" si="241"/>
        <v>19562331980.880001</v>
      </c>
    </row>
    <row r="762" spans="2:35" x14ac:dyDescent="0.25">
      <c r="B762" s="4">
        <v>2024</v>
      </c>
      <c r="C762" s="4" t="s">
        <v>534</v>
      </c>
      <c r="D762" s="1" t="s">
        <v>242</v>
      </c>
      <c r="E762" s="4" t="str">
        <f t="shared" si="245"/>
        <v>Xcel-CO</v>
      </c>
      <c r="F762" s="4" t="s">
        <v>146</v>
      </c>
      <c r="G762" s="4"/>
      <c r="H762" s="4" t="s">
        <v>537</v>
      </c>
      <c r="I762" s="4"/>
      <c r="J762" s="4" t="s">
        <v>32</v>
      </c>
      <c r="K762" s="5">
        <v>997480</v>
      </c>
      <c r="L762" s="5">
        <f t="shared" si="260"/>
        <v>1546480.6201550388</v>
      </c>
      <c r="M762" s="8">
        <v>853849</v>
      </c>
      <c r="N762" s="8">
        <v>494059</v>
      </c>
      <c r="O762" s="8">
        <f>SUMIFS(EIAwtransport!$J$2:$J$675,EIAwtransport!$E$2:$E$675,Program_data!$E762,EIAwtransport!$H$2:$H$675,Program_data!$F762,EIAwtransport!$I$2:$I$675,Program_data!O$2)</f>
        <v>386405636</v>
      </c>
      <c r="P762" s="5">
        <f>SUMIFS(EIAwtransport!$J$2:$J$675,EIAwtransport!$E$2:$E$675,Program_data!$E762,EIAwtransport!$H$2:$H$675,Program_data!$F762,EIAwtransport!$I$2:$I$675,Program_data!P$2)</f>
        <v>90043838</v>
      </c>
      <c r="Q762" s="5">
        <f>SUMIFS(EIAwtransport!$J$2:$J$675,EIAwtransport!$E$2:$E$675,Program_data!$E762,EIAwtransport!$H$2:$H$675,Program_data!$F762,EIAwtransport!$I$2:$I$675,Program_data!Q$2)</f>
        <v>110096</v>
      </c>
      <c r="R762" s="8">
        <f>SUMIFS(EIAwtransport!$J$2:$J$675,EIAwtransport!$E$2:$E$675,Program_data!$E762,EIAwtransport!$I$2:$I$675,Program_data!R$2)</f>
        <v>1224988736</v>
      </c>
      <c r="S762" s="5">
        <f>SUMIFS(EIAwtransport!$J$2:$J$675,EIAwtransport!$E$2:$E$675,Program_data!$E762,EIAwtransport!$I$2:$I$675,Program_data!S$2)</f>
        <v>185460106</v>
      </c>
      <c r="T762" s="5">
        <f>SUMIFS(EIAwtransport!$J$2:$J$675,EIAwtransport!$E$2:$E$675,Program_data!$E762,EIAwtransport!$I$2:$I$675,Program_data!T$2)</f>
        <v>1451821</v>
      </c>
      <c r="U762" s="24">
        <f t="shared" si="256"/>
        <v>5.1915129004538195E-4</v>
      </c>
      <c r="V762" s="24">
        <f t="shared" si="257"/>
        <v>8.0488572100059221E-4</v>
      </c>
      <c r="W762" s="24">
        <f t="shared" si="258"/>
        <v>6.970260010619396E-4</v>
      </c>
      <c r="X762" s="25">
        <f t="shared" si="259"/>
        <v>4.4439668951152839E-4</v>
      </c>
      <c r="Y762" s="8">
        <f t="shared" si="247"/>
        <v>0.53295279350356717</v>
      </c>
      <c r="Z762" s="27">
        <f t="shared" si="248"/>
        <v>0.10442451792958292</v>
      </c>
      <c r="AA762" s="27"/>
      <c r="AB762" s="40"/>
      <c r="AC762" s="56">
        <f t="shared" si="243"/>
        <v>4.5927128232126024E-2</v>
      </c>
      <c r="AE762" s="20">
        <f t="shared" si="253"/>
        <v>666979.65</v>
      </c>
      <c r="AF762" s="20">
        <f t="shared" si="254"/>
        <v>1653734793.6000001</v>
      </c>
      <c r="AG762">
        <f t="shared" si="239"/>
        <v>105214190.40000001</v>
      </c>
      <c r="AH762">
        <f t="shared" si="240"/>
        <v>163122775.81395349</v>
      </c>
      <c r="AI762">
        <f t="shared" si="241"/>
        <v>19562331980.880001</v>
      </c>
    </row>
    <row r="763" spans="2:35" x14ac:dyDescent="0.25">
      <c r="B763" s="4">
        <v>2024</v>
      </c>
      <c r="C763" s="4" t="s">
        <v>534</v>
      </c>
      <c r="D763" s="1" t="s">
        <v>242</v>
      </c>
      <c r="E763" s="4" t="str">
        <f t="shared" si="245"/>
        <v>Xcel-CO</v>
      </c>
      <c r="F763" s="4" t="s">
        <v>146</v>
      </c>
      <c r="G763" s="4"/>
      <c r="H763" s="4" t="s">
        <v>538</v>
      </c>
      <c r="I763" s="4"/>
      <c r="J763" s="4" t="s">
        <v>75</v>
      </c>
      <c r="K763" s="5">
        <v>129020</v>
      </c>
      <c r="L763" s="5">
        <f t="shared" si="260"/>
        <v>200031.00775193798</v>
      </c>
      <c r="M763" s="8">
        <v>62879</v>
      </c>
      <c r="N763" s="8">
        <v>40949</v>
      </c>
      <c r="O763" s="8">
        <f>SUMIFS(EIAwtransport!$J$2:$J$675,EIAwtransport!$E$2:$E$675,Program_data!$E763,EIAwtransport!$H$2:$H$675,Program_data!$F763,EIAwtransport!$I$2:$I$675,Program_data!O$2)</f>
        <v>386405636</v>
      </c>
      <c r="P763" s="5">
        <f>SUMIFS(EIAwtransport!$J$2:$J$675,EIAwtransport!$E$2:$E$675,Program_data!$E763,EIAwtransport!$H$2:$H$675,Program_data!$F763,EIAwtransport!$I$2:$I$675,Program_data!P$2)</f>
        <v>90043838</v>
      </c>
      <c r="Q763" s="5">
        <f>SUMIFS(EIAwtransport!$J$2:$J$675,EIAwtransport!$E$2:$E$675,Program_data!$E763,EIAwtransport!$H$2:$H$675,Program_data!$F763,EIAwtransport!$I$2:$I$675,Program_data!Q$2)</f>
        <v>110096</v>
      </c>
      <c r="R763" s="8">
        <f>SUMIFS(EIAwtransport!$J$2:$J$675,EIAwtransport!$E$2:$E$675,Program_data!$E763,EIAwtransport!$I$2:$I$675,Program_data!R$2)</f>
        <v>1224988736</v>
      </c>
      <c r="S763" s="5">
        <f>SUMIFS(EIAwtransport!$J$2:$J$675,EIAwtransport!$E$2:$E$675,Program_data!$E763,EIAwtransport!$I$2:$I$675,Program_data!S$2)</f>
        <v>185460106</v>
      </c>
      <c r="T763" s="5">
        <f>SUMIFS(EIAwtransport!$J$2:$J$675,EIAwtransport!$E$2:$E$675,Program_data!$E763,EIAwtransport!$I$2:$I$675,Program_data!T$2)</f>
        <v>1451821</v>
      </c>
      <c r="U763" s="24">
        <f t="shared" si="256"/>
        <v>6.7150117738355841E-5</v>
      </c>
      <c r="V763" s="24">
        <f t="shared" si="257"/>
        <v>1.0410870967186951E-4</v>
      </c>
      <c r="W763" s="24">
        <f t="shared" si="258"/>
        <v>5.1330267905418517E-5</v>
      </c>
      <c r="X763" s="25">
        <f t="shared" si="259"/>
        <v>3.2726183950318375E-5</v>
      </c>
      <c r="Y763" s="8">
        <f t="shared" si="247"/>
        <v>3.9247617204811153E-2</v>
      </c>
      <c r="Z763" s="27">
        <f t="shared" si="248"/>
        <v>7.6900122420875874E-3</v>
      </c>
      <c r="AA763" s="27"/>
      <c r="AB763" s="40"/>
      <c r="AC763" s="56">
        <f t="shared" ref="AC763:AC826" si="261">IFERROR(K763/SUMIFS($M$3:$M$1234,$E$3:$E$1234,E763,$B$3:$B$1234,B763),"")</f>
        <v>5.9404881145575846E-3</v>
      </c>
      <c r="AE763" s="20">
        <f t="shared" si="253"/>
        <v>55281.15</v>
      </c>
      <c r="AF763" s="20">
        <f t="shared" si="254"/>
        <v>1653734793.6000001</v>
      </c>
      <c r="AG763">
        <f t="shared" ref="AG763:AG826" si="262">K763*105.48</f>
        <v>13609029.6</v>
      </c>
      <c r="AH763">
        <f t="shared" ref="AH763:AH826" si="263">L763*105.48</f>
        <v>21099270.69767442</v>
      </c>
      <c r="AI763">
        <f t="shared" ref="AI763:AI826" si="264">S763*105.48</f>
        <v>19562331980.880001</v>
      </c>
    </row>
    <row r="764" spans="2:35" x14ac:dyDescent="0.25">
      <c r="B764" s="4">
        <v>2024</v>
      </c>
      <c r="C764" s="4" t="s">
        <v>534</v>
      </c>
      <c r="D764" s="1" t="s">
        <v>242</v>
      </c>
      <c r="E764" s="4" t="str">
        <f t="shared" si="245"/>
        <v>Xcel-CO</v>
      </c>
      <c r="F764" s="4" t="s">
        <v>146</v>
      </c>
      <c r="G764" s="4"/>
      <c r="H764" s="4" t="s">
        <v>539</v>
      </c>
      <c r="I764" s="4"/>
      <c r="J764" s="4" t="s">
        <v>155</v>
      </c>
      <c r="K764" s="5">
        <v>0</v>
      </c>
      <c r="L764" s="5">
        <f t="shared" si="260"/>
        <v>0</v>
      </c>
      <c r="M764" s="8">
        <v>69131</v>
      </c>
      <c r="N764" s="8">
        <v>0</v>
      </c>
      <c r="O764" s="8">
        <f>SUMIFS(EIAwtransport!$J$2:$J$675,EIAwtransport!$E$2:$E$675,Program_data!$E764,EIAwtransport!$H$2:$H$675,Program_data!$F764,EIAwtransport!$I$2:$I$675,Program_data!O$2)</f>
        <v>386405636</v>
      </c>
      <c r="P764" s="5">
        <f>SUMIFS(EIAwtransport!$J$2:$J$675,EIAwtransport!$E$2:$E$675,Program_data!$E764,EIAwtransport!$H$2:$H$675,Program_data!$F764,EIAwtransport!$I$2:$I$675,Program_data!P$2)</f>
        <v>90043838</v>
      </c>
      <c r="Q764" s="5">
        <f>SUMIFS(EIAwtransport!$J$2:$J$675,EIAwtransport!$E$2:$E$675,Program_data!$E764,EIAwtransport!$H$2:$H$675,Program_data!$F764,EIAwtransport!$I$2:$I$675,Program_data!Q$2)</f>
        <v>110096</v>
      </c>
      <c r="R764" s="8">
        <f>SUMIFS(EIAwtransport!$J$2:$J$675,EIAwtransport!$E$2:$E$675,Program_data!$E764,EIAwtransport!$I$2:$I$675,Program_data!R$2)</f>
        <v>1224988736</v>
      </c>
      <c r="S764" s="5">
        <f>SUMIFS(EIAwtransport!$J$2:$J$675,EIAwtransport!$E$2:$E$675,Program_data!$E764,EIAwtransport!$I$2:$I$675,Program_data!S$2)</f>
        <v>185460106</v>
      </c>
      <c r="T764" s="5">
        <f>SUMIFS(EIAwtransport!$J$2:$J$675,EIAwtransport!$E$2:$E$675,Program_data!$E764,EIAwtransport!$I$2:$I$675,Program_data!T$2)</f>
        <v>1451821</v>
      </c>
      <c r="U764" s="24">
        <f t="shared" si="256"/>
        <v>0</v>
      </c>
      <c r="V764" s="24">
        <f t="shared" si="257"/>
        <v>0</v>
      </c>
      <c r="W764" s="24">
        <f t="shared" si="258"/>
        <v>5.643398830403613E-5</v>
      </c>
      <c r="X764" s="25">
        <f t="shared" si="259"/>
        <v>3.598011772880389E-5</v>
      </c>
      <c r="Y764" s="8">
        <f t="shared" si="247"/>
        <v>4.3149970975775699E-2</v>
      </c>
      <c r="Z764" s="27">
        <f t="shared" si="248"/>
        <v>8.4546229473712528E-3</v>
      </c>
      <c r="AA764" s="27"/>
      <c r="AB764" s="40"/>
      <c r="AC764" s="56">
        <f t="shared" si="261"/>
        <v>0</v>
      </c>
      <c r="AE764" s="20">
        <f t="shared" si="253"/>
        <v>0</v>
      </c>
      <c r="AF764" s="20">
        <f t="shared" si="254"/>
        <v>1653734793.6000001</v>
      </c>
      <c r="AG764">
        <f t="shared" si="262"/>
        <v>0</v>
      </c>
      <c r="AH764">
        <f t="shared" si="263"/>
        <v>0</v>
      </c>
      <c r="AI764">
        <f t="shared" si="264"/>
        <v>19562331980.880001</v>
      </c>
    </row>
    <row r="765" spans="2:35" x14ac:dyDescent="0.25">
      <c r="B765" s="4">
        <v>2024</v>
      </c>
      <c r="C765" s="4" t="s">
        <v>534</v>
      </c>
      <c r="D765" s="1" t="s">
        <v>242</v>
      </c>
      <c r="E765" s="4" t="str">
        <f t="shared" si="245"/>
        <v>Xcel-CO</v>
      </c>
      <c r="F765" s="4" t="s">
        <v>135</v>
      </c>
      <c r="G765" s="4"/>
      <c r="H765" s="4" t="s">
        <v>482</v>
      </c>
      <c r="I765" s="4"/>
      <c r="J765" s="4" t="s">
        <v>21</v>
      </c>
      <c r="K765" s="5">
        <v>455740</v>
      </c>
      <c r="L765" s="5">
        <f t="shared" si="260"/>
        <v>706573.64341085264</v>
      </c>
      <c r="M765" s="8">
        <v>548327</v>
      </c>
      <c r="N765" s="8">
        <v>180785</v>
      </c>
      <c r="O765" s="8">
        <f>SUMIFS(EIAwtransport!$J$2:$J$675,EIAwtransport!$E$2:$E$675,Program_data!$E765,EIAwtransport!$H$2:$H$675,Program_data!$F765,EIAwtransport!$I$2:$I$675,Program_data!O$2)</f>
        <v>838583100</v>
      </c>
      <c r="P765" s="5">
        <f>SUMIFS(EIAwtransport!$J$2:$J$675,EIAwtransport!$E$2:$E$675,Program_data!$E765,EIAwtransport!$H$2:$H$675,Program_data!$F765,EIAwtransport!$I$2:$I$675,Program_data!P$2)</f>
        <v>95416268</v>
      </c>
      <c r="Q765" s="5">
        <f>SUMIFS(EIAwtransport!$J$2:$J$675,EIAwtransport!$E$2:$E$675,Program_data!$E765,EIAwtransport!$H$2:$H$675,Program_data!$F765,EIAwtransport!$I$2:$I$675,Program_data!Q$2)</f>
        <v>1341725</v>
      </c>
      <c r="R765" s="8">
        <f>SUMIFS(EIAwtransport!$J$2:$J$675,EIAwtransport!$E$2:$E$675,Program_data!$E765,EIAwtransport!$I$2:$I$675,Program_data!R$2)</f>
        <v>1224988736</v>
      </c>
      <c r="S765" s="5">
        <f>SUMIFS(EIAwtransport!$J$2:$J$675,EIAwtransport!$E$2:$E$675,Program_data!$E765,EIAwtransport!$I$2:$I$675,Program_data!S$2)</f>
        <v>185460106</v>
      </c>
      <c r="T765" s="5">
        <f>SUMIFS(EIAwtransport!$J$2:$J$675,EIAwtransport!$E$2:$E$675,Program_data!$E765,EIAwtransport!$I$2:$I$675,Program_data!T$2)</f>
        <v>1451821</v>
      </c>
      <c r="U765" s="24">
        <f t="shared" si="256"/>
        <v>2.3719574219561535E-4</v>
      </c>
      <c r="V765" s="24">
        <f t="shared" si="257"/>
        <v>3.6774533673738813E-4</v>
      </c>
      <c r="W765" s="24">
        <f t="shared" si="258"/>
        <v>4.4761799344414545E-4</v>
      </c>
      <c r="X765" s="25">
        <f t="shared" si="259"/>
        <v>2.8538383668516077E-4</v>
      </c>
      <c r="Y765" s="8">
        <f t="shared" si="247"/>
        <v>0.10172948302891439</v>
      </c>
      <c r="Z765" s="27">
        <f t="shared" si="248"/>
        <v>6.7059611995533661E-2</v>
      </c>
      <c r="AA765" s="27"/>
      <c r="AB765" s="40"/>
      <c r="AC765" s="56">
        <f t="shared" si="261"/>
        <v>2.0983708365590402E-2</v>
      </c>
      <c r="AE765" s="20">
        <f t="shared" si="253"/>
        <v>244059.75000000003</v>
      </c>
      <c r="AF765" s="20">
        <f t="shared" si="254"/>
        <v>1653734793.6000001</v>
      </c>
      <c r="AG765">
        <f t="shared" si="262"/>
        <v>48071455.200000003</v>
      </c>
      <c r="AH765">
        <f t="shared" si="263"/>
        <v>74529387.906976745</v>
      </c>
      <c r="AI765">
        <f t="shared" si="264"/>
        <v>19562331980.880001</v>
      </c>
    </row>
    <row r="766" spans="2:35" x14ac:dyDescent="0.25">
      <c r="B766" s="4">
        <v>2024</v>
      </c>
      <c r="C766" s="4" t="s">
        <v>534</v>
      </c>
      <c r="D766" s="1" t="s">
        <v>242</v>
      </c>
      <c r="E766" s="4" t="str">
        <f t="shared" si="245"/>
        <v>Xcel-CO</v>
      </c>
      <c r="F766" s="4" t="s">
        <v>135</v>
      </c>
      <c r="G766" s="4"/>
      <c r="H766" s="4" t="s">
        <v>484</v>
      </c>
      <c r="I766" s="4"/>
      <c r="J766" s="4" t="s">
        <v>21</v>
      </c>
      <c r="K766" s="5">
        <v>1440540</v>
      </c>
      <c r="L766" s="5">
        <f t="shared" si="260"/>
        <v>2233395.3488372094</v>
      </c>
      <c r="M766" s="8">
        <v>799744</v>
      </c>
      <c r="N766" s="8">
        <v>0</v>
      </c>
      <c r="O766" s="8">
        <f>SUMIFS(EIAwtransport!$J$2:$J$675,EIAwtransport!$E$2:$E$675,Program_data!$E766,EIAwtransport!$H$2:$H$675,Program_data!$F766,EIAwtransport!$I$2:$I$675,Program_data!O$2)</f>
        <v>838583100</v>
      </c>
      <c r="P766" s="5">
        <f>SUMIFS(EIAwtransport!$J$2:$J$675,EIAwtransport!$E$2:$E$675,Program_data!$E766,EIAwtransport!$H$2:$H$675,Program_data!$F766,EIAwtransport!$I$2:$I$675,Program_data!P$2)</f>
        <v>95416268</v>
      </c>
      <c r="Q766" s="5">
        <f>SUMIFS(EIAwtransport!$J$2:$J$675,EIAwtransport!$E$2:$E$675,Program_data!$E766,EIAwtransport!$H$2:$H$675,Program_data!$F766,EIAwtransport!$I$2:$I$675,Program_data!Q$2)</f>
        <v>1341725</v>
      </c>
      <c r="R766" s="8">
        <f>SUMIFS(EIAwtransport!$J$2:$J$675,EIAwtransport!$E$2:$E$675,Program_data!$E766,EIAwtransport!$I$2:$I$675,Program_data!R$2)</f>
        <v>1224988736</v>
      </c>
      <c r="S766" s="5">
        <f>SUMIFS(EIAwtransport!$J$2:$J$675,EIAwtransport!$E$2:$E$675,Program_data!$E766,EIAwtransport!$I$2:$I$675,Program_data!S$2)</f>
        <v>185460106</v>
      </c>
      <c r="T766" s="5">
        <f>SUMIFS(EIAwtransport!$J$2:$J$675,EIAwtransport!$E$2:$E$675,Program_data!$E766,EIAwtransport!$I$2:$I$675,Program_data!T$2)</f>
        <v>1451821</v>
      </c>
      <c r="U766" s="24">
        <f t="shared" si="256"/>
        <v>7.4974756322129213E-4</v>
      </c>
      <c r="V766" s="24">
        <f t="shared" si="257"/>
        <v>1.1623993228237089E-3</v>
      </c>
      <c r="W766" s="24">
        <f t="shared" si="258"/>
        <v>6.5285824799616774E-4</v>
      </c>
      <c r="X766" s="25">
        <f t="shared" si="259"/>
        <v>4.1623704666364633E-4</v>
      </c>
      <c r="Y766" s="8">
        <f t="shared" si="247"/>
        <v>0.14837413382065101</v>
      </c>
      <c r="Z766" s="27">
        <f t="shared" si="248"/>
        <v>9.780755340473124E-2</v>
      </c>
      <c r="AA766" s="27"/>
      <c r="AB766" s="40"/>
      <c r="AC766" s="56">
        <f t="shared" si="261"/>
        <v>6.6327009367111944E-2</v>
      </c>
      <c r="AE766" s="20">
        <f t="shared" si="253"/>
        <v>0</v>
      </c>
      <c r="AF766" s="20">
        <f t="shared" si="254"/>
        <v>1653734793.6000001</v>
      </c>
      <c r="AG766">
        <f t="shared" si="262"/>
        <v>151948159.20000002</v>
      </c>
      <c r="AH766">
        <f t="shared" si="263"/>
        <v>235578541.39534885</v>
      </c>
      <c r="AI766">
        <f t="shared" si="264"/>
        <v>19562331980.880001</v>
      </c>
    </row>
    <row r="767" spans="2:35" x14ac:dyDescent="0.25">
      <c r="B767" s="4">
        <v>2024</v>
      </c>
      <c r="C767" s="4" t="s">
        <v>534</v>
      </c>
      <c r="D767" s="1" t="s">
        <v>242</v>
      </c>
      <c r="E767" s="4" t="str">
        <f t="shared" si="245"/>
        <v>Xcel-CO</v>
      </c>
      <c r="F767" s="4" t="s">
        <v>135</v>
      </c>
      <c r="G767" s="4"/>
      <c r="H767" s="4" t="s">
        <v>278</v>
      </c>
      <c r="I767" s="4"/>
      <c r="J767" s="4" t="s">
        <v>21</v>
      </c>
      <c r="K767" s="5">
        <v>328510</v>
      </c>
      <c r="L767" s="5">
        <f t="shared" si="260"/>
        <v>509317.82945736434</v>
      </c>
      <c r="M767" s="8">
        <v>3228702</v>
      </c>
      <c r="N767" s="8">
        <v>55489</v>
      </c>
      <c r="O767" s="8">
        <f>SUMIFS(EIAwtransport!$J$2:$J$675,EIAwtransport!$E$2:$E$675,Program_data!$E767,EIAwtransport!$H$2:$H$675,Program_data!$F767,EIAwtransport!$I$2:$I$675,Program_data!O$2)</f>
        <v>838583100</v>
      </c>
      <c r="P767" s="5">
        <f>SUMIFS(EIAwtransport!$J$2:$J$675,EIAwtransport!$E$2:$E$675,Program_data!$E767,EIAwtransport!$H$2:$H$675,Program_data!$F767,EIAwtransport!$I$2:$I$675,Program_data!P$2)</f>
        <v>95416268</v>
      </c>
      <c r="Q767" s="5">
        <f>SUMIFS(EIAwtransport!$J$2:$J$675,EIAwtransport!$E$2:$E$675,Program_data!$E767,EIAwtransport!$H$2:$H$675,Program_data!$F767,EIAwtransport!$I$2:$I$675,Program_data!Q$2)</f>
        <v>1341725</v>
      </c>
      <c r="R767" s="8">
        <f>SUMIFS(EIAwtransport!$J$2:$J$675,EIAwtransport!$E$2:$E$675,Program_data!$E767,EIAwtransport!$I$2:$I$675,Program_data!R$2)</f>
        <v>1224988736</v>
      </c>
      <c r="S767" s="5">
        <f>SUMIFS(EIAwtransport!$J$2:$J$675,EIAwtransport!$E$2:$E$675,Program_data!$E767,EIAwtransport!$I$2:$I$675,Program_data!S$2)</f>
        <v>185460106</v>
      </c>
      <c r="T767" s="5">
        <f>SUMIFS(EIAwtransport!$J$2:$J$675,EIAwtransport!$E$2:$E$675,Program_data!$E767,EIAwtransport!$I$2:$I$675,Program_data!T$2)</f>
        <v>1451821</v>
      </c>
      <c r="U767" s="24">
        <f t="shared" si="256"/>
        <v>1.7097725297029356E-4</v>
      </c>
      <c r="V767" s="24">
        <f t="shared" si="257"/>
        <v>2.6508101235704428E-4</v>
      </c>
      <c r="W767" s="24">
        <f t="shared" si="258"/>
        <v>2.6356993375651742E-3</v>
      </c>
      <c r="X767" s="25">
        <f t="shared" si="259"/>
        <v>1.6804194655252284E-3</v>
      </c>
      <c r="Y767" s="8">
        <f t="shared" si="247"/>
        <v>0.59901151195257929</v>
      </c>
      <c r="Z767" s="27">
        <f t="shared" si="248"/>
        <v>0.39486566112776411</v>
      </c>
      <c r="AA767" s="27"/>
      <c r="AB767" s="40"/>
      <c r="AC767" s="56">
        <f t="shared" si="261"/>
        <v>1.5125637502040863E-2</v>
      </c>
      <c r="AE767" s="20">
        <f t="shared" si="253"/>
        <v>74910.150000000009</v>
      </c>
      <c r="AF767" s="20">
        <f t="shared" si="254"/>
        <v>1653734793.6000001</v>
      </c>
      <c r="AG767">
        <f t="shared" si="262"/>
        <v>34651234.800000004</v>
      </c>
      <c r="AH767">
        <f t="shared" si="263"/>
        <v>53722844.651162796</v>
      </c>
      <c r="AI767">
        <f t="shared" si="264"/>
        <v>19562331980.880001</v>
      </c>
    </row>
    <row r="768" spans="2:35" x14ac:dyDescent="0.25">
      <c r="B768" s="4">
        <v>2024</v>
      </c>
      <c r="C768" s="4" t="s">
        <v>534</v>
      </c>
      <c r="D768" s="1" t="s">
        <v>242</v>
      </c>
      <c r="E768" s="4" t="str">
        <f t="shared" si="245"/>
        <v>Xcel-CO</v>
      </c>
      <c r="F768" s="4" t="s">
        <v>135</v>
      </c>
      <c r="G768" s="4"/>
      <c r="H768" s="4" t="s">
        <v>540</v>
      </c>
      <c r="I768" s="4"/>
      <c r="J768" s="4" t="s">
        <v>21</v>
      </c>
      <c r="K768" s="5">
        <v>603040</v>
      </c>
      <c r="L768" s="5">
        <f t="shared" si="260"/>
        <v>934945.73643410846</v>
      </c>
      <c r="M768" s="8">
        <v>925429</v>
      </c>
      <c r="N768" s="8">
        <v>893402</v>
      </c>
      <c r="O768" s="8">
        <f>SUMIFS(EIAwtransport!$J$2:$J$675,EIAwtransport!$E$2:$E$675,Program_data!$E768,EIAwtransport!$H$2:$H$675,Program_data!$F768,EIAwtransport!$I$2:$I$675,Program_data!O$2)</f>
        <v>838583100</v>
      </c>
      <c r="P768" s="5">
        <f>SUMIFS(EIAwtransport!$J$2:$J$675,EIAwtransport!$E$2:$E$675,Program_data!$E768,EIAwtransport!$H$2:$H$675,Program_data!$F768,EIAwtransport!$I$2:$I$675,Program_data!P$2)</f>
        <v>95416268</v>
      </c>
      <c r="Q768" s="5">
        <f>SUMIFS(EIAwtransport!$J$2:$J$675,EIAwtransport!$E$2:$E$675,Program_data!$E768,EIAwtransport!$H$2:$H$675,Program_data!$F768,EIAwtransport!$I$2:$I$675,Program_data!Q$2)</f>
        <v>1341725</v>
      </c>
      <c r="R768" s="8">
        <f>SUMIFS(EIAwtransport!$J$2:$J$675,EIAwtransport!$E$2:$E$675,Program_data!$E768,EIAwtransport!$I$2:$I$675,Program_data!R$2)</f>
        <v>1224988736</v>
      </c>
      <c r="S768" s="5">
        <f>SUMIFS(EIAwtransport!$J$2:$J$675,EIAwtransport!$E$2:$E$675,Program_data!$E768,EIAwtransport!$I$2:$I$675,Program_data!S$2)</f>
        <v>185460106</v>
      </c>
      <c r="T768" s="5">
        <f>SUMIFS(EIAwtransport!$J$2:$J$675,EIAwtransport!$E$2:$E$675,Program_data!$E768,EIAwtransport!$I$2:$I$675,Program_data!T$2)</f>
        <v>1451821</v>
      </c>
      <c r="U768" s="24">
        <f t="shared" si="256"/>
        <v>3.1385992094976051E-4</v>
      </c>
      <c r="V768" s="24">
        <f t="shared" si="257"/>
        <v>4.8660452860427983E-4</v>
      </c>
      <c r="W768" s="24">
        <f t="shared" si="258"/>
        <v>7.5545919142231202E-4</v>
      </c>
      <c r="X768" s="25">
        <f t="shared" si="259"/>
        <v>4.8165142077576269E-4</v>
      </c>
      <c r="Y768" s="8">
        <f t="shared" si="247"/>
        <v>0.17169209933117505</v>
      </c>
      <c r="Z768" s="27">
        <f t="shared" si="248"/>
        <v>0.11317865009276347</v>
      </c>
      <c r="AA768" s="27"/>
      <c r="AB768" s="40"/>
      <c r="AC768" s="56">
        <f t="shared" si="261"/>
        <v>2.7765865389883786E-2</v>
      </c>
      <c r="AE768" s="20">
        <f t="shared" si="253"/>
        <v>1206092.7000000002</v>
      </c>
      <c r="AF768" s="20">
        <f t="shared" si="254"/>
        <v>1653734793.6000001</v>
      </c>
      <c r="AG768">
        <f t="shared" si="262"/>
        <v>63608659.200000003</v>
      </c>
      <c r="AH768">
        <f t="shared" si="263"/>
        <v>98618076.279069766</v>
      </c>
      <c r="AI768">
        <f t="shared" si="264"/>
        <v>19562331980.880001</v>
      </c>
    </row>
    <row r="769" spans="2:35" x14ac:dyDescent="0.25">
      <c r="B769" s="4">
        <v>2024</v>
      </c>
      <c r="C769" s="4" t="s">
        <v>534</v>
      </c>
      <c r="D769" s="1" t="s">
        <v>242</v>
      </c>
      <c r="E769" s="4" t="str">
        <f t="shared" si="245"/>
        <v>Xcel-CO</v>
      </c>
      <c r="F769" s="4" t="s">
        <v>135</v>
      </c>
      <c r="G769" s="4"/>
      <c r="H769" s="4" t="s">
        <v>541</v>
      </c>
      <c r="I769" s="4"/>
      <c r="J769" s="4" t="s">
        <v>21</v>
      </c>
      <c r="K769" s="5">
        <v>159960</v>
      </c>
      <c r="L769" s="5">
        <f t="shared" si="260"/>
        <v>248000</v>
      </c>
      <c r="M769" s="8">
        <v>340480</v>
      </c>
      <c r="N769" s="8">
        <v>340480</v>
      </c>
      <c r="O769" s="8">
        <f>SUMIFS(EIAwtransport!$J$2:$J$675,EIAwtransport!$E$2:$E$675,Program_data!$E769,EIAwtransport!$H$2:$H$675,Program_data!$F769,EIAwtransport!$I$2:$I$675,Program_data!O$2)</f>
        <v>838583100</v>
      </c>
      <c r="P769" s="5">
        <f>SUMIFS(EIAwtransport!$J$2:$J$675,EIAwtransport!$E$2:$E$675,Program_data!$E769,EIAwtransport!$H$2:$H$675,Program_data!$F769,EIAwtransport!$I$2:$I$675,Program_data!P$2)</f>
        <v>95416268</v>
      </c>
      <c r="Q769" s="5">
        <f>SUMIFS(EIAwtransport!$J$2:$J$675,EIAwtransport!$E$2:$E$675,Program_data!$E769,EIAwtransport!$H$2:$H$675,Program_data!$F769,EIAwtransport!$I$2:$I$675,Program_data!Q$2)</f>
        <v>1341725</v>
      </c>
      <c r="R769" s="8">
        <f>SUMIFS(EIAwtransport!$J$2:$J$675,EIAwtransport!$E$2:$E$675,Program_data!$E769,EIAwtransport!$I$2:$I$675,Program_data!R$2)</f>
        <v>1224988736</v>
      </c>
      <c r="S769" s="5">
        <f>SUMIFS(EIAwtransport!$J$2:$J$675,EIAwtransport!$E$2:$E$675,Program_data!$E769,EIAwtransport!$I$2:$I$675,Program_data!S$2)</f>
        <v>185460106</v>
      </c>
      <c r="T769" s="5">
        <f>SUMIFS(EIAwtransport!$J$2:$J$675,EIAwtransport!$E$2:$E$675,Program_data!$E769,EIAwtransport!$I$2:$I$675,Program_data!T$2)</f>
        <v>1451821</v>
      </c>
      <c r="U769" s="24">
        <f t="shared" si="256"/>
        <v>8.325323851672144E-5</v>
      </c>
      <c r="V769" s="24">
        <f t="shared" si="257"/>
        <v>1.2907478839801773E-4</v>
      </c>
      <c r="W769" s="24">
        <f t="shared" si="258"/>
        <v>2.7794541287929036E-4</v>
      </c>
      <c r="X769" s="25">
        <f t="shared" si="259"/>
        <v>1.7720719336192369E-4</v>
      </c>
      <c r="Y769" s="8">
        <f t="shared" si="247"/>
        <v>6.3168245192530684E-2</v>
      </c>
      <c r="Z769" s="27">
        <f t="shared" si="248"/>
        <v>4.1640219599325401E-2</v>
      </c>
      <c r="AA769" s="27"/>
      <c r="AB769" s="40"/>
      <c r="AC769" s="56">
        <f t="shared" si="261"/>
        <v>7.3650633917581093E-3</v>
      </c>
      <c r="AE769" s="20">
        <f t="shared" si="253"/>
        <v>459648.00000000006</v>
      </c>
      <c r="AF769" s="20">
        <f t="shared" si="254"/>
        <v>1653734793.6000001</v>
      </c>
      <c r="AG769">
        <f t="shared" si="262"/>
        <v>16872580.800000001</v>
      </c>
      <c r="AH769">
        <f t="shared" si="263"/>
        <v>26159040</v>
      </c>
      <c r="AI769">
        <f t="shared" si="264"/>
        <v>19562331980.880001</v>
      </c>
    </row>
    <row r="770" spans="2:35" x14ac:dyDescent="0.25">
      <c r="B770" s="4">
        <v>2024</v>
      </c>
      <c r="C770" s="4" t="s">
        <v>534</v>
      </c>
      <c r="D770" s="1" t="s">
        <v>242</v>
      </c>
      <c r="E770" s="4" t="str">
        <f t="shared" ref="E770:E833" si="265">D770&amp;"-"&amp;C770</f>
        <v>Xcel-CO</v>
      </c>
      <c r="F770" s="4" t="s">
        <v>135</v>
      </c>
      <c r="G770" s="4"/>
      <c r="H770" s="4" t="s">
        <v>486</v>
      </c>
      <c r="I770" s="4"/>
      <c r="J770" s="4" t="s">
        <v>21</v>
      </c>
      <c r="K770" s="5">
        <v>800280</v>
      </c>
      <c r="L770" s="5">
        <f t="shared" si="260"/>
        <v>1240744.1860465116</v>
      </c>
      <c r="M770" s="8">
        <v>1183623</v>
      </c>
      <c r="N770" s="8">
        <v>834616</v>
      </c>
      <c r="O770" s="8">
        <f>SUMIFS(EIAwtransport!$J$2:$J$675,EIAwtransport!$E$2:$E$675,Program_data!$E770,EIAwtransport!$H$2:$H$675,Program_data!$F770,EIAwtransport!$I$2:$I$675,Program_data!O$2)</f>
        <v>838583100</v>
      </c>
      <c r="P770" s="5">
        <f>SUMIFS(EIAwtransport!$J$2:$J$675,EIAwtransport!$E$2:$E$675,Program_data!$E770,EIAwtransport!$H$2:$H$675,Program_data!$F770,EIAwtransport!$I$2:$I$675,Program_data!P$2)</f>
        <v>95416268</v>
      </c>
      <c r="Q770" s="5">
        <f>SUMIFS(EIAwtransport!$J$2:$J$675,EIAwtransport!$E$2:$E$675,Program_data!$E770,EIAwtransport!$H$2:$H$675,Program_data!$F770,EIAwtransport!$I$2:$I$675,Program_data!Q$2)</f>
        <v>1341725</v>
      </c>
      <c r="R770" s="8">
        <f>SUMIFS(EIAwtransport!$J$2:$J$675,EIAwtransport!$E$2:$E$675,Program_data!$E770,EIAwtransport!$I$2:$I$675,Program_data!R$2)</f>
        <v>1224988736</v>
      </c>
      <c r="S770" s="5">
        <f>SUMIFS(EIAwtransport!$J$2:$J$675,EIAwtransport!$E$2:$E$675,Program_data!$E770,EIAwtransport!$I$2:$I$675,Program_data!S$2)</f>
        <v>185460106</v>
      </c>
      <c r="T770" s="5">
        <f>SUMIFS(EIAwtransport!$J$2:$J$675,EIAwtransport!$E$2:$E$675,Program_data!$E770,EIAwtransport!$I$2:$I$675,Program_data!T$2)</f>
        <v>1451821</v>
      </c>
      <c r="U770" s="24">
        <f t="shared" si="256"/>
        <v>4.1651601475470009E-4</v>
      </c>
      <c r="V770" s="24">
        <f t="shared" si="257"/>
        <v>6.4576126318558152E-4</v>
      </c>
      <c r="W770" s="24">
        <f t="shared" si="258"/>
        <v>9.6623174174231754E-4</v>
      </c>
      <c r="X770" s="25">
        <f t="shared" si="259"/>
        <v>6.1603180753236678E-4</v>
      </c>
      <c r="Y770" s="8">
        <f t="shared" si="247"/>
        <v>0.21959406684539104</v>
      </c>
      <c r="Z770" s="27">
        <f t="shared" si="248"/>
        <v>0.14475540896032757</v>
      </c>
      <c r="AA770" s="27"/>
      <c r="AB770" s="40"/>
      <c r="AC770" s="56">
        <f t="shared" si="261"/>
        <v>3.6847417674144657E-2</v>
      </c>
      <c r="AE770" s="20">
        <f t="shared" si="253"/>
        <v>1126731.6000000001</v>
      </c>
      <c r="AF770" s="20">
        <f t="shared" si="254"/>
        <v>1653734793.6000001</v>
      </c>
      <c r="AG770">
        <f t="shared" si="262"/>
        <v>84413534.400000006</v>
      </c>
      <c r="AH770">
        <f t="shared" si="263"/>
        <v>130873696.74418606</v>
      </c>
      <c r="AI770">
        <f t="shared" si="264"/>
        <v>19562331980.880001</v>
      </c>
    </row>
    <row r="771" spans="2:35" x14ac:dyDescent="0.25">
      <c r="B771" s="4">
        <v>2024</v>
      </c>
      <c r="C771" s="4" t="s">
        <v>534</v>
      </c>
      <c r="D771" s="1" t="s">
        <v>242</v>
      </c>
      <c r="E771" s="4" t="str">
        <f t="shared" si="265"/>
        <v>Xcel-CO</v>
      </c>
      <c r="F771" s="4" t="s">
        <v>135</v>
      </c>
      <c r="G771" s="4"/>
      <c r="H771" s="11" t="s">
        <v>542</v>
      </c>
      <c r="I771" s="4"/>
      <c r="J771" s="4" t="s">
        <v>32</v>
      </c>
      <c r="K771" s="5">
        <v>898560</v>
      </c>
      <c r="L771" s="5">
        <f t="shared" si="260"/>
        <v>1393116.2790697673</v>
      </c>
      <c r="M771" s="8">
        <v>1899992</v>
      </c>
      <c r="N771" s="8">
        <v>1339396</v>
      </c>
      <c r="O771" s="8">
        <f>SUMIFS(EIAwtransport!$J$2:$J$675,EIAwtransport!$E$2:$E$675,Program_data!$E771,EIAwtransport!$H$2:$H$675,Program_data!$F771,EIAwtransport!$I$2:$I$675,Program_data!O$2)</f>
        <v>838583100</v>
      </c>
      <c r="P771" s="5">
        <f>SUMIFS(EIAwtransport!$J$2:$J$675,EIAwtransport!$E$2:$E$675,Program_data!$E771,EIAwtransport!$H$2:$H$675,Program_data!$F771,EIAwtransport!$I$2:$I$675,Program_data!P$2)</f>
        <v>95416268</v>
      </c>
      <c r="Q771" s="5">
        <f>SUMIFS(EIAwtransport!$J$2:$J$675,EIAwtransport!$E$2:$E$675,Program_data!$E771,EIAwtransport!$H$2:$H$675,Program_data!$F771,EIAwtransport!$I$2:$I$675,Program_data!Q$2)</f>
        <v>1341725</v>
      </c>
      <c r="R771" s="8">
        <f>SUMIFS(EIAwtransport!$J$2:$J$675,EIAwtransport!$E$2:$E$675,Program_data!$E771,EIAwtransport!$I$2:$I$675,Program_data!R$2)</f>
        <v>1224988736</v>
      </c>
      <c r="S771" s="5">
        <f>SUMIFS(EIAwtransport!$J$2:$J$675,EIAwtransport!$E$2:$E$675,Program_data!$E771,EIAwtransport!$I$2:$I$675,Program_data!S$2)</f>
        <v>185460106</v>
      </c>
      <c r="T771" s="5">
        <f>SUMIFS(EIAwtransport!$J$2:$J$675,EIAwtransport!$E$2:$E$675,Program_data!$E771,EIAwtransport!$I$2:$I$675,Program_data!T$2)</f>
        <v>1451821</v>
      </c>
      <c r="U771" s="24">
        <f t="shared" si="256"/>
        <v>4.6766710428597911E-4</v>
      </c>
      <c r="V771" s="24">
        <f t="shared" si="257"/>
        <v>7.2506527796275828E-4</v>
      </c>
      <c r="W771" s="24">
        <f t="shared" si="258"/>
        <v>1.5510281394130305E-3</v>
      </c>
      <c r="X771" s="25">
        <f t="shared" si="259"/>
        <v>9.8887526354002613E-4</v>
      </c>
      <c r="Y771" s="8">
        <f t="shared" si="247"/>
        <v>0.35249988404560256</v>
      </c>
      <c r="Z771" s="27">
        <f t="shared" si="248"/>
        <v>0.2323663184826171</v>
      </c>
      <c r="AA771" s="27"/>
      <c r="AB771" s="40"/>
      <c r="AC771" s="56">
        <f t="shared" si="261"/>
        <v>4.1372539142899269E-2</v>
      </c>
      <c r="AE771" s="20">
        <f t="shared" si="253"/>
        <v>1808184.6</v>
      </c>
      <c r="AF771" s="20">
        <f t="shared" si="254"/>
        <v>1653734793.6000001</v>
      </c>
      <c r="AG771">
        <f t="shared" si="262"/>
        <v>94780108.799999997</v>
      </c>
      <c r="AH771">
        <f t="shared" si="263"/>
        <v>146945905.11627907</v>
      </c>
      <c r="AI771">
        <f t="shared" si="264"/>
        <v>19562331980.880001</v>
      </c>
    </row>
    <row r="772" spans="2:35" x14ac:dyDescent="0.25">
      <c r="B772" s="4">
        <v>2024</v>
      </c>
      <c r="C772" s="4" t="s">
        <v>534</v>
      </c>
      <c r="D772" s="1" t="s">
        <v>242</v>
      </c>
      <c r="E772" s="4" t="str">
        <f t="shared" si="265"/>
        <v>Xcel-CO</v>
      </c>
      <c r="F772" s="4" t="s">
        <v>135</v>
      </c>
      <c r="G772" s="4"/>
      <c r="H772" s="4" t="s">
        <v>487</v>
      </c>
      <c r="I772" s="4"/>
      <c r="J772" s="4" t="s">
        <v>42</v>
      </c>
      <c r="K772" s="5">
        <v>699160</v>
      </c>
      <c r="L772" s="5">
        <f t="shared" si="260"/>
        <v>1083968.992248062</v>
      </c>
      <c r="M772" s="8">
        <v>741537</v>
      </c>
      <c r="N772" s="8">
        <v>211980</v>
      </c>
      <c r="O772" s="8">
        <f>SUMIFS(EIAwtransport!$J$2:$J$675,EIAwtransport!$E$2:$E$675,Program_data!$E772,EIAwtransport!$H$2:$H$675,Program_data!$F772,EIAwtransport!$I$2:$I$675,Program_data!O$2)</f>
        <v>838583100</v>
      </c>
      <c r="P772" s="5">
        <f>SUMIFS(EIAwtransport!$J$2:$J$675,EIAwtransport!$E$2:$E$675,Program_data!$E772,EIAwtransport!$H$2:$H$675,Program_data!$F772,EIAwtransport!$I$2:$I$675,Program_data!P$2)</f>
        <v>95416268</v>
      </c>
      <c r="Q772" s="5">
        <f>SUMIFS(EIAwtransport!$J$2:$J$675,EIAwtransport!$E$2:$E$675,Program_data!$E772,EIAwtransport!$H$2:$H$675,Program_data!$F772,EIAwtransport!$I$2:$I$675,Program_data!Q$2)</f>
        <v>1341725</v>
      </c>
      <c r="R772" s="8">
        <f>SUMIFS(EIAwtransport!$J$2:$J$675,EIAwtransport!$E$2:$E$675,Program_data!$E772,EIAwtransport!$I$2:$I$675,Program_data!R$2)</f>
        <v>1224988736</v>
      </c>
      <c r="S772" s="5">
        <f>SUMIFS(EIAwtransport!$J$2:$J$675,EIAwtransport!$E$2:$E$675,Program_data!$E772,EIAwtransport!$I$2:$I$675,Program_data!S$2)</f>
        <v>185460106</v>
      </c>
      <c r="T772" s="5">
        <f>SUMIFS(EIAwtransport!$J$2:$J$675,EIAwtransport!$E$2:$E$675,Program_data!$E772,EIAwtransport!$I$2:$I$675,Program_data!T$2)</f>
        <v>1451821</v>
      </c>
      <c r="U772" s="24">
        <f t="shared" si="256"/>
        <v>3.6388681071112129E-4</v>
      </c>
      <c r="V772" s="24">
        <f t="shared" si="257"/>
        <v>5.6416559800173845E-4</v>
      </c>
      <c r="W772" s="24">
        <f t="shared" si="258"/>
        <v>6.053418927110853E-4</v>
      </c>
      <c r="X772" s="25">
        <f t="shared" si="259"/>
        <v>3.8594246517863261E-4</v>
      </c>
      <c r="Y772" s="8">
        <f t="shared" ref="Y772:Y835" si="266">IFERROR(M772/SUMIFS($K$3:$K$1492,$E$3:$E$1492,E772,$B$3:$B$1492,B772,$F$3:$F$1492,F772,$A$3:$A$1492,""),"")</f>
        <v>0.13757516164043004</v>
      </c>
      <c r="Z772" s="27">
        <f t="shared" ref="Z772:Z835" si="267">IFERROR(M772/SUMIFS($K$3:$K$1492,$E$3:$E$1492,E772,$B$3:$B$1492,B772,$A$3:$A$1492,""),"")</f>
        <v>9.0688920115792299E-2</v>
      </c>
      <c r="AA772" s="27"/>
      <c r="AB772" s="40"/>
      <c r="AC772" s="56">
        <f t="shared" si="261"/>
        <v>3.2191533639544884E-2</v>
      </c>
      <c r="AE772" s="20">
        <f t="shared" si="253"/>
        <v>286173</v>
      </c>
      <c r="AF772" s="20">
        <f t="shared" si="254"/>
        <v>1653734793.6000001</v>
      </c>
      <c r="AG772">
        <f t="shared" si="262"/>
        <v>73747396.799999997</v>
      </c>
      <c r="AH772">
        <f t="shared" si="263"/>
        <v>114337049.30232559</v>
      </c>
      <c r="AI772">
        <f t="shared" si="264"/>
        <v>19562331980.880001</v>
      </c>
    </row>
    <row r="773" spans="2:35" x14ac:dyDescent="0.25">
      <c r="B773" s="4">
        <v>2024</v>
      </c>
      <c r="C773" s="4" t="s">
        <v>534</v>
      </c>
      <c r="D773" s="1" t="s">
        <v>242</v>
      </c>
      <c r="E773" s="4" t="str">
        <f t="shared" si="265"/>
        <v>Xcel-CO</v>
      </c>
      <c r="F773" s="4" t="s">
        <v>135</v>
      </c>
      <c r="G773" s="4"/>
      <c r="H773" s="4" t="s">
        <v>488</v>
      </c>
      <c r="I773" s="4"/>
      <c r="J773" s="4" t="s">
        <v>21</v>
      </c>
      <c r="K773" s="5">
        <v>4260</v>
      </c>
      <c r="L773" s="5">
        <f t="shared" si="260"/>
        <v>6604.6511627906975</v>
      </c>
      <c r="M773" s="8">
        <v>26657</v>
      </c>
      <c r="N773" s="8">
        <v>5803</v>
      </c>
      <c r="O773" s="8">
        <f>SUMIFS(EIAwtransport!$J$2:$J$675,EIAwtransport!$E$2:$E$675,Program_data!$E773,EIAwtransport!$H$2:$H$675,Program_data!$F773,EIAwtransport!$I$2:$I$675,Program_data!O$2)</f>
        <v>838583100</v>
      </c>
      <c r="P773" s="5">
        <f>SUMIFS(EIAwtransport!$J$2:$J$675,EIAwtransport!$E$2:$E$675,Program_data!$E773,EIAwtransport!$H$2:$H$675,Program_data!$F773,EIAwtransport!$I$2:$I$675,Program_data!P$2)</f>
        <v>95416268</v>
      </c>
      <c r="Q773" s="5">
        <f>SUMIFS(EIAwtransport!$J$2:$J$675,EIAwtransport!$E$2:$E$675,Program_data!$E773,EIAwtransport!$H$2:$H$675,Program_data!$F773,EIAwtransport!$I$2:$I$675,Program_data!Q$2)</f>
        <v>1341725</v>
      </c>
      <c r="R773" s="8">
        <f>SUMIFS(EIAwtransport!$J$2:$J$675,EIAwtransport!$E$2:$E$675,Program_data!$E773,EIAwtransport!$I$2:$I$675,Program_data!R$2)</f>
        <v>1224988736</v>
      </c>
      <c r="S773" s="5">
        <f>SUMIFS(EIAwtransport!$J$2:$J$675,EIAwtransport!$E$2:$E$675,Program_data!$E773,EIAwtransport!$I$2:$I$675,Program_data!S$2)</f>
        <v>185460106</v>
      </c>
      <c r="T773" s="5">
        <f>SUMIFS(EIAwtransport!$J$2:$J$675,EIAwtransport!$E$2:$E$675,Program_data!$E773,EIAwtransport!$I$2:$I$675,Program_data!T$2)</f>
        <v>1451821</v>
      </c>
      <c r="U773" s="24">
        <f t="shared" si="256"/>
        <v>2.2171717684498209E-6</v>
      </c>
      <c r="V773" s="24">
        <f t="shared" si="257"/>
        <v>3.4374756099997221E-6</v>
      </c>
      <c r="W773" s="24">
        <f t="shared" si="258"/>
        <v>2.176101642129712E-5</v>
      </c>
      <c r="X773" s="25">
        <f t="shared" si="259"/>
        <v>1.3873978364217575E-5</v>
      </c>
      <c r="Y773" s="8">
        <f t="shared" si="266"/>
        <v>4.945594196714316E-3</v>
      </c>
      <c r="Z773" s="27">
        <f t="shared" si="267"/>
        <v>3.2601131751034342E-3</v>
      </c>
      <c r="AA773" s="27"/>
      <c r="AB773" s="40"/>
      <c r="AC773" s="56">
        <f t="shared" si="261"/>
        <v>1.9614384876775161E-4</v>
      </c>
      <c r="AE773" s="20">
        <f t="shared" si="253"/>
        <v>7834.05</v>
      </c>
      <c r="AF773" s="20">
        <f t="shared" si="254"/>
        <v>1653734793.6000001</v>
      </c>
      <c r="AG773">
        <f t="shared" si="262"/>
        <v>449344.8</v>
      </c>
      <c r="AH773">
        <f t="shared" si="263"/>
        <v>696658.60465116275</v>
      </c>
      <c r="AI773">
        <f t="shared" si="264"/>
        <v>19562331980.880001</v>
      </c>
    </row>
    <row r="774" spans="2:35" x14ac:dyDescent="0.25">
      <c r="B774" s="4">
        <v>2024</v>
      </c>
      <c r="C774" s="4" t="s">
        <v>534</v>
      </c>
      <c r="D774" s="1" t="s">
        <v>242</v>
      </c>
      <c r="E774" s="4" t="str">
        <f t="shared" si="265"/>
        <v>Xcel-CO</v>
      </c>
      <c r="F774" s="4" t="s">
        <v>135</v>
      </c>
      <c r="G774" s="4"/>
      <c r="H774" s="4" t="s">
        <v>543</v>
      </c>
      <c r="I774" s="4"/>
      <c r="J774" s="4" t="s">
        <v>155</v>
      </c>
      <c r="K774" s="5">
        <v>0</v>
      </c>
      <c r="L774" s="5">
        <f t="shared" si="260"/>
        <v>0</v>
      </c>
      <c r="M774" s="8">
        <v>170546</v>
      </c>
      <c r="N774" s="8">
        <v>0</v>
      </c>
      <c r="O774" s="8">
        <f>SUMIFS(EIAwtransport!$J$2:$J$675,EIAwtransport!$E$2:$E$675,Program_data!$E774,EIAwtransport!$H$2:$H$675,Program_data!$F774,EIAwtransport!$I$2:$I$675,Program_data!O$2)</f>
        <v>838583100</v>
      </c>
      <c r="P774" s="5">
        <f>SUMIFS(EIAwtransport!$J$2:$J$675,EIAwtransport!$E$2:$E$675,Program_data!$E774,EIAwtransport!$H$2:$H$675,Program_data!$F774,EIAwtransport!$I$2:$I$675,Program_data!P$2)</f>
        <v>95416268</v>
      </c>
      <c r="Q774" s="5">
        <f>SUMIFS(EIAwtransport!$J$2:$J$675,EIAwtransport!$E$2:$E$675,Program_data!$E774,EIAwtransport!$H$2:$H$675,Program_data!$F774,EIAwtransport!$I$2:$I$675,Program_data!Q$2)</f>
        <v>1341725</v>
      </c>
      <c r="R774" s="8">
        <f>SUMIFS(EIAwtransport!$J$2:$J$675,EIAwtransport!$E$2:$E$675,Program_data!$E774,EIAwtransport!$I$2:$I$675,Program_data!R$2)</f>
        <v>1224988736</v>
      </c>
      <c r="S774" s="5">
        <f>SUMIFS(EIAwtransport!$J$2:$J$675,EIAwtransport!$E$2:$E$675,Program_data!$E774,EIAwtransport!$I$2:$I$675,Program_data!S$2)</f>
        <v>185460106</v>
      </c>
      <c r="T774" s="5">
        <f>SUMIFS(EIAwtransport!$J$2:$J$675,EIAwtransport!$E$2:$E$675,Program_data!$E774,EIAwtransport!$I$2:$I$675,Program_data!T$2)</f>
        <v>1451821</v>
      </c>
      <c r="U774" s="24">
        <f t="shared" si="256"/>
        <v>0</v>
      </c>
      <c r="V774" s="24">
        <f t="shared" si="257"/>
        <v>0</v>
      </c>
      <c r="W774" s="24">
        <f t="shared" si="258"/>
        <v>1.3922250465493261E-4</v>
      </c>
      <c r="X774" s="25">
        <f t="shared" si="259"/>
        <v>8.8762858315033605E-5</v>
      </c>
      <c r="Y774" s="8">
        <f t="shared" si="266"/>
        <v>3.1640893869259099E-2</v>
      </c>
      <c r="Z774" s="27">
        <f t="shared" si="267"/>
        <v>2.08575331643167E-2</v>
      </c>
      <c r="AA774" s="27"/>
      <c r="AB774" s="40"/>
      <c r="AC774" s="56">
        <f t="shared" si="261"/>
        <v>0</v>
      </c>
      <c r="AE774" s="20">
        <f t="shared" si="253"/>
        <v>0</v>
      </c>
      <c r="AF774" s="20">
        <f t="shared" si="254"/>
        <v>1653734793.6000001</v>
      </c>
      <c r="AG774">
        <f t="shared" si="262"/>
        <v>0</v>
      </c>
      <c r="AH774">
        <f t="shared" si="263"/>
        <v>0</v>
      </c>
      <c r="AI774">
        <f t="shared" si="264"/>
        <v>19562331980.880001</v>
      </c>
    </row>
    <row r="775" spans="2:35" x14ac:dyDescent="0.25">
      <c r="B775" s="4">
        <v>2024</v>
      </c>
      <c r="C775" s="4" t="s">
        <v>534</v>
      </c>
      <c r="D775" s="1" t="s">
        <v>242</v>
      </c>
      <c r="E775" s="4" t="str">
        <f t="shared" si="265"/>
        <v>Xcel-CO</v>
      </c>
      <c r="F775" s="4" t="s">
        <v>143</v>
      </c>
      <c r="G775" s="4">
        <v>1</v>
      </c>
      <c r="H775" s="43" t="s">
        <v>544</v>
      </c>
      <c r="I775" s="4"/>
      <c r="J775" s="4" t="s">
        <v>155</v>
      </c>
      <c r="K775" s="44">
        <v>0</v>
      </c>
      <c r="L775" s="5">
        <f t="shared" si="260"/>
        <v>0</v>
      </c>
      <c r="M775" s="8">
        <v>25218</v>
      </c>
      <c r="N775" s="8">
        <v>0</v>
      </c>
      <c r="O775" s="8">
        <f>SUMIFS(EIAwtransport!$J$2:$J$675,EIAwtransport!$E$2:$E$675,Program_data!$E775,EIAwtransport!$H$2:$H$675,Program_data!$F775,EIAwtransport!$I$2:$I$675,Program_data!O$2)</f>
        <v>0</v>
      </c>
      <c r="P775" s="5">
        <f>SUMIFS(EIAwtransport!$J$2:$J$675,EIAwtransport!$E$2:$E$675,Program_data!$E775,EIAwtransport!$H$2:$H$675,Program_data!$F775,EIAwtransport!$I$2:$I$675,Program_data!P$2)</f>
        <v>0</v>
      </c>
      <c r="Q775" s="5">
        <f>SUMIFS(EIAwtransport!$J$2:$J$675,EIAwtransport!$E$2:$E$675,Program_data!$E775,EIAwtransport!$H$2:$H$675,Program_data!$F775,EIAwtransport!$I$2:$I$675,Program_data!Q$2)</f>
        <v>0</v>
      </c>
      <c r="R775" s="8">
        <f>SUMIFS(EIAwtransport!$J$2:$J$675,EIAwtransport!$E$2:$E$675,Program_data!$E775,EIAwtransport!$I$2:$I$675,Program_data!R$2)</f>
        <v>1224988736</v>
      </c>
      <c r="S775" s="5">
        <f>SUMIFS(EIAwtransport!$J$2:$J$675,EIAwtransport!$E$2:$E$675,Program_data!$E775,EIAwtransport!$I$2:$I$675,Program_data!S$2)</f>
        <v>185460106</v>
      </c>
      <c r="T775" s="5">
        <f>SUMIFS(EIAwtransport!$J$2:$J$675,EIAwtransport!$E$2:$E$675,Program_data!$E775,EIAwtransport!$I$2:$I$675,Program_data!T$2)</f>
        <v>1451821</v>
      </c>
      <c r="U775" s="24">
        <f t="shared" si="256"/>
        <v>0</v>
      </c>
      <c r="V775" s="24">
        <f t="shared" si="257"/>
        <v>0</v>
      </c>
      <c r="W775" s="24">
        <f t="shared" si="258"/>
        <v>2.0586311742216706E-5</v>
      </c>
      <c r="X775" s="25">
        <f t="shared" si="259"/>
        <v>1.3125032313795207E-5</v>
      </c>
      <c r="Y775" s="8">
        <f t="shared" si="266"/>
        <v>2.1289097125490694E-2</v>
      </c>
      <c r="Z775" s="27">
        <f t="shared" si="267"/>
        <v>3.0841255223677984E-3</v>
      </c>
      <c r="AA775" s="27"/>
      <c r="AB775" s="40"/>
      <c r="AC775" s="56">
        <f t="shared" si="261"/>
        <v>0</v>
      </c>
      <c r="AE775" s="20">
        <f t="shared" si="253"/>
        <v>0</v>
      </c>
      <c r="AF775" s="20">
        <f t="shared" si="254"/>
        <v>1653734793.6000001</v>
      </c>
      <c r="AG775">
        <f t="shared" si="262"/>
        <v>0</v>
      </c>
      <c r="AH775">
        <f t="shared" si="263"/>
        <v>0</v>
      </c>
      <c r="AI775">
        <f t="shared" si="264"/>
        <v>19562331980.880001</v>
      </c>
    </row>
    <row r="776" spans="2:35" x14ac:dyDescent="0.25">
      <c r="B776" s="4">
        <v>2024</v>
      </c>
      <c r="C776" s="4" t="s">
        <v>534</v>
      </c>
      <c r="D776" s="1" t="s">
        <v>242</v>
      </c>
      <c r="E776" s="4" t="str">
        <f t="shared" si="265"/>
        <v>Xcel-CO</v>
      </c>
      <c r="F776" s="4" t="s">
        <v>143</v>
      </c>
      <c r="G776" s="4">
        <v>1</v>
      </c>
      <c r="H776" s="43" t="s">
        <v>545</v>
      </c>
      <c r="I776" s="4"/>
      <c r="J776" s="4" t="s">
        <v>42</v>
      </c>
      <c r="K776" s="5">
        <v>75590</v>
      </c>
      <c r="L776" s="5">
        <f t="shared" si="260"/>
        <v>117193.7984496124</v>
      </c>
      <c r="M776" s="8">
        <v>161910</v>
      </c>
      <c r="N776" s="8">
        <v>29996</v>
      </c>
      <c r="O776" s="8">
        <f>SUMIFS(EIAwtransport!$J$2:$J$675,EIAwtransport!$E$2:$E$675,Program_data!$E776,EIAwtransport!$H$2:$H$675,Program_data!$F776,EIAwtransport!$I$2:$I$675,Program_data!O$2)</f>
        <v>0</v>
      </c>
      <c r="P776" s="5">
        <f>SUMIFS(EIAwtransport!$J$2:$J$675,EIAwtransport!$E$2:$E$675,Program_data!$E776,EIAwtransport!$H$2:$H$675,Program_data!$F776,EIAwtransport!$I$2:$I$675,Program_data!P$2)</f>
        <v>0</v>
      </c>
      <c r="Q776" s="5">
        <f>SUMIFS(EIAwtransport!$J$2:$J$675,EIAwtransport!$E$2:$E$675,Program_data!$E776,EIAwtransport!$H$2:$H$675,Program_data!$F776,EIAwtransport!$I$2:$I$675,Program_data!Q$2)</f>
        <v>0</v>
      </c>
      <c r="R776" s="8">
        <f>SUMIFS(EIAwtransport!$J$2:$J$675,EIAwtransport!$E$2:$E$675,Program_data!$E776,EIAwtransport!$I$2:$I$675,Program_data!R$2)</f>
        <v>1224988736</v>
      </c>
      <c r="S776" s="5">
        <f>SUMIFS(EIAwtransport!$J$2:$J$675,EIAwtransport!$E$2:$E$675,Program_data!$E776,EIAwtransport!$I$2:$I$675,Program_data!S$2)</f>
        <v>185460106</v>
      </c>
      <c r="T776" s="5">
        <f>SUMIFS(EIAwtransport!$J$2:$J$675,EIAwtransport!$E$2:$E$675,Program_data!$E776,EIAwtransport!$I$2:$I$675,Program_data!T$2)</f>
        <v>1451821</v>
      </c>
      <c r="U776" s="24">
        <f t="shared" si="256"/>
        <v>3.9341787318573233E-5</v>
      </c>
      <c r="V776" s="24">
        <f t="shared" si="257"/>
        <v>6.0995019098563139E-5</v>
      </c>
      <c r="W776" s="24">
        <f t="shared" si="258"/>
        <v>1.3217264391237636E-4</v>
      </c>
      <c r="X776" s="25">
        <f t="shared" si="259"/>
        <v>8.42681410867865E-5</v>
      </c>
      <c r="Y776" s="8">
        <f t="shared" si="266"/>
        <v>0.13668481701912119</v>
      </c>
      <c r="Z776" s="27">
        <f t="shared" si="267"/>
        <v>1.9801362650748285E-2</v>
      </c>
      <c r="AA776" s="27"/>
      <c r="AB776" s="40"/>
      <c r="AC776" s="56">
        <f t="shared" si="261"/>
        <v>3.4804022367028974E-3</v>
      </c>
      <c r="AE776" s="20">
        <f t="shared" si="253"/>
        <v>40494.600000000006</v>
      </c>
      <c r="AF776" s="20">
        <f t="shared" si="254"/>
        <v>1653734793.6000001</v>
      </c>
      <c r="AG776">
        <f t="shared" si="262"/>
        <v>7973233.2000000002</v>
      </c>
      <c r="AH776">
        <f t="shared" si="263"/>
        <v>12361601.860465117</v>
      </c>
      <c r="AI776">
        <f t="shared" si="264"/>
        <v>19562331980.880001</v>
      </c>
    </row>
    <row r="777" spans="2:35" x14ac:dyDescent="0.25">
      <c r="B777" s="4">
        <v>2024</v>
      </c>
      <c r="C777" s="4" t="s">
        <v>534</v>
      </c>
      <c r="D777" s="1" t="s">
        <v>242</v>
      </c>
      <c r="E777" s="4" t="str">
        <f t="shared" si="265"/>
        <v>Xcel-CO</v>
      </c>
      <c r="F777" s="4" t="s">
        <v>143</v>
      </c>
      <c r="G777" s="4">
        <v>1</v>
      </c>
      <c r="H777" s="43" t="s">
        <v>546</v>
      </c>
      <c r="I777" s="4"/>
      <c r="J777" s="4" t="s">
        <v>42</v>
      </c>
      <c r="K777" s="5">
        <v>56950</v>
      </c>
      <c r="L777" s="5">
        <f t="shared" si="260"/>
        <v>88294.573643410855</v>
      </c>
      <c r="M777" s="8">
        <v>527530</v>
      </c>
      <c r="N777" s="8">
        <v>117520</v>
      </c>
      <c r="O777" s="8">
        <f>SUMIFS(EIAwtransport!$J$2:$J$675,EIAwtransport!$E$2:$E$675,Program_data!$E777,EIAwtransport!$H$2:$H$675,Program_data!$F777,EIAwtransport!$I$2:$I$675,Program_data!O$2)</f>
        <v>0</v>
      </c>
      <c r="P777" s="5">
        <f>SUMIFS(EIAwtransport!$J$2:$J$675,EIAwtransport!$E$2:$E$675,Program_data!$E777,EIAwtransport!$H$2:$H$675,Program_data!$F777,EIAwtransport!$I$2:$I$675,Program_data!P$2)</f>
        <v>0</v>
      </c>
      <c r="Q777" s="5">
        <f>SUMIFS(EIAwtransport!$J$2:$J$675,EIAwtransport!$E$2:$E$675,Program_data!$E777,EIAwtransport!$H$2:$H$675,Program_data!$F777,EIAwtransport!$I$2:$I$675,Program_data!Q$2)</f>
        <v>0</v>
      </c>
      <c r="R777" s="8">
        <f>SUMIFS(EIAwtransport!$J$2:$J$675,EIAwtransport!$E$2:$E$675,Program_data!$E777,EIAwtransport!$I$2:$I$675,Program_data!R$2)</f>
        <v>1224988736</v>
      </c>
      <c r="S777" s="5">
        <f>SUMIFS(EIAwtransport!$J$2:$J$675,EIAwtransport!$E$2:$E$675,Program_data!$E777,EIAwtransport!$I$2:$I$675,Program_data!S$2)</f>
        <v>185460106</v>
      </c>
      <c r="T777" s="5">
        <f>SUMIFS(EIAwtransport!$J$2:$J$675,EIAwtransport!$E$2:$E$675,Program_data!$E777,EIAwtransport!$I$2:$I$675,Program_data!T$2)</f>
        <v>1451821</v>
      </c>
      <c r="U777" s="24">
        <f t="shared" si="256"/>
        <v>2.9640359674464153E-5</v>
      </c>
      <c r="V777" s="24">
        <f t="shared" si="257"/>
        <v>4.5954046006921167E-5</v>
      </c>
      <c r="W777" s="24">
        <f t="shared" si="258"/>
        <v>4.3064069447900619E-4</v>
      </c>
      <c r="X777" s="25">
        <f t="shared" si="259"/>
        <v>2.7455977065970279E-4</v>
      </c>
      <c r="Y777" s="8">
        <f t="shared" si="266"/>
        <v>0.44534211303870669</v>
      </c>
      <c r="Z777" s="27">
        <f t="shared" si="267"/>
        <v>6.4516168483412031E-2</v>
      </c>
      <c r="AA777" s="27"/>
      <c r="AB777" s="40"/>
      <c r="AC777" s="56">
        <f t="shared" si="261"/>
        <v>2.622157790451515E-3</v>
      </c>
      <c r="AE777" s="20">
        <f t="shared" si="253"/>
        <v>158652</v>
      </c>
      <c r="AF777" s="20">
        <f t="shared" si="254"/>
        <v>1653734793.6000001</v>
      </c>
      <c r="AG777">
        <f t="shared" si="262"/>
        <v>6007086</v>
      </c>
      <c r="AH777">
        <f t="shared" si="263"/>
        <v>9313311.6279069781</v>
      </c>
      <c r="AI777">
        <f t="shared" si="264"/>
        <v>19562331980.880001</v>
      </c>
    </row>
    <row r="778" spans="2:35" x14ac:dyDescent="0.25">
      <c r="B778" s="4">
        <v>2024</v>
      </c>
      <c r="C778" s="4" t="s">
        <v>534</v>
      </c>
      <c r="D778" s="1" t="s">
        <v>242</v>
      </c>
      <c r="E778" s="4" t="str">
        <f t="shared" si="265"/>
        <v>Xcel-CO</v>
      </c>
      <c r="F778" s="4" t="s">
        <v>143</v>
      </c>
      <c r="G778" s="4">
        <v>1</v>
      </c>
      <c r="H778" s="43" t="s">
        <v>547</v>
      </c>
      <c r="I778" s="4"/>
      <c r="J778" s="4" t="s">
        <v>27</v>
      </c>
      <c r="K778" s="5">
        <v>101040</v>
      </c>
      <c r="L778" s="5">
        <f t="shared" si="260"/>
        <v>156651.16279069768</v>
      </c>
      <c r="M778" s="8">
        <v>271762</v>
      </c>
      <c r="N778" s="8">
        <v>219648</v>
      </c>
      <c r="O778" s="8">
        <f>SUMIFS(EIAwtransport!$J$2:$J$675,EIAwtransport!$E$2:$E$675,Program_data!$E778,EIAwtransport!$H$2:$H$675,Program_data!$F778,EIAwtransport!$I$2:$I$675,Program_data!O$2)</f>
        <v>0</v>
      </c>
      <c r="P778" s="5">
        <f>SUMIFS(EIAwtransport!$J$2:$J$675,EIAwtransport!$E$2:$E$675,Program_data!$E778,EIAwtransport!$H$2:$H$675,Program_data!$F778,EIAwtransport!$I$2:$I$675,Program_data!P$2)</f>
        <v>0</v>
      </c>
      <c r="Q778" s="5">
        <f>SUMIFS(EIAwtransport!$J$2:$J$675,EIAwtransport!$E$2:$E$675,Program_data!$E778,EIAwtransport!$H$2:$H$675,Program_data!$F778,EIAwtransport!$I$2:$I$675,Program_data!Q$2)</f>
        <v>0</v>
      </c>
      <c r="R778" s="8">
        <f>SUMIFS(EIAwtransport!$J$2:$J$675,EIAwtransport!$E$2:$E$675,Program_data!$E778,EIAwtransport!$I$2:$I$675,Program_data!R$2)</f>
        <v>1224988736</v>
      </c>
      <c r="S778" s="5">
        <f>SUMIFS(EIAwtransport!$J$2:$J$675,EIAwtransport!$E$2:$E$675,Program_data!$E778,EIAwtransport!$I$2:$I$675,Program_data!S$2)</f>
        <v>185460106</v>
      </c>
      <c r="T778" s="5">
        <f>SUMIFS(EIAwtransport!$J$2:$J$675,EIAwtransport!$E$2:$E$675,Program_data!$E778,EIAwtransport!$I$2:$I$675,Program_data!T$2)</f>
        <v>1451821</v>
      </c>
      <c r="U778" s="24">
        <f t="shared" si="256"/>
        <v>5.258756701506335E-5</v>
      </c>
      <c r="V778" s="24">
        <f t="shared" si="257"/>
        <v>8.153111165126102E-5</v>
      </c>
      <c r="W778" s="24">
        <f t="shared" si="258"/>
        <v>2.2184857053248854E-4</v>
      </c>
      <c r="X778" s="25">
        <f t="shared" si="259"/>
        <v>1.4144202679283103E-4</v>
      </c>
      <c r="Y778" s="8">
        <f t="shared" si="266"/>
        <v>0.22942214342999451</v>
      </c>
      <c r="Z778" s="27">
        <f t="shared" si="267"/>
        <v>3.3236105964379314E-2</v>
      </c>
      <c r="AA778" s="27"/>
      <c r="AB778" s="40"/>
      <c r="AC778" s="56">
        <f t="shared" si="261"/>
        <v>4.6522005820407563E-3</v>
      </c>
      <c r="AE778" s="20">
        <f t="shared" si="253"/>
        <v>296524.80000000005</v>
      </c>
      <c r="AF778" s="20">
        <f t="shared" si="254"/>
        <v>1653734793.6000001</v>
      </c>
      <c r="AG778">
        <f t="shared" si="262"/>
        <v>10657699.200000001</v>
      </c>
      <c r="AH778">
        <f t="shared" si="263"/>
        <v>16523564.651162792</v>
      </c>
      <c r="AI778">
        <f t="shared" si="264"/>
        <v>19562331980.880001</v>
      </c>
    </row>
    <row r="779" spans="2:35" x14ac:dyDescent="0.25">
      <c r="B779" s="4">
        <v>2024</v>
      </c>
      <c r="C779" s="4" t="s">
        <v>534</v>
      </c>
      <c r="D779" s="1" t="s">
        <v>242</v>
      </c>
      <c r="E779" s="4" t="str">
        <f t="shared" si="265"/>
        <v>Xcel-CO</v>
      </c>
      <c r="F779" s="4" t="s">
        <v>143</v>
      </c>
      <c r="G779" s="4">
        <v>1</v>
      </c>
      <c r="H779" s="11" t="s">
        <v>548</v>
      </c>
      <c r="I779" s="4"/>
      <c r="J779" s="4" t="s">
        <v>27</v>
      </c>
      <c r="K779" s="5">
        <v>101770</v>
      </c>
      <c r="L779" s="5">
        <f t="shared" si="260"/>
        <v>157782.94573643411</v>
      </c>
      <c r="M779" s="8">
        <v>298494</v>
      </c>
      <c r="N779" s="8">
        <v>219847</v>
      </c>
      <c r="O779" s="8">
        <f>SUMIFS(EIAwtransport!$J$2:$J$675,EIAwtransport!$E$2:$E$675,Program_data!$E779,EIAwtransport!$H$2:$H$675,Program_data!$F779,EIAwtransport!$I$2:$I$675,Program_data!O$2)</f>
        <v>0</v>
      </c>
      <c r="P779" s="5">
        <f>SUMIFS(EIAwtransport!$J$2:$J$675,EIAwtransport!$E$2:$E$675,Program_data!$E779,EIAwtransport!$H$2:$H$675,Program_data!$F779,EIAwtransport!$I$2:$I$675,Program_data!P$2)</f>
        <v>0</v>
      </c>
      <c r="Q779" s="5">
        <f>SUMIFS(EIAwtransport!$J$2:$J$675,EIAwtransport!$E$2:$E$675,Program_data!$E779,EIAwtransport!$H$2:$H$675,Program_data!$F779,EIAwtransport!$I$2:$I$675,Program_data!Q$2)</f>
        <v>0</v>
      </c>
      <c r="R779" s="8">
        <f>SUMIFS(EIAwtransport!$J$2:$J$675,EIAwtransport!$E$2:$E$675,Program_data!$E779,EIAwtransport!$I$2:$I$675,Program_data!R$2)</f>
        <v>1224988736</v>
      </c>
      <c r="S779" s="5">
        <f>SUMIFS(EIAwtransport!$J$2:$J$675,EIAwtransport!$E$2:$E$675,Program_data!$E779,EIAwtransport!$I$2:$I$675,Program_data!S$2)</f>
        <v>185460106</v>
      </c>
      <c r="T779" s="5">
        <f>SUMIFS(EIAwtransport!$J$2:$J$675,EIAwtransport!$E$2:$E$675,Program_data!$E779,EIAwtransport!$I$2:$I$675,Program_data!T$2)</f>
        <v>1451821</v>
      </c>
      <c r="U779" s="24">
        <f t="shared" si="256"/>
        <v>5.2967504900267194E-5</v>
      </c>
      <c r="V779" s="24">
        <f t="shared" si="257"/>
        <v>8.2120162636073167E-5</v>
      </c>
      <c r="W779" s="24">
        <f t="shared" si="258"/>
        <v>2.436708120065522E-4</v>
      </c>
      <c r="X779" s="25">
        <f t="shared" si="259"/>
        <v>1.5535503987128187E-4</v>
      </c>
      <c r="Y779" s="8">
        <f t="shared" si="266"/>
        <v>0.25198936304925923</v>
      </c>
      <c r="Z779" s="27">
        <f t="shared" si="267"/>
        <v>3.6505391532780297E-2</v>
      </c>
      <c r="AA779" s="27"/>
      <c r="AB779" s="40"/>
      <c r="AC779" s="56">
        <f t="shared" si="261"/>
        <v>4.6858120866418024E-3</v>
      </c>
      <c r="AE779" s="20">
        <f t="shared" si="253"/>
        <v>296793.45</v>
      </c>
      <c r="AF779" s="20">
        <f t="shared" si="254"/>
        <v>1653734793.6000001</v>
      </c>
      <c r="AG779">
        <f t="shared" si="262"/>
        <v>10734699.6</v>
      </c>
      <c r="AH779">
        <f t="shared" si="263"/>
        <v>16642945.116279069</v>
      </c>
      <c r="AI779">
        <f t="shared" si="264"/>
        <v>19562331980.880001</v>
      </c>
    </row>
    <row r="780" spans="2:35" x14ac:dyDescent="0.25">
      <c r="B780" s="4">
        <v>2024</v>
      </c>
      <c r="C780" s="4" t="s">
        <v>534</v>
      </c>
      <c r="D780" s="1" t="s">
        <v>242</v>
      </c>
      <c r="E780" s="4" t="str">
        <f t="shared" si="265"/>
        <v>Xcel-CO</v>
      </c>
      <c r="F780" s="4" t="s">
        <v>143</v>
      </c>
      <c r="G780" s="4">
        <v>1</v>
      </c>
      <c r="H780" s="11" t="s">
        <v>549</v>
      </c>
      <c r="I780" s="4"/>
      <c r="J780" s="4" t="s">
        <v>27</v>
      </c>
      <c r="K780" s="5">
        <v>600600</v>
      </c>
      <c r="L780" s="5">
        <f t="shared" si="260"/>
        <v>931162.79069767438</v>
      </c>
      <c r="M780" s="8">
        <v>5014219</v>
      </c>
      <c r="N780" s="8">
        <v>4683061</v>
      </c>
      <c r="O780" s="8">
        <f>SUMIFS(EIAwtransport!$J$2:$J$675,EIAwtransport!$E$2:$E$675,Program_data!$E780,EIAwtransport!$H$2:$H$675,Program_data!$F780,EIAwtransport!$I$2:$I$675,Program_data!O$2)</f>
        <v>0</v>
      </c>
      <c r="P780" s="5">
        <f>SUMIFS(EIAwtransport!$J$2:$J$675,EIAwtransport!$E$2:$E$675,Program_data!$E780,EIAwtransport!$H$2:$H$675,Program_data!$F780,EIAwtransport!$I$2:$I$675,Program_data!P$2)</f>
        <v>0</v>
      </c>
      <c r="Q780" s="5">
        <f>SUMIFS(EIAwtransport!$J$2:$J$675,EIAwtransport!$E$2:$E$675,Program_data!$E780,EIAwtransport!$H$2:$H$675,Program_data!$F780,EIAwtransport!$I$2:$I$675,Program_data!Q$2)</f>
        <v>0</v>
      </c>
      <c r="R780" s="8">
        <f>SUMIFS(EIAwtransport!$J$2:$J$675,EIAwtransport!$E$2:$E$675,Program_data!$E780,EIAwtransport!$I$2:$I$675,Program_data!R$2)</f>
        <v>1224988736</v>
      </c>
      <c r="S780" s="5">
        <f>SUMIFS(EIAwtransport!$J$2:$J$675,EIAwtransport!$E$2:$E$675,Program_data!$E780,EIAwtransport!$I$2:$I$675,Program_data!S$2)</f>
        <v>185460106</v>
      </c>
      <c r="T780" s="5">
        <f>SUMIFS(EIAwtransport!$J$2:$J$675,EIAwtransport!$E$2:$E$675,Program_data!$E780,EIAwtransport!$I$2:$I$675,Program_data!T$2)</f>
        <v>1451821</v>
      </c>
      <c r="U780" s="24">
        <f t="shared" si="256"/>
        <v>3.1258999158003808E-4</v>
      </c>
      <c r="V780" s="24">
        <f t="shared" si="257"/>
        <v>4.8463564586052416E-4</v>
      </c>
      <c r="W780" s="24">
        <f t="shared" si="258"/>
        <v>4.0932776381055634E-3</v>
      </c>
      <c r="X780" s="25">
        <f t="shared" si="259"/>
        <v>2.6097147435738713E-3</v>
      </c>
      <c r="Y780" s="8">
        <f t="shared" si="266"/>
        <v>4.233015913215989</v>
      </c>
      <c r="Z780" s="27">
        <f t="shared" si="267"/>
        <v>0.61323184997388924</v>
      </c>
      <c r="AA780" s="27"/>
      <c r="AB780" s="40"/>
      <c r="AC780" s="56">
        <f t="shared" si="261"/>
        <v>2.7653520086833711E-2</v>
      </c>
      <c r="AE780" s="20">
        <f t="shared" si="253"/>
        <v>6322132.3500000006</v>
      </c>
      <c r="AF780" s="20">
        <f t="shared" si="254"/>
        <v>1653734793.6000001</v>
      </c>
      <c r="AG780">
        <f t="shared" si="262"/>
        <v>63351288</v>
      </c>
      <c r="AH780">
        <f t="shared" si="263"/>
        <v>98219051.162790701</v>
      </c>
      <c r="AI780">
        <f t="shared" si="264"/>
        <v>19562331980.880001</v>
      </c>
    </row>
    <row r="781" spans="2:35" x14ac:dyDescent="0.25">
      <c r="B781" s="4">
        <v>2024</v>
      </c>
      <c r="C781" s="4" t="s">
        <v>534</v>
      </c>
      <c r="D781" s="1" t="s">
        <v>242</v>
      </c>
      <c r="E781" s="4" t="str">
        <f t="shared" si="265"/>
        <v>Xcel-CO</v>
      </c>
      <c r="F781" s="4" t="s">
        <v>143</v>
      </c>
      <c r="G781" s="4">
        <v>1</v>
      </c>
      <c r="H781" s="11" t="s">
        <v>550</v>
      </c>
      <c r="I781" s="4"/>
      <c r="J781" s="4" t="s">
        <v>27</v>
      </c>
      <c r="K781" s="5">
        <v>248600</v>
      </c>
      <c r="L781" s="5">
        <f t="shared" si="260"/>
        <v>385426.3565891473</v>
      </c>
      <c r="M781" s="8">
        <v>1631890</v>
      </c>
      <c r="N781" s="8">
        <v>1061361</v>
      </c>
      <c r="O781" s="8">
        <f>SUMIFS(EIAwtransport!$J$2:$J$675,EIAwtransport!$E$2:$E$675,Program_data!$E781,EIAwtransport!$H$2:$H$675,Program_data!$F781,EIAwtransport!$I$2:$I$675,Program_data!O$2)</f>
        <v>0</v>
      </c>
      <c r="P781" s="5">
        <f>SUMIFS(EIAwtransport!$J$2:$J$675,EIAwtransport!$E$2:$E$675,Program_data!$E781,EIAwtransport!$H$2:$H$675,Program_data!$F781,EIAwtransport!$I$2:$I$675,Program_data!P$2)</f>
        <v>0</v>
      </c>
      <c r="Q781" s="5">
        <f>SUMIFS(EIAwtransport!$J$2:$J$675,EIAwtransport!$E$2:$E$675,Program_data!$E781,EIAwtransport!$H$2:$H$675,Program_data!$F781,EIAwtransport!$I$2:$I$675,Program_data!Q$2)</f>
        <v>0</v>
      </c>
      <c r="R781" s="8">
        <f>SUMIFS(EIAwtransport!$J$2:$J$675,EIAwtransport!$E$2:$E$675,Program_data!$E781,EIAwtransport!$I$2:$I$675,Program_data!R$2)</f>
        <v>1224988736</v>
      </c>
      <c r="S781" s="5">
        <f>SUMIFS(EIAwtransport!$J$2:$J$675,EIAwtransport!$E$2:$E$675,Program_data!$E781,EIAwtransport!$I$2:$I$675,Program_data!S$2)</f>
        <v>185460106</v>
      </c>
      <c r="T781" s="5">
        <f>SUMIFS(EIAwtransport!$J$2:$J$675,EIAwtransport!$E$2:$E$675,Program_data!$E781,EIAwtransport!$I$2:$I$675,Program_data!T$2)</f>
        <v>1451821</v>
      </c>
      <c r="U781" s="24">
        <f t="shared" si="256"/>
        <v>1.2938706611188391E-4</v>
      </c>
      <c r="V781" s="24">
        <f t="shared" si="257"/>
        <v>2.0060010249904484E-4</v>
      </c>
      <c r="W781" s="24">
        <f t="shared" si="258"/>
        <v>1.3321673514555485E-3</v>
      </c>
      <c r="X781" s="25">
        <f t="shared" si="259"/>
        <v>8.4933813080177885E-4</v>
      </c>
      <c r="Y781" s="8">
        <f t="shared" si="266"/>
        <v>1.377645519395551</v>
      </c>
      <c r="Z781" s="27">
        <f t="shared" si="267"/>
        <v>0.19957782531115817</v>
      </c>
      <c r="AA781" s="27"/>
      <c r="AB781" s="40"/>
      <c r="AC781" s="56">
        <f t="shared" si="261"/>
        <v>1.1446328827150951E-2</v>
      </c>
      <c r="AE781" s="20">
        <f t="shared" si="253"/>
        <v>1432837.35</v>
      </c>
      <c r="AF781" s="20">
        <f t="shared" si="254"/>
        <v>1653734793.6000001</v>
      </c>
      <c r="AG781">
        <f t="shared" si="262"/>
        <v>26222328</v>
      </c>
      <c r="AH781">
        <f t="shared" si="263"/>
        <v>40654772.093023255</v>
      </c>
      <c r="AI781">
        <f t="shared" si="264"/>
        <v>19562331980.880001</v>
      </c>
    </row>
    <row r="782" spans="2:35" x14ac:dyDescent="0.25">
      <c r="B782" s="4">
        <v>2024</v>
      </c>
      <c r="C782" s="4" t="s">
        <v>534</v>
      </c>
      <c r="D782" s="1" t="s">
        <v>242</v>
      </c>
      <c r="E782" s="4" t="str">
        <f t="shared" si="265"/>
        <v>Xcel-CO</v>
      </c>
      <c r="F782" s="4" t="s">
        <v>146</v>
      </c>
      <c r="G782" s="4"/>
      <c r="H782" s="11" t="s">
        <v>490</v>
      </c>
      <c r="I782" s="4"/>
      <c r="J782" s="4" t="s">
        <v>155</v>
      </c>
      <c r="K782" s="5">
        <v>0</v>
      </c>
      <c r="L782" s="5">
        <f t="shared" si="260"/>
        <v>0</v>
      </c>
      <c r="M782" s="8">
        <v>25805</v>
      </c>
      <c r="N782" s="8">
        <v>0</v>
      </c>
      <c r="O782" s="8">
        <f>SUMIFS(EIAwtransport!$J$2:$J$675,EIAwtransport!$E$2:$E$675,Program_data!$E782,EIAwtransport!$H$2:$H$675,Program_data!$F782,EIAwtransport!$I$2:$I$675,Program_data!O$2)</f>
        <v>386405636</v>
      </c>
      <c r="P782" s="5">
        <f>SUMIFS(EIAwtransport!$J$2:$J$675,EIAwtransport!$E$2:$E$675,Program_data!$E782,EIAwtransport!$H$2:$H$675,Program_data!$F782,EIAwtransport!$I$2:$I$675,Program_data!P$2)</f>
        <v>90043838</v>
      </c>
      <c r="Q782" s="5">
        <f>SUMIFS(EIAwtransport!$J$2:$J$675,EIAwtransport!$E$2:$E$675,Program_data!$E782,EIAwtransport!$H$2:$H$675,Program_data!$F782,EIAwtransport!$I$2:$I$675,Program_data!Q$2)</f>
        <v>110096</v>
      </c>
      <c r="R782" s="8">
        <f>SUMIFS(EIAwtransport!$J$2:$J$675,EIAwtransport!$E$2:$E$675,Program_data!$E782,EIAwtransport!$I$2:$I$675,Program_data!R$2)</f>
        <v>1224988736</v>
      </c>
      <c r="S782" s="5">
        <f>SUMIFS(EIAwtransport!$J$2:$J$675,EIAwtransport!$E$2:$E$675,Program_data!$E782,EIAwtransport!$I$2:$I$675,Program_data!S$2)</f>
        <v>185460106</v>
      </c>
      <c r="T782" s="5">
        <f>SUMIFS(EIAwtransport!$J$2:$J$675,EIAwtransport!$E$2:$E$675,Program_data!$E782,EIAwtransport!$I$2:$I$675,Program_data!T$2)</f>
        <v>1451821</v>
      </c>
      <c r="U782" s="24">
        <f t="shared" si="256"/>
        <v>0</v>
      </c>
      <c r="V782" s="24">
        <f t="shared" si="257"/>
        <v>0</v>
      </c>
      <c r="W782" s="24">
        <f t="shared" si="258"/>
        <v>2.1065499821869381E-5</v>
      </c>
      <c r="X782" s="25">
        <f t="shared" si="259"/>
        <v>1.3430544010527612E-5</v>
      </c>
      <c r="Y782" s="8">
        <f t="shared" si="266"/>
        <v>1.6106884046663463E-2</v>
      </c>
      <c r="Z782" s="27">
        <f t="shared" si="267"/>
        <v>3.1559147872432798E-3</v>
      </c>
      <c r="AA782" s="27"/>
      <c r="AB782" s="40"/>
      <c r="AC782" s="56">
        <f t="shared" si="261"/>
        <v>0</v>
      </c>
      <c r="AE782" s="20">
        <f t="shared" si="253"/>
        <v>0</v>
      </c>
      <c r="AF782" s="20">
        <f t="shared" si="254"/>
        <v>1653734793.6000001</v>
      </c>
      <c r="AG782">
        <f t="shared" si="262"/>
        <v>0</v>
      </c>
      <c r="AH782">
        <f t="shared" si="263"/>
        <v>0</v>
      </c>
      <c r="AI782">
        <f t="shared" si="264"/>
        <v>19562331980.880001</v>
      </c>
    </row>
    <row r="783" spans="2:35" x14ac:dyDescent="0.25">
      <c r="B783" s="4">
        <v>2024</v>
      </c>
      <c r="C783" s="4" t="s">
        <v>534</v>
      </c>
      <c r="D783" s="1" t="s">
        <v>242</v>
      </c>
      <c r="E783" s="4" t="str">
        <f t="shared" si="265"/>
        <v>Xcel-CO</v>
      </c>
      <c r="F783" s="4" t="s">
        <v>146</v>
      </c>
      <c r="G783" s="4"/>
      <c r="H783" s="11" t="s">
        <v>551</v>
      </c>
      <c r="I783" s="4"/>
      <c r="J783" s="4" t="s">
        <v>155</v>
      </c>
      <c r="K783" s="5">
        <v>0</v>
      </c>
      <c r="L783" s="5">
        <f t="shared" si="260"/>
        <v>0</v>
      </c>
      <c r="M783" s="8">
        <v>29880</v>
      </c>
      <c r="N783" s="8">
        <v>0</v>
      </c>
      <c r="O783" s="8">
        <f>SUMIFS(EIAwtransport!$J$2:$J$675,EIAwtransport!$E$2:$E$675,Program_data!$E783,EIAwtransport!$H$2:$H$675,Program_data!$F783,EIAwtransport!$I$2:$I$675,Program_data!O$2)</f>
        <v>386405636</v>
      </c>
      <c r="P783" s="5">
        <f>SUMIFS(EIAwtransport!$J$2:$J$675,EIAwtransport!$E$2:$E$675,Program_data!$E783,EIAwtransport!$H$2:$H$675,Program_data!$F783,EIAwtransport!$I$2:$I$675,Program_data!P$2)</f>
        <v>90043838</v>
      </c>
      <c r="Q783" s="5">
        <f>SUMIFS(EIAwtransport!$J$2:$J$675,EIAwtransport!$E$2:$E$675,Program_data!$E783,EIAwtransport!$H$2:$H$675,Program_data!$F783,EIAwtransport!$I$2:$I$675,Program_data!Q$2)</f>
        <v>110096</v>
      </c>
      <c r="R783" s="8">
        <f>SUMIFS(EIAwtransport!$J$2:$J$675,EIAwtransport!$E$2:$E$675,Program_data!$E783,EIAwtransport!$I$2:$I$675,Program_data!R$2)</f>
        <v>1224988736</v>
      </c>
      <c r="S783" s="5">
        <f>SUMIFS(EIAwtransport!$J$2:$J$675,EIAwtransport!$E$2:$E$675,Program_data!$E783,EIAwtransport!$I$2:$I$675,Program_data!S$2)</f>
        <v>185460106</v>
      </c>
      <c r="T783" s="5">
        <f>SUMIFS(EIAwtransport!$J$2:$J$675,EIAwtransport!$E$2:$E$675,Program_data!$E783,EIAwtransport!$I$2:$I$675,Program_data!T$2)</f>
        <v>1451821</v>
      </c>
      <c r="U783" s="24">
        <f t="shared" si="256"/>
        <v>0</v>
      </c>
      <c r="V783" s="24">
        <f t="shared" si="257"/>
        <v>0</v>
      </c>
      <c r="W783" s="24">
        <f t="shared" si="258"/>
        <v>2.4392061022183962E-5</v>
      </c>
      <c r="X783" s="25">
        <f t="shared" si="259"/>
        <v>1.5551430150535363E-5</v>
      </c>
      <c r="Y783" s="8">
        <f t="shared" si="266"/>
        <v>1.8650404778698091E-2</v>
      </c>
      <c r="Z783" s="27">
        <f t="shared" si="267"/>
        <v>3.6542814897434299E-3</v>
      </c>
      <c r="AA783" s="27"/>
      <c r="AB783" s="40"/>
      <c r="AC783" s="56">
        <f t="shared" si="261"/>
        <v>0</v>
      </c>
      <c r="AE783" s="20">
        <f t="shared" si="253"/>
        <v>0</v>
      </c>
      <c r="AF783" s="20">
        <f t="shared" si="254"/>
        <v>1653734793.6000001</v>
      </c>
      <c r="AG783">
        <f t="shared" si="262"/>
        <v>0</v>
      </c>
      <c r="AH783">
        <f t="shared" si="263"/>
        <v>0</v>
      </c>
      <c r="AI783">
        <f t="shared" si="264"/>
        <v>19562331980.880001</v>
      </c>
    </row>
    <row r="784" spans="2:35" x14ac:dyDescent="0.25">
      <c r="B784" s="4">
        <v>2024</v>
      </c>
      <c r="C784" s="4" t="s">
        <v>534</v>
      </c>
      <c r="D784" s="1" t="s">
        <v>242</v>
      </c>
      <c r="E784" s="4" t="str">
        <f t="shared" si="265"/>
        <v>Xcel-CO</v>
      </c>
      <c r="F784" s="4" t="s">
        <v>143</v>
      </c>
      <c r="G784" s="4"/>
      <c r="H784" s="11" t="s">
        <v>512</v>
      </c>
      <c r="I784" s="4"/>
      <c r="J784" s="4" t="s">
        <v>155</v>
      </c>
      <c r="K784" s="5">
        <v>0</v>
      </c>
      <c r="L784" s="5">
        <f t="shared" si="260"/>
        <v>0</v>
      </c>
      <c r="M784" s="8">
        <v>38258</v>
      </c>
      <c r="N784" s="8">
        <v>0</v>
      </c>
      <c r="O784" s="8">
        <f>SUMIFS(EIAwtransport!$J$2:$J$675,EIAwtransport!$E$2:$E$675,Program_data!$E784,EIAwtransport!$H$2:$H$675,Program_data!$F784,EIAwtransport!$I$2:$I$675,Program_data!O$2)</f>
        <v>0</v>
      </c>
      <c r="P784" s="5">
        <f>SUMIFS(EIAwtransport!$J$2:$J$675,EIAwtransport!$E$2:$E$675,Program_data!$E784,EIAwtransport!$H$2:$H$675,Program_data!$F784,EIAwtransport!$I$2:$I$675,Program_data!P$2)</f>
        <v>0</v>
      </c>
      <c r="Q784" s="5">
        <f>SUMIFS(EIAwtransport!$J$2:$J$675,EIAwtransport!$E$2:$E$675,Program_data!$E784,EIAwtransport!$H$2:$H$675,Program_data!$F784,EIAwtransport!$I$2:$I$675,Program_data!Q$2)</f>
        <v>0</v>
      </c>
      <c r="R784" s="8">
        <f>SUMIFS(EIAwtransport!$J$2:$J$675,EIAwtransport!$E$2:$E$675,Program_data!$E784,EIAwtransport!$I$2:$I$675,Program_data!R$2)</f>
        <v>1224988736</v>
      </c>
      <c r="S784" s="5">
        <f>SUMIFS(EIAwtransport!$J$2:$J$675,EIAwtransport!$E$2:$E$675,Program_data!$E784,EIAwtransport!$I$2:$I$675,Program_data!S$2)</f>
        <v>185460106</v>
      </c>
      <c r="T784" s="5">
        <f>SUMIFS(EIAwtransport!$J$2:$J$675,EIAwtransport!$E$2:$E$675,Program_data!$E784,EIAwtransport!$I$2:$I$675,Program_data!T$2)</f>
        <v>1451821</v>
      </c>
      <c r="U784" s="24">
        <f t="shared" si="256"/>
        <v>0</v>
      </c>
      <c r="V784" s="24">
        <f t="shared" si="257"/>
        <v>0</v>
      </c>
      <c r="W784" s="24">
        <f t="shared" si="258"/>
        <v>3.1231307583223363E-5</v>
      </c>
      <c r="X784" s="25">
        <f t="shared" si="259"/>
        <v>1.9911867961820011E-5</v>
      </c>
      <c r="Y784" s="8">
        <f t="shared" si="266"/>
        <v>3.2297496939766156E-2</v>
      </c>
      <c r="Z784" s="27">
        <f t="shared" si="267"/>
        <v>4.6788989703682778E-3</v>
      </c>
      <c r="AA784" s="27"/>
      <c r="AB784" s="40"/>
      <c r="AC784" s="56">
        <f t="shared" si="261"/>
        <v>0</v>
      </c>
      <c r="AE784" s="20">
        <f t="shared" si="253"/>
        <v>0</v>
      </c>
      <c r="AF784" s="20">
        <f t="shared" si="254"/>
        <v>1653734793.6000001</v>
      </c>
      <c r="AG784">
        <f t="shared" si="262"/>
        <v>0</v>
      </c>
      <c r="AH784">
        <f t="shared" si="263"/>
        <v>0</v>
      </c>
      <c r="AI784">
        <f t="shared" si="264"/>
        <v>19562331980.880001</v>
      </c>
    </row>
    <row r="785" spans="2:35" x14ac:dyDescent="0.25">
      <c r="B785" s="4">
        <v>2024</v>
      </c>
      <c r="C785" s="4" t="s">
        <v>534</v>
      </c>
      <c r="D785" s="1" t="s">
        <v>242</v>
      </c>
      <c r="E785" s="4" t="str">
        <f t="shared" si="265"/>
        <v>Xcel-CO</v>
      </c>
      <c r="F785" s="4" t="s">
        <v>143</v>
      </c>
      <c r="G785" s="4"/>
      <c r="H785" s="11" t="s">
        <v>480</v>
      </c>
      <c r="I785" s="4"/>
      <c r="J785" s="4" t="s">
        <v>155</v>
      </c>
      <c r="K785" s="5">
        <v>0</v>
      </c>
      <c r="L785" s="5">
        <f t="shared" si="260"/>
        <v>0</v>
      </c>
      <c r="M785" s="8">
        <v>77661</v>
      </c>
      <c r="N785" s="8">
        <v>0</v>
      </c>
      <c r="O785" s="8">
        <f>SUMIFS(EIAwtransport!$J$2:$J$675,EIAwtransport!$E$2:$E$675,Program_data!$E785,EIAwtransport!$H$2:$H$675,Program_data!$F785,EIAwtransport!$I$2:$I$675,Program_data!O$2)</f>
        <v>0</v>
      </c>
      <c r="P785" s="5">
        <f>SUMIFS(EIAwtransport!$J$2:$J$675,EIAwtransport!$E$2:$E$675,Program_data!$E785,EIAwtransport!$H$2:$H$675,Program_data!$F785,EIAwtransport!$I$2:$I$675,Program_data!P$2)</f>
        <v>0</v>
      </c>
      <c r="Q785" s="5">
        <f>SUMIFS(EIAwtransport!$J$2:$J$675,EIAwtransport!$E$2:$E$675,Program_data!$E785,EIAwtransport!$H$2:$H$675,Program_data!$F785,EIAwtransport!$I$2:$I$675,Program_data!Q$2)</f>
        <v>0</v>
      </c>
      <c r="R785" s="8">
        <f>SUMIFS(EIAwtransport!$J$2:$J$675,EIAwtransport!$E$2:$E$675,Program_data!$E785,EIAwtransport!$I$2:$I$675,Program_data!R$2)</f>
        <v>1224988736</v>
      </c>
      <c r="S785" s="5">
        <f>SUMIFS(EIAwtransport!$J$2:$J$675,EIAwtransport!$E$2:$E$675,Program_data!$E785,EIAwtransport!$I$2:$I$675,Program_data!S$2)</f>
        <v>185460106</v>
      </c>
      <c r="T785" s="5">
        <f>SUMIFS(EIAwtransport!$J$2:$J$675,EIAwtransport!$E$2:$E$675,Program_data!$E785,EIAwtransport!$I$2:$I$675,Program_data!T$2)</f>
        <v>1451821</v>
      </c>
      <c r="U785" s="24">
        <f t="shared" si="256"/>
        <v>0</v>
      </c>
      <c r="V785" s="24">
        <f t="shared" si="257"/>
        <v>0</v>
      </c>
      <c r="W785" s="24">
        <f t="shared" si="258"/>
        <v>6.3397317638682355E-5</v>
      </c>
      <c r="X785" s="25">
        <f t="shared" si="259"/>
        <v>4.0419665894267963E-5</v>
      </c>
      <c r="Y785" s="8">
        <f t="shared" si="266"/>
        <v>6.5561605673040396E-2</v>
      </c>
      <c r="Z785" s="27">
        <f t="shared" si="267"/>
        <v>9.4978298117458001E-3</v>
      </c>
      <c r="AA785" s="27"/>
      <c r="AB785" s="40"/>
      <c r="AC785" s="56">
        <f t="shared" si="261"/>
        <v>0</v>
      </c>
      <c r="AE785" s="20">
        <f t="shared" si="253"/>
        <v>0</v>
      </c>
      <c r="AF785" s="20">
        <f t="shared" si="254"/>
        <v>1653734793.6000001</v>
      </c>
      <c r="AG785">
        <f t="shared" si="262"/>
        <v>0</v>
      </c>
      <c r="AH785">
        <f t="shared" si="263"/>
        <v>0</v>
      </c>
      <c r="AI785">
        <f t="shared" si="264"/>
        <v>19562331980.880001</v>
      </c>
    </row>
    <row r="786" spans="2:35" x14ac:dyDescent="0.25">
      <c r="B786" s="4">
        <v>2024</v>
      </c>
      <c r="C786" s="4" t="s">
        <v>534</v>
      </c>
      <c r="D786" s="1" t="s">
        <v>242</v>
      </c>
      <c r="E786" s="4" t="str">
        <f t="shared" si="265"/>
        <v>Xcel-CO</v>
      </c>
      <c r="F786" s="4" t="s">
        <v>146</v>
      </c>
      <c r="G786" s="4"/>
      <c r="H786" s="11" t="s">
        <v>513</v>
      </c>
      <c r="I786" s="4"/>
      <c r="J786" s="4" t="s">
        <v>155</v>
      </c>
      <c r="K786" s="5">
        <v>0</v>
      </c>
      <c r="L786" s="5">
        <f t="shared" si="260"/>
        <v>0</v>
      </c>
      <c r="M786" s="8">
        <v>46959</v>
      </c>
      <c r="N786" s="8">
        <v>0</v>
      </c>
      <c r="O786" s="8">
        <f>SUMIFS(EIAwtransport!$J$2:$J$675,EIAwtransport!$E$2:$E$675,Program_data!$E786,EIAwtransport!$H$2:$H$675,Program_data!$F786,EIAwtransport!$I$2:$I$675,Program_data!O$2)</f>
        <v>386405636</v>
      </c>
      <c r="P786" s="5">
        <f>SUMIFS(EIAwtransport!$J$2:$J$675,EIAwtransport!$E$2:$E$675,Program_data!$E786,EIAwtransport!$H$2:$H$675,Program_data!$F786,EIAwtransport!$I$2:$I$675,Program_data!P$2)</f>
        <v>90043838</v>
      </c>
      <c r="Q786" s="5">
        <f>SUMIFS(EIAwtransport!$J$2:$J$675,EIAwtransport!$E$2:$E$675,Program_data!$E786,EIAwtransport!$H$2:$H$675,Program_data!$F786,EIAwtransport!$I$2:$I$675,Program_data!Q$2)</f>
        <v>110096</v>
      </c>
      <c r="R786" s="8">
        <f>SUMIFS(EIAwtransport!$J$2:$J$675,EIAwtransport!$E$2:$E$675,Program_data!$E786,EIAwtransport!$I$2:$I$675,Program_data!R$2)</f>
        <v>1224988736</v>
      </c>
      <c r="S786" s="5">
        <f>SUMIFS(EIAwtransport!$J$2:$J$675,EIAwtransport!$E$2:$E$675,Program_data!$E786,EIAwtransport!$I$2:$I$675,Program_data!S$2)</f>
        <v>185460106</v>
      </c>
      <c r="T786" s="5">
        <f>SUMIFS(EIAwtransport!$J$2:$J$675,EIAwtransport!$E$2:$E$675,Program_data!$E786,EIAwtransport!$I$2:$I$675,Program_data!T$2)</f>
        <v>1451821</v>
      </c>
      <c r="U786" s="24">
        <f t="shared" si="256"/>
        <v>0</v>
      </c>
      <c r="V786" s="24">
        <f t="shared" si="257"/>
        <v>0</v>
      </c>
      <c r="W786" s="24">
        <f t="shared" si="258"/>
        <v>3.8334230038177264E-5</v>
      </c>
      <c r="X786" s="25">
        <f t="shared" si="259"/>
        <v>2.4440415275735945E-5</v>
      </c>
      <c r="Y786" s="8">
        <f t="shared" si="266"/>
        <v>2.9310721486040286E-2</v>
      </c>
      <c r="Z786" s="27">
        <f t="shared" si="267"/>
        <v>5.7430188914612355E-3</v>
      </c>
      <c r="AA786" s="27"/>
      <c r="AB786" s="40"/>
      <c r="AC786" s="56">
        <f t="shared" si="261"/>
        <v>0</v>
      </c>
      <c r="AE786" s="20">
        <f t="shared" si="253"/>
        <v>0</v>
      </c>
      <c r="AF786" s="20">
        <f t="shared" si="254"/>
        <v>1653734793.6000001</v>
      </c>
      <c r="AG786">
        <f t="shared" si="262"/>
        <v>0</v>
      </c>
      <c r="AH786">
        <f t="shared" si="263"/>
        <v>0</v>
      </c>
      <c r="AI786">
        <f t="shared" si="264"/>
        <v>19562331980.880001</v>
      </c>
    </row>
    <row r="787" spans="2:35" x14ac:dyDescent="0.25">
      <c r="B787" s="4">
        <v>2024</v>
      </c>
      <c r="C787" s="4" t="s">
        <v>534</v>
      </c>
      <c r="D787" s="1" t="s">
        <v>242</v>
      </c>
      <c r="E787" s="4" t="str">
        <f t="shared" si="265"/>
        <v>Xcel-CO</v>
      </c>
      <c r="F787" s="4" t="s">
        <v>135</v>
      </c>
      <c r="G787" s="4"/>
      <c r="H787" s="11" t="s">
        <v>483</v>
      </c>
      <c r="I787" s="4"/>
      <c r="J787" s="4" t="s">
        <v>155</v>
      </c>
      <c r="K787" s="5">
        <v>0</v>
      </c>
      <c r="L787" s="5">
        <f t="shared" si="260"/>
        <v>0</v>
      </c>
      <c r="M787" s="8">
        <v>629622</v>
      </c>
      <c r="N787" s="8">
        <v>0</v>
      </c>
      <c r="O787" s="8">
        <f>SUMIFS(EIAwtransport!$J$2:$J$675,EIAwtransport!$E$2:$E$675,Program_data!$E787,EIAwtransport!$H$2:$H$675,Program_data!$F787,EIAwtransport!$I$2:$I$675,Program_data!O$2)</f>
        <v>838583100</v>
      </c>
      <c r="P787" s="5">
        <f>SUMIFS(EIAwtransport!$J$2:$J$675,EIAwtransport!$E$2:$E$675,Program_data!$E787,EIAwtransport!$H$2:$H$675,Program_data!$F787,EIAwtransport!$I$2:$I$675,Program_data!P$2)</f>
        <v>95416268</v>
      </c>
      <c r="Q787" s="5">
        <f>SUMIFS(EIAwtransport!$J$2:$J$675,EIAwtransport!$E$2:$E$675,Program_data!$E787,EIAwtransport!$H$2:$H$675,Program_data!$F787,EIAwtransport!$I$2:$I$675,Program_data!Q$2)</f>
        <v>1341725</v>
      </c>
      <c r="R787" s="8">
        <f>SUMIFS(EIAwtransport!$J$2:$J$675,EIAwtransport!$E$2:$E$675,Program_data!$E787,EIAwtransport!$I$2:$I$675,Program_data!R$2)</f>
        <v>1224988736</v>
      </c>
      <c r="S787" s="5">
        <f>SUMIFS(EIAwtransport!$J$2:$J$675,EIAwtransport!$E$2:$E$675,Program_data!$E787,EIAwtransport!$I$2:$I$675,Program_data!S$2)</f>
        <v>185460106</v>
      </c>
      <c r="T787" s="5">
        <f>SUMIFS(EIAwtransport!$J$2:$J$675,EIAwtransport!$E$2:$E$675,Program_data!$E787,EIAwtransport!$I$2:$I$675,Program_data!T$2)</f>
        <v>1451821</v>
      </c>
      <c r="U787" s="24">
        <f t="shared" si="256"/>
        <v>0</v>
      </c>
      <c r="V787" s="24">
        <f t="shared" si="257"/>
        <v>0</v>
      </c>
      <c r="W787" s="24">
        <f t="shared" si="258"/>
        <v>5.1398186897287515E-4</v>
      </c>
      <c r="X787" s="25">
        <f t="shared" si="259"/>
        <v>3.2769486459974484E-4</v>
      </c>
      <c r="Y787" s="8">
        <f t="shared" si="266"/>
        <v>0.11681190341462509</v>
      </c>
      <c r="Z787" s="27">
        <f t="shared" si="267"/>
        <v>7.7001874837190024E-2</v>
      </c>
      <c r="AA787" s="27"/>
      <c r="AB787" s="40"/>
      <c r="AC787" s="56">
        <f t="shared" si="261"/>
        <v>0</v>
      </c>
      <c r="AE787" s="20">
        <f t="shared" si="253"/>
        <v>0</v>
      </c>
      <c r="AF787" s="20">
        <f t="shared" si="254"/>
        <v>1653734793.6000001</v>
      </c>
      <c r="AG787">
        <f t="shared" si="262"/>
        <v>0</v>
      </c>
      <c r="AH787">
        <f t="shared" si="263"/>
        <v>0</v>
      </c>
      <c r="AI787">
        <f t="shared" si="264"/>
        <v>19562331980.880001</v>
      </c>
    </row>
    <row r="788" spans="2:35" x14ac:dyDescent="0.25">
      <c r="B788" s="4">
        <v>2024</v>
      </c>
      <c r="C788" s="4" t="s">
        <v>534</v>
      </c>
      <c r="D788" s="1" t="s">
        <v>242</v>
      </c>
      <c r="E788" s="4" t="str">
        <f t="shared" si="265"/>
        <v>Xcel-CO</v>
      </c>
      <c r="F788" s="4" t="s">
        <v>146</v>
      </c>
      <c r="G788" s="4"/>
      <c r="H788" s="11" t="s">
        <v>514</v>
      </c>
      <c r="I788" s="4"/>
      <c r="J788" s="4" t="s">
        <v>155</v>
      </c>
      <c r="K788" s="5">
        <v>0</v>
      </c>
      <c r="L788" s="5">
        <f t="shared" si="260"/>
        <v>0</v>
      </c>
      <c r="M788" s="8">
        <v>167491</v>
      </c>
      <c r="N788" s="8">
        <v>0</v>
      </c>
      <c r="O788" s="8">
        <f>SUMIFS(EIAwtransport!$J$2:$J$675,EIAwtransport!$E$2:$E$675,Program_data!$E788,EIAwtransport!$H$2:$H$675,Program_data!$F788,EIAwtransport!$I$2:$I$675,Program_data!O$2)</f>
        <v>386405636</v>
      </c>
      <c r="P788" s="5">
        <f>SUMIFS(EIAwtransport!$J$2:$J$675,EIAwtransport!$E$2:$E$675,Program_data!$E788,EIAwtransport!$H$2:$H$675,Program_data!$F788,EIAwtransport!$I$2:$I$675,Program_data!P$2)</f>
        <v>90043838</v>
      </c>
      <c r="Q788" s="5">
        <f>SUMIFS(EIAwtransport!$J$2:$J$675,EIAwtransport!$E$2:$E$675,Program_data!$E788,EIAwtransport!$H$2:$H$675,Program_data!$F788,EIAwtransport!$I$2:$I$675,Program_data!Q$2)</f>
        <v>110096</v>
      </c>
      <c r="R788" s="8">
        <f>SUMIFS(EIAwtransport!$J$2:$J$675,EIAwtransport!$E$2:$E$675,Program_data!$E788,EIAwtransport!$I$2:$I$675,Program_data!R$2)</f>
        <v>1224988736</v>
      </c>
      <c r="S788" s="5">
        <f>SUMIFS(EIAwtransport!$J$2:$J$675,EIAwtransport!$E$2:$E$675,Program_data!$E788,EIAwtransport!$I$2:$I$675,Program_data!S$2)</f>
        <v>185460106</v>
      </c>
      <c r="T788" s="5">
        <f>SUMIFS(EIAwtransport!$J$2:$J$675,EIAwtransport!$E$2:$E$675,Program_data!$E788,EIAwtransport!$I$2:$I$675,Program_data!T$2)</f>
        <v>1451821</v>
      </c>
      <c r="U788" s="24">
        <f t="shared" si="256"/>
        <v>0</v>
      </c>
      <c r="V788" s="24">
        <f t="shared" si="257"/>
        <v>0</v>
      </c>
      <c r="W788" s="24">
        <f t="shared" si="258"/>
        <v>1.3672860417224278E-4</v>
      </c>
      <c r="X788" s="25">
        <f t="shared" si="259"/>
        <v>8.7172844288598342E-5</v>
      </c>
      <c r="Y788" s="8">
        <f t="shared" si="266"/>
        <v>0.1045440075899907</v>
      </c>
      <c r="Z788" s="27">
        <f t="shared" si="267"/>
        <v>2.0483911010663214E-2</v>
      </c>
      <c r="AA788" s="27"/>
      <c r="AB788" s="40"/>
      <c r="AC788" s="56">
        <f t="shared" si="261"/>
        <v>0</v>
      </c>
      <c r="AE788" s="20">
        <f t="shared" si="253"/>
        <v>0</v>
      </c>
      <c r="AF788" s="20">
        <f t="shared" si="254"/>
        <v>1653734793.6000001</v>
      </c>
      <c r="AG788">
        <f t="shared" si="262"/>
        <v>0</v>
      </c>
      <c r="AH788">
        <f t="shared" si="263"/>
        <v>0</v>
      </c>
      <c r="AI788">
        <f t="shared" si="264"/>
        <v>19562331980.880001</v>
      </c>
    </row>
    <row r="789" spans="2:35" x14ac:dyDescent="0.25">
      <c r="B789" s="4">
        <v>2024</v>
      </c>
      <c r="C789" s="4" t="s">
        <v>534</v>
      </c>
      <c r="D789" s="1" t="s">
        <v>242</v>
      </c>
      <c r="E789" s="4" t="str">
        <f t="shared" si="265"/>
        <v>Xcel-CO</v>
      </c>
      <c r="F789" s="4" t="s">
        <v>306</v>
      </c>
      <c r="G789" s="4"/>
      <c r="H789" s="11" t="s">
        <v>552</v>
      </c>
      <c r="I789" s="4"/>
      <c r="J789" s="4" t="s">
        <v>155</v>
      </c>
      <c r="K789" s="5">
        <v>0</v>
      </c>
      <c r="L789" s="5">
        <f t="shared" si="260"/>
        <v>0</v>
      </c>
      <c r="M789" s="8">
        <v>320617</v>
      </c>
      <c r="N789" s="8">
        <v>0</v>
      </c>
      <c r="O789" s="8">
        <f>SUMIFS(EIAwtransport!$J$2:$J$675,EIAwtransport!$E$2:$E$675,Program_data!$E789,EIAwtransport!$H$2:$H$675,Program_data!$F789,EIAwtransport!$I$2:$I$675,Program_data!O$2)</f>
        <v>0</v>
      </c>
      <c r="P789" s="5">
        <f>SUMIFS(EIAwtransport!$J$2:$J$675,EIAwtransport!$E$2:$E$675,Program_data!$E789,EIAwtransport!$H$2:$H$675,Program_data!$F789,EIAwtransport!$I$2:$I$675,Program_data!P$2)</f>
        <v>0</v>
      </c>
      <c r="Q789" s="5">
        <f>SUMIFS(EIAwtransport!$J$2:$J$675,EIAwtransport!$E$2:$E$675,Program_data!$E789,EIAwtransport!$H$2:$H$675,Program_data!$F789,EIAwtransport!$I$2:$I$675,Program_data!Q$2)</f>
        <v>0</v>
      </c>
      <c r="R789" s="8">
        <f>SUMIFS(EIAwtransport!$J$2:$J$675,EIAwtransport!$E$2:$E$675,Program_data!$E789,EIAwtransport!$I$2:$I$675,Program_data!R$2)</f>
        <v>1224988736</v>
      </c>
      <c r="S789" s="5">
        <f>SUMIFS(EIAwtransport!$J$2:$J$675,EIAwtransport!$E$2:$E$675,Program_data!$E789,EIAwtransport!$I$2:$I$675,Program_data!S$2)</f>
        <v>185460106</v>
      </c>
      <c r="T789" s="5">
        <f>SUMIFS(EIAwtransport!$J$2:$J$675,EIAwtransport!$E$2:$E$675,Program_data!$E789,EIAwtransport!$I$2:$I$675,Program_data!T$2)</f>
        <v>1451821</v>
      </c>
      <c r="U789" s="24">
        <f t="shared" si="256"/>
        <v>0</v>
      </c>
      <c r="V789" s="24">
        <f t="shared" si="257"/>
        <v>0</v>
      </c>
      <c r="W789" s="24">
        <f t="shared" si="258"/>
        <v>2.617305699046036E-4</v>
      </c>
      <c r="X789" s="25">
        <f t="shared" si="259"/>
        <v>1.6686923964438408E-4</v>
      </c>
      <c r="Y789" s="8" t="str">
        <f t="shared" si="266"/>
        <v/>
      </c>
      <c r="Z789" s="27">
        <f t="shared" si="267"/>
        <v>3.9211002958402588E-2</v>
      </c>
      <c r="AA789" s="27"/>
      <c r="AB789" s="40"/>
      <c r="AC789" s="56">
        <f t="shared" si="261"/>
        <v>0</v>
      </c>
      <c r="AE789" s="20">
        <f t="shared" si="253"/>
        <v>0</v>
      </c>
      <c r="AF789" s="20">
        <f t="shared" si="254"/>
        <v>1653734793.6000001</v>
      </c>
      <c r="AG789">
        <f t="shared" si="262"/>
        <v>0</v>
      </c>
      <c r="AH789">
        <f t="shared" si="263"/>
        <v>0</v>
      </c>
      <c r="AI789">
        <f t="shared" si="264"/>
        <v>19562331980.880001</v>
      </c>
    </row>
    <row r="790" spans="2:35" x14ac:dyDescent="0.25">
      <c r="B790" s="4">
        <v>2024</v>
      </c>
      <c r="C790" s="4" t="s">
        <v>534</v>
      </c>
      <c r="D790" s="1" t="s">
        <v>242</v>
      </c>
      <c r="E790" s="4" t="str">
        <f t="shared" si="265"/>
        <v>Xcel-CO</v>
      </c>
      <c r="F790" s="4" t="s">
        <v>306</v>
      </c>
      <c r="G790" s="4"/>
      <c r="H790" s="11" t="s">
        <v>553</v>
      </c>
      <c r="I790" s="4"/>
      <c r="J790" s="4" t="s">
        <v>155</v>
      </c>
      <c r="K790" s="5">
        <v>0</v>
      </c>
      <c r="L790" s="5">
        <f t="shared" si="260"/>
        <v>0</v>
      </c>
      <c r="M790" s="8">
        <v>376476</v>
      </c>
      <c r="N790" s="8">
        <v>0</v>
      </c>
      <c r="O790" s="8">
        <f>SUMIFS(EIAwtransport!$J$2:$J$675,EIAwtransport!$E$2:$E$675,Program_data!$E790,EIAwtransport!$H$2:$H$675,Program_data!$F790,EIAwtransport!$I$2:$I$675,Program_data!O$2)</f>
        <v>0</v>
      </c>
      <c r="P790" s="5">
        <f>SUMIFS(EIAwtransport!$J$2:$J$675,EIAwtransport!$E$2:$E$675,Program_data!$E790,EIAwtransport!$H$2:$H$675,Program_data!$F790,EIAwtransport!$I$2:$I$675,Program_data!P$2)</f>
        <v>0</v>
      </c>
      <c r="Q790" s="5">
        <f>SUMIFS(EIAwtransport!$J$2:$J$675,EIAwtransport!$E$2:$E$675,Program_data!$E790,EIAwtransport!$H$2:$H$675,Program_data!$F790,EIAwtransport!$I$2:$I$675,Program_data!Q$2)</f>
        <v>0</v>
      </c>
      <c r="R790" s="8">
        <f>SUMIFS(EIAwtransport!$J$2:$J$675,EIAwtransport!$E$2:$E$675,Program_data!$E790,EIAwtransport!$I$2:$I$675,Program_data!R$2)</f>
        <v>1224988736</v>
      </c>
      <c r="S790" s="5">
        <f>SUMIFS(EIAwtransport!$J$2:$J$675,EIAwtransport!$E$2:$E$675,Program_data!$E790,EIAwtransport!$I$2:$I$675,Program_data!S$2)</f>
        <v>185460106</v>
      </c>
      <c r="T790" s="5">
        <f>SUMIFS(EIAwtransport!$J$2:$J$675,EIAwtransport!$E$2:$E$675,Program_data!$E790,EIAwtransport!$I$2:$I$675,Program_data!T$2)</f>
        <v>1451821</v>
      </c>
      <c r="U790" s="24">
        <f t="shared" si="256"/>
        <v>0</v>
      </c>
      <c r="V790" s="24">
        <f t="shared" si="257"/>
        <v>0</v>
      </c>
      <c r="W790" s="24">
        <f t="shared" si="258"/>
        <v>3.0733017287107528E-4</v>
      </c>
      <c r="X790" s="25">
        <f t="shared" si="259"/>
        <v>1.9594177434246825E-4</v>
      </c>
      <c r="Y790" s="8" t="str">
        <f t="shared" si="266"/>
        <v/>
      </c>
      <c r="Z790" s="27">
        <f t="shared" si="267"/>
        <v>4.6042479187839609E-2</v>
      </c>
      <c r="AA790" s="27"/>
      <c r="AB790" s="40"/>
      <c r="AC790" s="56">
        <f t="shared" si="261"/>
        <v>0</v>
      </c>
      <c r="AE790" s="20">
        <f t="shared" si="253"/>
        <v>0</v>
      </c>
      <c r="AF790" s="20">
        <f t="shared" si="254"/>
        <v>1653734793.6000001</v>
      </c>
      <c r="AG790">
        <f t="shared" si="262"/>
        <v>0</v>
      </c>
      <c r="AH790">
        <f t="shared" si="263"/>
        <v>0</v>
      </c>
      <c r="AI790">
        <f t="shared" si="264"/>
        <v>19562331980.880001</v>
      </c>
    </row>
    <row r="791" spans="2:35" x14ac:dyDescent="0.25">
      <c r="B791" s="4">
        <v>2024</v>
      </c>
      <c r="C791" s="4" t="s">
        <v>534</v>
      </c>
      <c r="D791" s="1" t="s">
        <v>242</v>
      </c>
      <c r="E791" s="4" t="str">
        <f t="shared" si="265"/>
        <v>Xcel-CO</v>
      </c>
      <c r="F791" s="4" t="s">
        <v>306</v>
      </c>
      <c r="G791" s="4"/>
      <c r="H791" s="11" t="s">
        <v>554</v>
      </c>
      <c r="I791" s="4"/>
      <c r="J791" s="4" t="s">
        <v>155</v>
      </c>
      <c r="K791" s="5">
        <v>0</v>
      </c>
      <c r="L791" s="5">
        <f t="shared" si="260"/>
        <v>0</v>
      </c>
      <c r="M791" s="8">
        <v>145572</v>
      </c>
      <c r="N791" s="8">
        <v>0</v>
      </c>
      <c r="O791" s="8">
        <f>SUMIFS(EIAwtransport!$J$2:$J$675,EIAwtransport!$E$2:$E$675,Program_data!$E791,EIAwtransport!$H$2:$H$675,Program_data!$F791,EIAwtransport!$I$2:$I$675,Program_data!O$2)</f>
        <v>0</v>
      </c>
      <c r="P791" s="5">
        <f>SUMIFS(EIAwtransport!$J$2:$J$675,EIAwtransport!$E$2:$E$675,Program_data!$E791,EIAwtransport!$H$2:$H$675,Program_data!$F791,EIAwtransport!$I$2:$I$675,Program_data!P$2)</f>
        <v>0</v>
      </c>
      <c r="Q791" s="5">
        <f>SUMIFS(EIAwtransport!$J$2:$J$675,EIAwtransport!$E$2:$E$675,Program_data!$E791,EIAwtransport!$H$2:$H$675,Program_data!$F791,EIAwtransport!$I$2:$I$675,Program_data!Q$2)</f>
        <v>0</v>
      </c>
      <c r="R791" s="8">
        <f>SUMIFS(EIAwtransport!$J$2:$J$675,EIAwtransport!$E$2:$E$675,Program_data!$E791,EIAwtransport!$I$2:$I$675,Program_data!R$2)</f>
        <v>1224988736</v>
      </c>
      <c r="S791" s="5">
        <f>SUMIFS(EIAwtransport!$J$2:$J$675,EIAwtransport!$E$2:$E$675,Program_data!$E791,EIAwtransport!$I$2:$I$675,Program_data!S$2)</f>
        <v>185460106</v>
      </c>
      <c r="T791" s="5">
        <f>SUMIFS(EIAwtransport!$J$2:$J$675,EIAwtransport!$E$2:$E$675,Program_data!$E791,EIAwtransport!$I$2:$I$675,Program_data!T$2)</f>
        <v>1451821</v>
      </c>
      <c r="U791" s="24">
        <f t="shared" si="256"/>
        <v>0</v>
      </c>
      <c r="V791" s="24">
        <f t="shared" si="257"/>
        <v>0</v>
      </c>
      <c r="W791" s="24">
        <f t="shared" si="258"/>
        <v>1.1883537841771632E-4</v>
      </c>
      <c r="X791" s="25">
        <f t="shared" si="259"/>
        <v>7.5764818938210636E-5</v>
      </c>
      <c r="Y791" s="8" t="str">
        <f t="shared" si="266"/>
        <v/>
      </c>
      <c r="Z791" s="27">
        <f t="shared" si="267"/>
        <v>1.7803248494810259E-2</v>
      </c>
      <c r="AA791" s="27"/>
      <c r="AB791" s="40"/>
      <c r="AC791" s="56">
        <f t="shared" si="261"/>
        <v>0</v>
      </c>
      <c r="AE791" s="20">
        <f t="shared" si="253"/>
        <v>0</v>
      </c>
      <c r="AF791" s="20">
        <f t="shared" si="254"/>
        <v>1653734793.6000001</v>
      </c>
      <c r="AG791">
        <f t="shared" si="262"/>
        <v>0</v>
      </c>
      <c r="AH791">
        <f t="shared" si="263"/>
        <v>0</v>
      </c>
      <c r="AI791">
        <f t="shared" si="264"/>
        <v>19562331980.880001</v>
      </c>
    </row>
    <row r="792" spans="2:35" x14ac:dyDescent="0.25">
      <c r="B792" s="4">
        <v>2024</v>
      </c>
      <c r="C792" s="4" t="s">
        <v>534</v>
      </c>
      <c r="D792" s="1" t="s">
        <v>242</v>
      </c>
      <c r="E792" s="4" t="str">
        <f t="shared" si="265"/>
        <v>Xcel-CO</v>
      </c>
      <c r="F792" s="4" t="s">
        <v>306</v>
      </c>
      <c r="G792" s="4"/>
      <c r="H792" s="11" t="s">
        <v>555</v>
      </c>
      <c r="I792" s="4"/>
      <c r="J792" s="4" t="s">
        <v>155</v>
      </c>
      <c r="K792" s="5">
        <v>0</v>
      </c>
      <c r="L792" s="5">
        <f t="shared" si="260"/>
        <v>0</v>
      </c>
      <c r="M792" s="8">
        <v>449199</v>
      </c>
      <c r="N792" s="8">
        <v>0</v>
      </c>
      <c r="O792" s="8">
        <f>SUMIFS(EIAwtransport!$J$2:$J$675,EIAwtransport!$E$2:$E$675,Program_data!$E792,EIAwtransport!$H$2:$H$675,Program_data!$F792,EIAwtransport!$I$2:$I$675,Program_data!O$2)</f>
        <v>0</v>
      </c>
      <c r="P792" s="5">
        <f>SUMIFS(EIAwtransport!$J$2:$J$675,EIAwtransport!$E$2:$E$675,Program_data!$E792,EIAwtransport!$H$2:$H$675,Program_data!$F792,EIAwtransport!$I$2:$I$675,Program_data!P$2)</f>
        <v>0</v>
      </c>
      <c r="Q792" s="5">
        <f>SUMIFS(EIAwtransport!$J$2:$J$675,EIAwtransport!$E$2:$E$675,Program_data!$E792,EIAwtransport!$H$2:$H$675,Program_data!$F792,EIAwtransport!$I$2:$I$675,Program_data!Q$2)</f>
        <v>0</v>
      </c>
      <c r="R792" s="8">
        <f>SUMIFS(EIAwtransport!$J$2:$J$675,EIAwtransport!$E$2:$E$675,Program_data!$E792,EIAwtransport!$I$2:$I$675,Program_data!R$2)</f>
        <v>1224988736</v>
      </c>
      <c r="S792" s="5">
        <f>SUMIFS(EIAwtransport!$J$2:$J$675,EIAwtransport!$E$2:$E$675,Program_data!$E792,EIAwtransport!$I$2:$I$675,Program_data!S$2)</f>
        <v>185460106</v>
      </c>
      <c r="T792" s="5">
        <f>SUMIFS(EIAwtransport!$J$2:$J$675,EIAwtransport!$E$2:$E$675,Program_data!$E792,EIAwtransport!$I$2:$I$675,Program_data!T$2)</f>
        <v>1451821</v>
      </c>
      <c r="U792" s="24">
        <f t="shared" si="256"/>
        <v>0</v>
      </c>
      <c r="V792" s="24">
        <f t="shared" si="257"/>
        <v>0</v>
      </c>
      <c r="W792" s="24">
        <f t="shared" si="258"/>
        <v>3.6669643303560955E-4</v>
      </c>
      <c r="X792" s="25">
        <f t="shared" si="259"/>
        <v>2.337913946516176E-4</v>
      </c>
      <c r="Y792" s="8" t="str">
        <f t="shared" si="266"/>
        <v/>
      </c>
      <c r="Z792" s="27">
        <f t="shared" si="267"/>
        <v>5.4936398624874795E-2</v>
      </c>
      <c r="AA792" s="27"/>
      <c r="AB792" s="40"/>
      <c r="AC792" s="56">
        <f t="shared" si="261"/>
        <v>0</v>
      </c>
      <c r="AE792" s="20">
        <f t="shared" si="253"/>
        <v>0</v>
      </c>
      <c r="AF792" s="20">
        <f t="shared" si="254"/>
        <v>1653734793.6000001</v>
      </c>
      <c r="AG792">
        <f t="shared" si="262"/>
        <v>0</v>
      </c>
      <c r="AH792">
        <f t="shared" si="263"/>
        <v>0</v>
      </c>
      <c r="AI792">
        <f t="shared" si="264"/>
        <v>19562331980.880001</v>
      </c>
    </row>
    <row r="793" spans="2:35" x14ac:dyDescent="0.25">
      <c r="B793" s="4">
        <v>2025</v>
      </c>
      <c r="C793" s="4" t="s">
        <v>534</v>
      </c>
      <c r="D793" s="1" t="s">
        <v>242</v>
      </c>
      <c r="E793" s="4" t="str">
        <f t="shared" si="265"/>
        <v>Xcel-CO</v>
      </c>
      <c r="F793" s="4" t="s">
        <v>146</v>
      </c>
      <c r="G793" s="4"/>
      <c r="H793" s="4" t="s">
        <v>491</v>
      </c>
      <c r="I793" s="4"/>
      <c r="J793" s="4" t="s">
        <v>68</v>
      </c>
      <c r="K793" s="5">
        <v>89580</v>
      </c>
      <c r="L793" s="5">
        <f t="shared" ref="L793:L827" si="268">K793/0.668</f>
        <v>134101.79640718561</v>
      </c>
      <c r="M793" s="8">
        <v>67383</v>
      </c>
      <c r="N793" s="8">
        <v>48644</v>
      </c>
      <c r="O793" s="8">
        <f>SUMIFS(EIAwtransport!$J$2:$J$675,EIAwtransport!$E$2:$E$675,Program_data!$E793,EIAwtransport!$H$2:$H$675,Program_data!$F793,EIAwtransport!$I$2:$I$675,Program_data!O$2)</f>
        <v>386405636</v>
      </c>
      <c r="P793" s="5">
        <f>SUMIFS(EIAwtransport!$J$2:$J$675,EIAwtransport!$E$2:$E$675,Program_data!$E793,EIAwtransport!$H$2:$H$675,Program_data!$F793,EIAwtransport!$I$2:$I$675,Program_data!P$2)</f>
        <v>90043838</v>
      </c>
      <c r="Q793" s="5">
        <f>SUMIFS(EIAwtransport!$J$2:$J$675,EIAwtransport!$E$2:$E$675,Program_data!$E793,EIAwtransport!$H$2:$H$675,Program_data!$F793,EIAwtransport!$I$2:$I$675,Program_data!Q$2)</f>
        <v>110096</v>
      </c>
      <c r="R793" s="8">
        <f>SUMIFS(EIAwtransport!$J$2:$J$675,EIAwtransport!$E$2:$E$675,Program_data!$E793,EIAwtransport!$I$2:$I$675,Program_data!R$2)</f>
        <v>1224988736</v>
      </c>
      <c r="S793" s="5">
        <f>SUMIFS(EIAwtransport!$J$2:$J$675,EIAwtransport!$E$2:$E$675,Program_data!$E793,EIAwtransport!$I$2:$I$675,Program_data!S$2)</f>
        <v>185460106</v>
      </c>
      <c r="T793" s="5">
        <f>SUMIFS(EIAwtransport!$J$2:$J$675,EIAwtransport!$E$2:$E$675,Program_data!$E793,EIAwtransport!$I$2:$I$675,Program_data!T$2)</f>
        <v>1451821</v>
      </c>
      <c r="U793" s="24">
        <f t="shared" ref="U793:U833" si="269">IFERROR(K793/10.36/S793,"")</f>
        <v>4.6623062680219472E-5</v>
      </c>
      <c r="V793" s="24">
        <f t="shared" si="257"/>
        <v>6.9795004012304586E-5</v>
      </c>
      <c r="W793" s="24">
        <f t="shared" ref="W793:W833" si="270">IFERROR(M793/R793,"")</f>
        <v>5.500703640755763E-5</v>
      </c>
      <c r="X793" s="25">
        <f t="shared" ref="X793:X833" si="271">IFERROR(M793/S793/10.36,"")</f>
        <v>3.5070348655740436E-5</v>
      </c>
      <c r="Y793" s="8">
        <f t="shared" si="266"/>
        <v>4.6177093398573218E-2</v>
      </c>
      <c r="Z793" s="27">
        <f t="shared" si="267"/>
        <v>7.7726357266940894E-3</v>
      </c>
      <c r="AA793" s="27"/>
      <c r="AB793" s="40"/>
      <c r="AC793" s="56">
        <f t="shared" si="261"/>
        <v>4.0522102730722893E-3</v>
      </c>
      <c r="AE793" s="20">
        <f t="shared" si="253"/>
        <v>65669.400000000009</v>
      </c>
      <c r="AF793" s="20">
        <f t="shared" si="254"/>
        <v>1653734793.6000001</v>
      </c>
      <c r="AG793">
        <f t="shared" si="262"/>
        <v>9448898.4000000004</v>
      </c>
      <c r="AH793">
        <f t="shared" si="263"/>
        <v>14145057.48502994</v>
      </c>
      <c r="AI793">
        <f t="shared" si="264"/>
        <v>19562331980.880001</v>
      </c>
    </row>
    <row r="794" spans="2:35" x14ac:dyDescent="0.25">
      <c r="B794" s="4">
        <v>2025</v>
      </c>
      <c r="C794" s="4" t="s">
        <v>534</v>
      </c>
      <c r="D794" s="1" t="s">
        <v>242</v>
      </c>
      <c r="E794" s="4" t="str">
        <f t="shared" si="265"/>
        <v>Xcel-CO</v>
      </c>
      <c r="F794" s="4" t="s">
        <v>146</v>
      </c>
      <c r="G794" s="4"/>
      <c r="H794" s="4" t="s">
        <v>535</v>
      </c>
      <c r="I794" s="4"/>
      <c r="J794" s="4" t="s">
        <v>142</v>
      </c>
      <c r="K794" s="5">
        <v>222580</v>
      </c>
      <c r="L794" s="5">
        <f t="shared" si="268"/>
        <v>333203.59281437122</v>
      </c>
      <c r="M794" s="8">
        <v>264727</v>
      </c>
      <c r="N794" s="8">
        <v>184942</v>
      </c>
      <c r="O794" s="8">
        <f>SUMIFS(EIAwtransport!$J$2:$J$675,EIAwtransport!$E$2:$E$675,Program_data!$E794,EIAwtransport!$H$2:$H$675,Program_data!$F794,EIAwtransport!$I$2:$I$675,Program_data!O$2)</f>
        <v>386405636</v>
      </c>
      <c r="P794" s="5">
        <f>SUMIFS(EIAwtransport!$J$2:$J$675,EIAwtransport!$E$2:$E$675,Program_data!$E794,EIAwtransport!$H$2:$H$675,Program_data!$F794,EIAwtransport!$I$2:$I$675,Program_data!P$2)</f>
        <v>90043838</v>
      </c>
      <c r="Q794" s="5">
        <f>SUMIFS(EIAwtransport!$J$2:$J$675,EIAwtransport!$E$2:$E$675,Program_data!$E794,EIAwtransport!$H$2:$H$675,Program_data!$F794,EIAwtransport!$I$2:$I$675,Program_data!Q$2)</f>
        <v>110096</v>
      </c>
      <c r="R794" s="8">
        <f>SUMIFS(EIAwtransport!$J$2:$J$675,EIAwtransport!$E$2:$E$675,Program_data!$E794,EIAwtransport!$I$2:$I$675,Program_data!R$2)</f>
        <v>1224988736</v>
      </c>
      <c r="S794" s="5">
        <f>SUMIFS(EIAwtransport!$J$2:$J$675,EIAwtransport!$E$2:$E$675,Program_data!$E794,EIAwtransport!$I$2:$I$675,Program_data!S$2)</f>
        <v>185460106</v>
      </c>
      <c r="T794" s="5">
        <f>SUMIFS(EIAwtransport!$J$2:$J$675,EIAwtransport!$E$2:$E$675,Program_data!$E794,EIAwtransport!$I$2:$I$675,Program_data!T$2)</f>
        <v>1451821</v>
      </c>
      <c r="U794" s="24">
        <f t="shared" si="269"/>
        <v>1.1584462258722092E-4</v>
      </c>
      <c r="V794" s="24">
        <f t="shared" si="257"/>
        <v>1.7342009369344447E-4</v>
      </c>
      <c r="W794" s="24">
        <f t="shared" si="270"/>
        <v>2.1610566058298842E-4</v>
      </c>
      <c r="X794" s="25">
        <f t="shared" si="271"/>
        <v>1.3778057059775017E-4</v>
      </c>
      <c r="Y794" s="8">
        <f t="shared" si="266"/>
        <v>0.18141554107303168</v>
      </c>
      <c r="Z794" s="27">
        <f t="shared" si="267"/>
        <v>3.0536285680669399E-2</v>
      </c>
      <c r="AA794" s="27"/>
      <c r="AB794" s="40"/>
      <c r="AC794" s="56">
        <f t="shared" si="261"/>
        <v>1.0068552830770598E-2</v>
      </c>
      <c r="AE794" s="20">
        <f t="shared" si="253"/>
        <v>249671.7</v>
      </c>
      <c r="AF794" s="20">
        <f t="shared" si="254"/>
        <v>1653734793.6000001</v>
      </c>
      <c r="AG794">
        <f t="shared" si="262"/>
        <v>23477738.400000002</v>
      </c>
      <c r="AH794">
        <f t="shared" si="263"/>
        <v>35146314.970059879</v>
      </c>
      <c r="AI794">
        <f t="shared" si="264"/>
        <v>19562331980.880001</v>
      </c>
    </row>
    <row r="795" spans="2:35" x14ac:dyDescent="0.25">
      <c r="B795" s="4">
        <v>2025</v>
      </c>
      <c r="C795" s="4" t="s">
        <v>534</v>
      </c>
      <c r="D795" s="1" t="s">
        <v>242</v>
      </c>
      <c r="E795" s="4" t="str">
        <f t="shared" si="265"/>
        <v>Xcel-CO</v>
      </c>
      <c r="F795" s="4" t="s">
        <v>146</v>
      </c>
      <c r="G795" s="4"/>
      <c r="H795" s="4" t="s">
        <v>493</v>
      </c>
      <c r="I795" s="4"/>
      <c r="J795" s="4" t="s">
        <v>142</v>
      </c>
      <c r="K795" s="5">
        <v>82830</v>
      </c>
      <c r="L795" s="5">
        <f t="shared" si="268"/>
        <v>123997.00598802394</v>
      </c>
      <c r="M795" s="8">
        <v>181440</v>
      </c>
      <c r="N795" s="8">
        <v>154900</v>
      </c>
      <c r="O795" s="8">
        <f>SUMIFS(EIAwtransport!$J$2:$J$675,EIAwtransport!$E$2:$E$675,Program_data!$E795,EIAwtransport!$H$2:$H$675,Program_data!$F795,EIAwtransport!$I$2:$I$675,Program_data!O$2)</f>
        <v>386405636</v>
      </c>
      <c r="P795" s="5">
        <f>SUMIFS(EIAwtransport!$J$2:$J$675,EIAwtransport!$E$2:$E$675,Program_data!$E795,EIAwtransport!$H$2:$H$675,Program_data!$F795,EIAwtransport!$I$2:$I$675,Program_data!P$2)</f>
        <v>90043838</v>
      </c>
      <c r="Q795" s="5">
        <f>SUMIFS(EIAwtransport!$J$2:$J$675,EIAwtransport!$E$2:$E$675,Program_data!$E795,EIAwtransport!$H$2:$H$675,Program_data!$F795,EIAwtransport!$I$2:$I$675,Program_data!Q$2)</f>
        <v>110096</v>
      </c>
      <c r="R795" s="8">
        <f>SUMIFS(EIAwtransport!$J$2:$J$675,EIAwtransport!$E$2:$E$675,Program_data!$E795,EIAwtransport!$I$2:$I$675,Program_data!R$2)</f>
        <v>1224988736</v>
      </c>
      <c r="S795" s="5">
        <f>SUMIFS(EIAwtransport!$J$2:$J$675,EIAwtransport!$E$2:$E$675,Program_data!$E795,EIAwtransport!$I$2:$I$675,Program_data!S$2)</f>
        <v>185460106</v>
      </c>
      <c r="T795" s="5">
        <f>SUMIFS(EIAwtransport!$J$2:$J$675,EIAwtransport!$E$2:$E$675,Program_data!$E795,EIAwtransport!$I$2:$I$675,Program_data!T$2)</f>
        <v>1451821</v>
      </c>
      <c r="U795" s="24">
        <f t="shared" si="269"/>
        <v>4.3109938399225035E-5</v>
      </c>
      <c r="V795" s="24">
        <f t="shared" si="257"/>
        <v>6.453583592698359E-5</v>
      </c>
      <c r="W795" s="24">
        <f t="shared" si="270"/>
        <v>1.4811564765277973E-4</v>
      </c>
      <c r="X795" s="25">
        <f t="shared" si="271"/>
        <v>9.4432780673130395E-5</v>
      </c>
      <c r="Y795" s="8">
        <f t="shared" si="266"/>
        <v>0.12433954894019449</v>
      </c>
      <c r="Z795" s="27">
        <f t="shared" si="267"/>
        <v>2.0929121978115778E-2</v>
      </c>
      <c r="AA795" s="27"/>
      <c r="AB795" s="40"/>
      <c r="AC795" s="56">
        <f t="shared" si="261"/>
        <v>3.7468695793545178E-3</v>
      </c>
      <c r="AE795" s="20">
        <f t="shared" si="253"/>
        <v>209115</v>
      </c>
      <c r="AF795" s="20">
        <f t="shared" si="254"/>
        <v>1653734793.6000001</v>
      </c>
      <c r="AG795">
        <f t="shared" si="262"/>
        <v>8736908.4000000004</v>
      </c>
      <c r="AH795">
        <f t="shared" si="263"/>
        <v>13079204.191616766</v>
      </c>
      <c r="AI795">
        <f t="shared" si="264"/>
        <v>19562331980.880001</v>
      </c>
    </row>
    <row r="796" spans="2:35" x14ac:dyDescent="0.25">
      <c r="B796" s="4">
        <v>2025</v>
      </c>
      <c r="C796" s="4" t="s">
        <v>534</v>
      </c>
      <c r="D796" s="1" t="s">
        <v>242</v>
      </c>
      <c r="E796" s="4" t="str">
        <f t="shared" si="265"/>
        <v>Xcel-CO</v>
      </c>
      <c r="F796" s="4" t="s">
        <v>146</v>
      </c>
      <c r="G796" s="4"/>
      <c r="H796" s="4" t="s">
        <v>536</v>
      </c>
      <c r="I796" s="4"/>
      <c r="J796" s="4" t="s">
        <v>142</v>
      </c>
      <c r="K796" s="5">
        <v>88910</v>
      </c>
      <c r="L796" s="5">
        <f t="shared" si="268"/>
        <v>133098.80239520958</v>
      </c>
      <c r="M796" s="8">
        <v>94378</v>
      </c>
      <c r="N796" s="8">
        <v>92617</v>
      </c>
      <c r="O796" s="8">
        <f>SUMIFS(EIAwtransport!$J$2:$J$675,EIAwtransport!$E$2:$E$675,Program_data!$E796,EIAwtransport!$H$2:$H$675,Program_data!$F796,EIAwtransport!$I$2:$I$675,Program_data!O$2)</f>
        <v>386405636</v>
      </c>
      <c r="P796" s="5">
        <f>SUMIFS(EIAwtransport!$J$2:$J$675,EIAwtransport!$E$2:$E$675,Program_data!$E796,EIAwtransport!$H$2:$H$675,Program_data!$F796,EIAwtransport!$I$2:$I$675,Program_data!P$2)</f>
        <v>90043838</v>
      </c>
      <c r="Q796" s="5">
        <f>SUMIFS(EIAwtransport!$J$2:$J$675,EIAwtransport!$E$2:$E$675,Program_data!$E796,EIAwtransport!$H$2:$H$675,Program_data!$F796,EIAwtransport!$I$2:$I$675,Program_data!Q$2)</f>
        <v>110096</v>
      </c>
      <c r="R796" s="8">
        <f>SUMIFS(EIAwtransport!$J$2:$J$675,EIAwtransport!$E$2:$E$675,Program_data!$E796,EIAwtransport!$I$2:$I$675,Program_data!R$2)</f>
        <v>1224988736</v>
      </c>
      <c r="S796" s="5">
        <f>SUMIFS(EIAwtransport!$J$2:$J$675,EIAwtransport!$E$2:$E$675,Program_data!$E796,EIAwtransport!$I$2:$I$675,Program_data!S$2)</f>
        <v>185460106</v>
      </c>
      <c r="T796" s="5">
        <f>SUMIFS(EIAwtransport!$J$2:$J$675,EIAwtransport!$E$2:$E$675,Program_data!$E796,EIAwtransport!$I$2:$I$675,Program_data!T$2)</f>
        <v>1451821</v>
      </c>
      <c r="U796" s="24">
        <f t="shared" si="269"/>
        <v>4.6274352566402252E-5</v>
      </c>
      <c r="V796" s="24">
        <f t="shared" si="257"/>
        <v>6.9272982883835692E-5</v>
      </c>
      <c r="W796" s="24">
        <f t="shared" si="270"/>
        <v>7.7043973733322558E-5</v>
      </c>
      <c r="X796" s="25">
        <f t="shared" si="271"/>
        <v>4.9120243465435953E-5</v>
      </c>
      <c r="Y796" s="8">
        <f t="shared" si="266"/>
        <v>6.4676576002412237E-2</v>
      </c>
      <c r="Z796" s="27">
        <f t="shared" si="267"/>
        <v>1.0886511651513508E-2</v>
      </c>
      <c r="AA796" s="27"/>
      <c r="AB796" s="40"/>
      <c r="AC796" s="56">
        <f t="shared" si="261"/>
        <v>4.0219023819921549E-3</v>
      </c>
      <c r="AE796" s="20">
        <f t="shared" si="253"/>
        <v>125032.95000000001</v>
      </c>
      <c r="AF796" s="20">
        <f t="shared" si="254"/>
        <v>1653734793.6000001</v>
      </c>
      <c r="AG796">
        <f t="shared" si="262"/>
        <v>9378226.8000000007</v>
      </c>
      <c r="AH796">
        <f t="shared" si="263"/>
        <v>14039261.676646708</v>
      </c>
      <c r="AI796">
        <f t="shared" si="264"/>
        <v>19562331980.880001</v>
      </c>
    </row>
    <row r="797" spans="2:35" x14ac:dyDescent="0.25">
      <c r="B797" s="4">
        <v>2025</v>
      </c>
      <c r="C797" s="4" t="s">
        <v>534</v>
      </c>
      <c r="D797" s="1" t="s">
        <v>242</v>
      </c>
      <c r="E797" s="4" t="str">
        <f t="shared" si="265"/>
        <v>Xcel-CO</v>
      </c>
      <c r="F797" s="4" t="s">
        <v>146</v>
      </c>
      <c r="G797" s="4"/>
      <c r="H797" s="4" t="s">
        <v>537</v>
      </c>
      <c r="I797" s="4"/>
      <c r="J797" s="4" t="s">
        <v>32</v>
      </c>
      <c r="K797" s="5">
        <v>846310</v>
      </c>
      <c r="L797" s="5">
        <f t="shared" si="268"/>
        <v>1266931.1377245509</v>
      </c>
      <c r="M797" s="8">
        <v>844738</v>
      </c>
      <c r="N797" s="8">
        <v>418548</v>
      </c>
      <c r="O797" s="8">
        <f>SUMIFS(EIAwtransport!$J$2:$J$675,EIAwtransport!$E$2:$E$675,Program_data!$E797,EIAwtransport!$H$2:$H$675,Program_data!$F797,EIAwtransport!$I$2:$I$675,Program_data!O$2)</f>
        <v>386405636</v>
      </c>
      <c r="P797" s="5">
        <f>SUMIFS(EIAwtransport!$J$2:$J$675,EIAwtransport!$E$2:$E$675,Program_data!$E797,EIAwtransport!$H$2:$H$675,Program_data!$F797,EIAwtransport!$I$2:$I$675,Program_data!P$2)</f>
        <v>90043838</v>
      </c>
      <c r="Q797" s="5">
        <f>SUMIFS(EIAwtransport!$J$2:$J$675,EIAwtransport!$E$2:$E$675,Program_data!$E797,EIAwtransport!$H$2:$H$675,Program_data!$F797,EIAwtransport!$I$2:$I$675,Program_data!Q$2)</f>
        <v>110096</v>
      </c>
      <c r="R797" s="8">
        <f>SUMIFS(EIAwtransport!$J$2:$J$675,EIAwtransport!$E$2:$E$675,Program_data!$E797,EIAwtransport!$I$2:$I$675,Program_data!R$2)</f>
        <v>1224988736</v>
      </c>
      <c r="S797" s="5">
        <f>SUMIFS(EIAwtransport!$J$2:$J$675,EIAwtransport!$E$2:$E$675,Program_data!$E797,EIAwtransport!$I$2:$I$675,Program_data!S$2)</f>
        <v>185460106</v>
      </c>
      <c r="T797" s="5">
        <f>SUMIFS(EIAwtransport!$J$2:$J$675,EIAwtransport!$E$2:$E$675,Program_data!$E797,EIAwtransport!$I$2:$I$675,Program_data!T$2)</f>
        <v>1451821</v>
      </c>
      <c r="U797" s="24">
        <f t="shared" si="269"/>
        <v>4.4047292003679991E-4</v>
      </c>
      <c r="V797" s="24">
        <f t="shared" si="257"/>
        <v>6.5939059885748502E-4</v>
      </c>
      <c r="W797" s="24">
        <f t="shared" si="270"/>
        <v>6.8958838165186201E-4</v>
      </c>
      <c r="X797" s="25">
        <f t="shared" si="271"/>
        <v>4.3965475242647056E-4</v>
      </c>
      <c r="Y797" s="8">
        <f t="shared" si="266"/>
        <v>0.57889297780336202</v>
      </c>
      <c r="Z797" s="27">
        <f t="shared" si="267"/>
        <v>9.744061200148571E-2</v>
      </c>
      <c r="AA797" s="27"/>
      <c r="AB797" s="40"/>
      <c r="AC797" s="56">
        <f t="shared" si="261"/>
        <v>3.8283390000042522E-2</v>
      </c>
      <c r="AE797" s="20">
        <f t="shared" si="253"/>
        <v>565039.80000000005</v>
      </c>
      <c r="AF797" s="20">
        <f t="shared" si="254"/>
        <v>1653734793.6000001</v>
      </c>
      <c r="AG797">
        <f t="shared" si="262"/>
        <v>89268778.799999997</v>
      </c>
      <c r="AH797">
        <f t="shared" si="263"/>
        <v>133635896.40718563</v>
      </c>
      <c r="AI797">
        <f t="shared" si="264"/>
        <v>19562331980.880001</v>
      </c>
    </row>
    <row r="798" spans="2:35" x14ac:dyDescent="0.25">
      <c r="B798" s="4">
        <v>2025</v>
      </c>
      <c r="C798" s="4" t="s">
        <v>534</v>
      </c>
      <c r="D798" s="1" t="s">
        <v>242</v>
      </c>
      <c r="E798" s="4" t="str">
        <f t="shared" si="265"/>
        <v>Xcel-CO</v>
      </c>
      <c r="F798" s="4" t="s">
        <v>146</v>
      </c>
      <c r="G798" s="4"/>
      <c r="H798" s="4" t="s">
        <v>538</v>
      </c>
      <c r="I798" s="4"/>
      <c r="J798" s="4" t="s">
        <v>75</v>
      </c>
      <c r="K798" s="5">
        <v>129020</v>
      </c>
      <c r="L798" s="5">
        <f t="shared" si="268"/>
        <v>193143.7125748503</v>
      </c>
      <c r="M798" s="8">
        <v>58857</v>
      </c>
      <c r="N798" s="8">
        <v>40994</v>
      </c>
      <c r="O798" s="8">
        <f>SUMIFS(EIAwtransport!$J$2:$J$675,EIAwtransport!$E$2:$E$675,Program_data!$E798,EIAwtransport!$H$2:$H$675,Program_data!$F798,EIAwtransport!$I$2:$I$675,Program_data!O$2)</f>
        <v>386405636</v>
      </c>
      <c r="P798" s="5">
        <f>SUMIFS(EIAwtransport!$J$2:$J$675,EIAwtransport!$E$2:$E$675,Program_data!$E798,EIAwtransport!$H$2:$H$675,Program_data!$F798,EIAwtransport!$I$2:$I$675,Program_data!P$2)</f>
        <v>90043838</v>
      </c>
      <c r="Q798" s="5">
        <f>SUMIFS(EIAwtransport!$J$2:$J$675,EIAwtransport!$E$2:$E$675,Program_data!$E798,EIAwtransport!$H$2:$H$675,Program_data!$F798,EIAwtransport!$I$2:$I$675,Program_data!Q$2)</f>
        <v>110096</v>
      </c>
      <c r="R798" s="8">
        <f>SUMIFS(EIAwtransport!$J$2:$J$675,EIAwtransport!$E$2:$E$675,Program_data!$E798,EIAwtransport!$I$2:$I$675,Program_data!R$2)</f>
        <v>1224988736</v>
      </c>
      <c r="S798" s="5">
        <f>SUMIFS(EIAwtransport!$J$2:$J$675,EIAwtransport!$E$2:$E$675,Program_data!$E798,EIAwtransport!$I$2:$I$675,Program_data!S$2)</f>
        <v>185460106</v>
      </c>
      <c r="T798" s="5">
        <f>SUMIFS(EIAwtransport!$J$2:$J$675,EIAwtransport!$E$2:$E$675,Program_data!$E798,EIAwtransport!$I$2:$I$675,Program_data!T$2)</f>
        <v>1451821</v>
      </c>
      <c r="U798" s="24">
        <f t="shared" si="269"/>
        <v>6.7150117738355841E-5</v>
      </c>
      <c r="V798" s="24">
        <f t="shared" si="257"/>
        <v>1.0052412835083211E-4</v>
      </c>
      <c r="W798" s="24">
        <f t="shared" si="270"/>
        <v>4.8046972409058949E-5</v>
      </c>
      <c r="X798" s="25">
        <f t="shared" si="271"/>
        <v>3.0632882341702137E-5</v>
      </c>
      <c r="Y798" s="8">
        <f t="shared" si="266"/>
        <v>4.0334285890503897E-2</v>
      </c>
      <c r="Z798" s="27">
        <f t="shared" si="267"/>
        <v>6.7891607818891114E-3</v>
      </c>
      <c r="AA798" s="27"/>
      <c r="AB798" s="40"/>
      <c r="AC798" s="56">
        <f t="shared" si="261"/>
        <v>5.8363046375506447E-3</v>
      </c>
      <c r="AE798" s="20">
        <f t="shared" ref="AE798:AE861" si="272">N798*1.35</f>
        <v>55341.9</v>
      </c>
      <c r="AF798" s="20">
        <f t="shared" ref="AF798:AF861" si="273">R798*1.35</f>
        <v>1653734793.6000001</v>
      </c>
      <c r="AG798">
        <f t="shared" si="262"/>
        <v>13609029.6</v>
      </c>
      <c r="AH798">
        <f t="shared" si="263"/>
        <v>20372798.80239521</v>
      </c>
      <c r="AI798">
        <f t="shared" si="264"/>
        <v>19562331980.880001</v>
      </c>
    </row>
    <row r="799" spans="2:35" x14ac:dyDescent="0.25">
      <c r="B799" s="4">
        <v>2025</v>
      </c>
      <c r="C799" s="4" t="s">
        <v>534</v>
      </c>
      <c r="D799" s="1" t="s">
        <v>242</v>
      </c>
      <c r="E799" s="4" t="str">
        <f t="shared" si="265"/>
        <v>Xcel-CO</v>
      </c>
      <c r="F799" s="4" t="s">
        <v>146</v>
      </c>
      <c r="G799" s="4"/>
      <c r="H799" s="4" t="s">
        <v>539</v>
      </c>
      <c r="I799" s="4"/>
      <c r="J799" s="4" t="s">
        <v>155</v>
      </c>
      <c r="K799" s="5">
        <v>0</v>
      </c>
      <c r="L799" s="5">
        <f t="shared" si="268"/>
        <v>0</v>
      </c>
      <c r="M799" s="8">
        <v>69131</v>
      </c>
      <c r="N799" s="8">
        <v>0</v>
      </c>
      <c r="O799" s="8">
        <f>SUMIFS(EIAwtransport!$J$2:$J$675,EIAwtransport!$E$2:$E$675,Program_data!$E799,EIAwtransport!$H$2:$H$675,Program_data!$F799,EIAwtransport!$I$2:$I$675,Program_data!O$2)</f>
        <v>386405636</v>
      </c>
      <c r="P799" s="5">
        <f>SUMIFS(EIAwtransport!$J$2:$J$675,EIAwtransport!$E$2:$E$675,Program_data!$E799,EIAwtransport!$H$2:$H$675,Program_data!$F799,EIAwtransport!$I$2:$I$675,Program_data!P$2)</f>
        <v>90043838</v>
      </c>
      <c r="Q799" s="5">
        <f>SUMIFS(EIAwtransport!$J$2:$J$675,EIAwtransport!$E$2:$E$675,Program_data!$E799,EIAwtransport!$H$2:$H$675,Program_data!$F799,EIAwtransport!$I$2:$I$675,Program_data!Q$2)</f>
        <v>110096</v>
      </c>
      <c r="R799" s="8">
        <f>SUMIFS(EIAwtransport!$J$2:$J$675,EIAwtransport!$E$2:$E$675,Program_data!$E799,EIAwtransport!$I$2:$I$675,Program_data!R$2)</f>
        <v>1224988736</v>
      </c>
      <c r="S799" s="5">
        <f>SUMIFS(EIAwtransport!$J$2:$J$675,EIAwtransport!$E$2:$E$675,Program_data!$E799,EIAwtransport!$I$2:$I$675,Program_data!S$2)</f>
        <v>185460106</v>
      </c>
      <c r="T799" s="5">
        <f>SUMIFS(EIAwtransport!$J$2:$J$675,EIAwtransport!$E$2:$E$675,Program_data!$E799,EIAwtransport!$I$2:$I$675,Program_data!T$2)</f>
        <v>1451821</v>
      </c>
      <c r="U799" s="24">
        <f t="shared" si="269"/>
        <v>0</v>
      </c>
      <c r="V799" s="24">
        <f t="shared" si="257"/>
        <v>0</v>
      </c>
      <c r="W799" s="24">
        <f t="shared" si="270"/>
        <v>5.643398830403613E-5</v>
      </c>
      <c r="X799" s="25">
        <f t="shared" si="271"/>
        <v>3.598011772880389E-5</v>
      </c>
      <c r="Y799" s="8">
        <f t="shared" si="266"/>
        <v>4.7374985437525267E-2</v>
      </c>
      <c r="Z799" s="27">
        <f t="shared" si="267"/>
        <v>7.9742676998959539E-3</v>
      </c>
      <c r="AA799" s="27"/>
      <c r="AB799" s="40"/>
      <c r="AC799" s="56">
        <f t="shared" si="261"/>
        <v>0</v>
      </c>
      <c r="AE799" s="20">
        <f t="shared" si="272"/>
        <v>0</v>
      </c>
      <c r="AF799" s="20">
        <f t="shared" si="273"/>
        <v>1653734793.6000001</v>
      </c>
      <c r="AG799">
        <f t="shared" si="262"/>
        <v>0</v>
      </c>
      <c r="AH799">
        <f t="shared" si="263"/>
        <v>0</v>
      </c>
      <c r="AI799">
        <f t="shared" si="264"/>
        <v>19562331980.880001</v>
      </c>
    </row>
    <row r="800" spans="2:35" x14ac:dyDescent="0.25">
      <c r="B800" s="4">
        <v>2025</v>
      </c>
      <c r="C800" s="4" t="s">
        <v>534</v>
      </c>
      <c r="D800" s="1" t="s">
        <v>242</v>
      </c>
      <c r="E800" s="4" t="str">
        <f t="shared" si="265"/>
        <v>Xcel-CO</v>
      </c>
      <c r="F800" s="4" t="s">
        <v>135</v>
      </c>
      <c r="G800" s="4"/>
      <c r="H800" s="4" t="s">
        <v>482</v>
      </c>
      <c r="I800" s="4"/>
      <c r="J800" s="4" t="s">
        <v>142</v>
      </c>
      <c r="K800" s="5">
        <v>438210</v>
      </c>
      <c r="L800" s="5">
        <f t="shared" si="268"/>
        <v>656002.99401197606</v>
      </c>
      <c r="M800" s="8">
        <v>542050</v>
      </c>
      <c r="N800" s="8">
        <v>173831</v>
      </c>
      <c r="O800" s="8">
        <f>SUMIFS(EIAwtransport!$J$2:$J$675,EIAwtransport!$E$2:$E$675,Program_data!$E800,EIAwtransport!$H$2:$H$675,Program_data!$F800,EIAwtransport!$I$2:$I$675,Program_data!O$2)</f>
        <v>838583100</v>
      </c>
      <c r="P800" s="5">
        <f>SUMIFS(EIAwtransport!$J$2:$J$675,EIAwtransport!$E$2:$E$675,Program_data!$E800,EIAwtransport!$H$2:$H$675,Program_data!$F800,EIAwtransport!$I$2:$I$675,Program_data!P$2)</f>
        <v>95416268</v>
      </c>
      <c r="Q800" s="5">
        <f>SUMIFS(EIAwtransport!$J$2:$J$675,EIAwtransport!$E$2:$E$675,Program_data!$E800,EIAwtransport!$H$2:$H$675,Program_data!$F800,EIAwtransport!$I$2:$I$675,Program_data!Q$2)</f>
        <v>1341725</v>
      </c>
      <c r="R800" s="8">
        <f>SUMIFS(EIAwtransport!$J$2:$J$675,EIAwtransport!$E$2:$E$675,Program_data!$E800,EIAwtransport!$I$2:$I$675,Program_data!R$2)</f>
        <v>1224988736</v>
      </c>
      <c r="S800" s="5">
        <f>SUMIFS(EIAwtransport!$J$2:$J$675,EIAwtransport!$E$2:$E$675,Program_data!$E800,EIAwtransport!$I$2:$I$675,Program_data!S$2)</f>
        <v>185460106</v>
      </c>
      <c r="T800" s="5">
        <f>SUMIFS(EIAwtransport!$J$2:$J$675,EIAwtransport!$E$2:$E$675,Program_data!$E800,EIAwtransport!$I$2:$I$675,Program_data!T$2)</f>
        <v>1451821</v>
      </c>
      <c r="U800" s="24">
        <f t="shared" si="269"/>
        <v>2.2807202832215867E-4</v>
      </c>
      <c r="V800" s="24">
        <f t="shared" si="257"/>
        <v>3.4142519209903998E-4</v>
      </c>
      <c r="W800" s="24">
        <f t="shared" si="270"/>
        <v>4.4249386469460565E-4</v>
      </c>
      <c r="X800" s="25">
        <f t="shared" si="271"/>
        <v>2.8211689133526418E-4</v>
      </c>
      <c r="Y800" s="8">
        <f t="shared" si="266"/>
        <v>9.262297042831609E-2</v>
      </c>
      <c r="Z800" s="27">
        <f t="shared" si="267"/>
        <v>6.2525521209422716E-2</v>
      </c>
      <c r="AA800" s="27"/>
      <c r="AB800" s="40"/>
      <c r="AC800" s="56">
        <f t="shared" si="261"/>
        <v>1.9822717836157713E-2</v>
      </c>
      <c r="AE800" s="20">
        <f t="shared" si="272"/>
        <v>234671.85</v>
      </c>
      <c r="AF800" s="20">
        <f t="shared" si="273"/>
        <v>1653734793.6000001</v>
      </c>
      <c r="AG800">
        <f t="shared" si="262"/>
        <v>46222390.800000004</v>
      </c>
      <c r="AH800">
        <f t="shared" si="263"/>
        <v>69195195.808383241</v>
      </c>
      <c r="AI800">
        <f t="shared" si="264"/>
        <v>19562331980.880001</v>
      </c>
    </row>
    <row r="801" spans="2:35" x14ac:dyDescent="0.25">
      <c r="B801" s="4">
        <v>2025</v>
      </c>
      <c r="C801" s="4" t="s">
        <v>534</v>
      </c>
      <c r="D801" s="1" t="s">
        <v>242</v>
      </c>
      <c r="E801" s="4" t="str">
        <f t="shared" si="265"/>
        <v>Xcel-CO</v>
      </c>
      <c r="F801" s="4" t="s">
        <v>135</v>
      </c>
      <c r="G801" s="4"/>
      <c r="H801" s="4" t="s">
        <v>484</v>
      </c>
      <c r="I801" s="4"/>
      <c r="J801" s="4" t="s">
        <v>142</v>
      </c>
      <c r="K801" s="5">
        <v>2195350</v>
      </c>
      <c r="L801" s="5">
        <f t="shared" si="268"/>
        <v>3286452.0958083831</v>
      </c>
      <c r="M801" s="8">
        <v>1270660</v>
      </c>
      <c r="N801" s="8">
        <v>0</v>
      </c>
      <c r="O801" s="8">
        <f>SUMIFS(EIAwtransport!$J$2:$J$675,EIAwtransport!$E$2:$E$675,Program_data!$E801,EIAwtransport!$H$2:$H$675,Program_data!$F801,EIAwtransport!$I$2:$I$675,Program_data!O$2)</f>
        <v>838583100</v>
      </c>
      <c r="P801" s="5">
        <f>SUMIFS(EIAwtransport!$J$2:$J$675,EIAwtransport!$E$2:$E$675,Program_data!$E801,EIAwtransport!$H$2:$H$675,Program_data!$F801,EIAwtransport!$I$2:$I$675,Program_data!P$2)</f>
        <v>95416268</v>
      </c>
      <c r="Q801" s="5">
        <f>SUMIFS(EIAwtransport!$J$2:$J$675,EIAwtransport!$E$2:$E$675,Program_data!$E801,EIAwtransport!$H$2:$H$675,Program_data!$F801,EIAwtransport!$I$2:$I$675,Program_data!Q$2)</f>
        <v>1341725</v>
      </c>
      <c r="R801" s="8">
        <f>SUMIFS(EIAwtransport!$J$2:$J$675,EIAwtransport!$E$2:$E$675,Program_data!$E801,EIAwtransport!$I$2:$I$675,Program_data!R$2)</f>
        <v>1224988736</v>
      </c>
      <c r="S801" s="5">
        <f>SUMIFS(EIAwtransport!$J$2:$J$675,EIAwtransport!$E$2:$E$675,Program_data!$E801,EIAwtransport!$I$2:$I$675,Program_data!S$2)</f>
        <v>185460106</v>
      </c>
      <c r="T801" s="5">
        <f>SUMIFS(EIAwtransport!$J$2:$J$675,EIAwtransport!$E$2:$E$675,Program_data!$E801,EIAwtransport!$I$2:$I$675,Program_data!T$2)</f>
        <v>1451821</v>
      </c>
      <c r="U801" s="24">
        <f t="shared" si="269"/>
        <v>1.142598131893501E-3</v>
      </c>
      <c r="V801" s="24">
        <f t="shared" si="257"/>
        <v>1.7104762453495521E-3</v>
      </c>
      <c r="W801" s="24">
        <f t="shared" si="270"/>
        <v>1.0372830073108526E-3</v>
      </c>
      <c r="X801" s="25">
        <f t="shared" si="271"/>
        <v>6.6133133316865014E-4</v>
      </c>
      <c r="Y801" s="8">
        <f t="shared" si="266"/>
        <v>0.21712444166487246</v>
      </c>
      <c r="Z801" s="27">
        <f t="shared" si="267"/>
        <v>0.14657075690428018</v>
      </c>
      <c r="AA801" s="27"/>
      <c r="AB801" s="40"/>
      <c r="AC801" s="56">
        <f t="shared" si="261"/>
        <v>9.9308102511601368E-2</v>
      </c>
      <c r="AE801" s="20">
        <f t="shared" si="272"/>
        <v>0</v>
      </c>
      <c r="AF801" s="20">
        <f t="shared" si="273"/>
        <v>1653734793.6000001</v>
      </c>
      <c r="AG801">
        <f t="shared" si="262"/>
        <v>231565518</v>
      </c>
      <c r="AH801">
        <f t="shared" si="263"/>
        <v>346654967.06586826</v>
      </c>
      <c r="AI801">
        <f t="shared" si="264"/>
        <v>19562331980.880001</v>
      </c>
    </row>
    <row r="802" spans="2:35" x14ac:dyDescent="0.25">
      <c r="B802" s="4">
        <v>2025</v>
      </c>
      <c r="C802" s="4" t="s">
        <v>534</v>
      </c>
      <c r="D802" s="1" t="s">
        <v>242</v>
      </c>
      <c r="E802" s="4" t="str">
        <f t="shared" si="265"/>
        <v>Xcel-CO</v>
      </c>
      <c r="F802" s="4" t="s">
        <v>135</v>
      </c>
      <c r="G802" s="4"/>
      <c r="H802" s="4" t="s">
        <v>278</v>
      </c>
      <c r="I802" s="4"/>
      <c r="J802" s="4" t="s">
        <v>142</v>
      </c>
      <c r="K802" s="5">
        <v>449420</v>
      </c>
      <c r="L802" s="5">
        <f t="shared" si="268"/>
        <v>672784.43113772455</v>
      </c>
      <c r="M802" s="8">
        <v>3766303</v>
      </c>
      <c r="N802" s="8">
        <v>744367</v>
      </c>
      <c r="O802" s="8">
        <f>SUMIFS(EIAwtransport!$J$2:$J$675,EIAwtransport!$E$2:$E$675,Program_data!$E802,EIAwtransport!$H$2:$H$675,Program_data!$F802,EIAwtransport!$I$2:$I$675,Program_data!O$2)</f>
        <v>838583100</v>
      </c>
      <c r="P802" s="5">
        <f>SUMIFS(EIAwtransport!$J$2:$J$675,EIAwtransport!$E$2:$E$675,Program_data!$E802,EIAwtransport!$H$2:$H$675,Program_data!$F802,EIAwtransport!$I$2:$I$675,Program_data!P$2)</f>
        <v>95416268</v>
      </c>
      <c r="Q802" s="5">
        <f>SUMIFS(EIAwtransport!$J$2:$J$675,EIAwtransport!$E$2:$E$675,Program_data!$E802,EIAwtransport!$H$2:$H$675,Program_data!$F802,EIAwtransport!$I$2:$I$675,Program_data!Q$2)</f>
        <v>1341725</v>
      </c>
      <c r="R802" s="8">
        <f>SUMIFS(EIAwtransport!$J$2:$J$675,EIAwtransport!$E$2:$E$675,Program_data!$E802,EIAwtransport!$I$2:$I$675,Program_data!R$2)</f>
        <v>1224988736</v>
      </c>
      <c r="S802" s="5">
        <f>SUMIFS(EIAwtransport!$J$2:$J$675,EIAwtransport!$E$2:$E$675,Program_data!$E802,EIAwtransport!$I$2:$I$675,Program_data!S$2)</f>
        <v>185460106</v>
      </c>
      <c r="T802" s="5">
        <f>SUMIFS(EIAwtransport!$J$2:$J$675,EIAwtransport!$E$2:$E$675,Program_data!$E802,EIAwtransport!$I$2:$I$675,Program_data!T$2)</f>
        <v>1451821</v>
      </c>
      <c r="U802" s="24">
        <f t="shared" si="269"/>
        <v>2.3390641694289165E-4</v>
      </c>
      <c r="V802" s="24">
        <f t="shared" ref="V802:V865" si="274">IFERROR(L802/10.36/S802,"")</f>
        <v>3.5015930680073603E-4</v>
      </c>
      <c r="W802" s="24">
        <f t="shared" si="270"/>
        <v>3.0745613321296696E-3</v>
      </c>
      <c r="X802" s="25">
        <f t="shared" si="271"/>
        <v>1.9602208176121749E-3</v>
      </c>
      <c r="Y802" s="8">
        <f t="shared" si="266"/>
        <v>0.64356825273144214</v>
      </c>
      <c r="Z802" s="27">
        <f t="shared" si="267"/>
        <v>0.43444342423690141</v>
      </c>
      <c r="AC802" s="56">
        <f t="shared" si="261"/>
        <v>2.0329809566020856E-2</v>
      </c>
      <c r="AE802" s="20">
        <f t="shared" si="272"/>
        <v>1004895.4500000001</v>
      </c>
      <c r="AF802" s="20">
        <f t="shared" si="273"/>
        <v>1653734793.6000001</v>
      </c>
      <c r="AG802">
        <f t="shared" si="262"/>
        <v>47404821.600000001</v>
      </c>
      <c r="AH802">
        <f t="shared" si="263"/>
        <v>70965301.796407193</v>
      </c>
      <c r="AI802">
        <f t="shared" si="264"/>
        <v>19562331980.880001</v>
      </c>
    </row>
    <row r="803" spans="2:35" x14ac:dyDescent="0.25">
      <c r="B803" s="4">
        <v>2025</v>
      </c>
      <c r="C803" s="4" t="s">
        <v>534</v>
      </c>
      <c r="D803" s="1" t="s">
        <v>242</v>
      </c>
      <c r="E803" s="4" t="str">
        <f t="shared" si="265"/>
        <v>Xcel-CO</v>
      </c>
      <c r="F803" s="4" t="s">
        <v>135</v>
      </c>
      <c r="G803" s="4"/>
      <c r="H803" s="4" t="s">
        <v>540</v>
      </c>
      <c r="I803" s="4"/>
      <c r="J803" s="4" t="s">
        <v>142</v>
      </c>
      <c r="K803" s="5">
        <v>802230</v>
      </c>
      <c r="L803" s="5">
        <f t="shared" si="268"/>
        <v>1200943.1137724551</v>
      </c>
      <c r="M803" s="8">
        <v>1253827</v>
      </c>
      <c r="N803" s="8">
        <v>1220840</v>
      </c>
      <c r="O803" s="8">
        <f>SUMIFS(EIAwtransport!$J$2:$J$675,EIAwtransport!$E$2:$E$675,Program_data!$E803,EIAwtransport!$H$2:$H$675,Program_data!$F803,EIAwtransport!$I$2:$I$675,Program_data!O$2)</f>
        <v>838583100</v>
      </c>
      <c r="P803" s="5">
        <f>SUMIFS(EIAwtransport!$J$2:$J$675,EIAwtransport!$E$2:$E$675,Program_data!$E803,EIAwtransport!$H$2:$H$675,Program_data!$F803,EIAwtransport!$I$2:$I$675,Program_data!P$2)</f>
        <v>95416268</v>
      </c>
      <c r="Q803" s="5">
        <f>SUMIFS(EIAwtransport!$J$2:$J$675,EIAwtransport!$E$2:$E$675,Program_data!$E803,EIAwtransport!$H$2:$H$675,Program_data!$F803,EIAwtransport!$I$2:$I$675,Program_data!Q$2)</f>
        <v>1341725</v>
      </c>
      <c r="R803" s="8">
        <f>SUMIFS(EIAwtransport!$J$2:$J$675,EIAwtransport!$E$2:$E$675,Program_data!$E803,EIAwtransport!$I$2:$I$675,Program_data!R$2)</f>
        <v>1224988736</v>
      </c>
      <c r="S803" s="5">
        <f>SUMIFS(EIAwtransport!$J$2:$J$675,EIAwtransport!$E$2:$E$675,Program_data!$E803,EIAwtransport!$I$2:$I$675,Program_data!S$2)</f>
        <v>185460106</v>
      </c>
      <c r="T803" s="5">
        <f>SUMIFS(EIAwtransport!$J$2:$J$675,EIAwtransport!$E$2:$E$675,Program_data!$E803,EIAwtransport!$I$2:$I$675,Program_data!T$2)</f>
        <v>1451821</v>
      </c>
      <c r="U803" s="24">
        <f t="shared" si="269"/>
        <v>4.1753091732476524E-4</v>
      </c>
      <c r="V803" s="24">
        <f t="shared" si="274"/>
        <v>6.2504628342030728E-4</v>
      </c>
      <c r="W803" s="24">
        <f t="shared" si="270"/>
        <v>1.0235416564679334E-3</v>
      </c>
      <c r="X803" s="25">
        <f t="shared" si="271"/>
        <v>6.5257038190613464E-4</v>
      </c>
      <c r="Y803" s="8">
        <f t="shared" si="266"/>
        <v>0.21424809730324559</v>
      </c>
      <c r="Z803" s="27">
        <f t="shared" si="267"/>
        <v>0.14462906868636999</v>
      </c>
      <c r="AC803" s="56">
        <f t="shared" si="261"/>
        <v>3.6289402180919653E-2</v>
      </c>
      <c r="AE803" s="20">
        <f t="shared" si="272"/>
        <v>1648134</v>
      </c>
      <c r="AF803" s="20">
        <f t="shared" si="273"/>
        <v>1653734793.6000001</v>
      </c>
      <c r="AG803">
        <f t="shared" si="262"/>
        <v>84619220.400000006</v>
      </c>
      <c r="AH803">
        <f t="shared" si="263"/>
        <v>126675479.64071858</v>
      </c>
      <c r="AI803">
        <f t="shared" si="264"/>
        <v>19562331980.880001</v>
      </c>
    </row>
    <row r="804" spans="2:35" x14ac:dyDescent="0.25">
      <c r="B804" s="4">
        <v>2025</v>
      </c>
      <c r="C804" s="4" t="s">
        <v>534</v>
      </c>
      <c r="D804" s="1" t="s">
        <v>242</v>
      </c>
      <c r="E804" s="4" t="str">
        <f t="shared" si="265"/>
        <v>Xcel-CO</v>
      </c>
      <c r="F804" s="4" t="s">
        <v>135</v>
      </c>
      <c r="G804" s="4"/>
      <c r="H804" s="4" t="s">
        <v>541</v>
      </c>
      <c r="I804" s="4"/>
      <c r="J804" s="4" t="s">
        <v>142</v>
      </c>
      <c r="K804" s="5">
        <v>209990</v>
      </c>
      <c r="L804" s="5">
        <f t="shared" si="268"/>
        <v>314356.2874251497</v>
      </c>
      <c r="M804" s="8">
        <v>404530</v>
      </c>
      <c r="N804" s="8">
        <v>404530</v>
      </c>
      <c r="O804" s="8">
        <f>SUMIFS(EIAwtransport!$J$2:$J$675,EIAwtransport!$E$2:$E$675,Program_data!$E804,EIAwtransport!$H$2:$H$675,Program_data!$F804,EIAwtransport!$I$2:$I$675,Program_data!O$2)</f>
        <v>838583100</v>
      </c>
      <c r="P804" s="5">
        <f>SUMIFS(EIAwtransport!$J$2:$J$675,EIAwtransport!$E$2:$E$675,Program_data!$E804,EIAwtransport!$H$2:$H$675,Program_data!$F804,EIAwtransport!$I$2:$I$675,Program_data!P$2)</f>
        <v>95416268</v>
      </c>
      <c r="Q804" s="5">
        <f>SUMIFS(EIAwtransport!$J$2:$J$675,EIAwtransport!$E$2:$E$675,Program_data!$E804,EIAwtransport!$H$2:$H$675,Program_data!$F804,EIAwtransport!$I$2:$I$675,Program_data!Q$2)</f>
        <v>1341725</v>
      </c>
      <c r="R804" s="8">
        <f>SUMIFS(EIAwtransport!$J$2:$J$675,EIAwtransport!$E$2:$E$675,Program_data!$E804,EIAwtransport!$I$2:$I$675,Program_data!R$2)</f>
        <v>1224988736</v>
      </c>
      <c r="S804" s="5">
        <f>SUMIFS(EIAwtransport!$J$2:$J$675,EIAwtransport!$E$2:$E$675,Program_data!$E804,EIAwtransport!$I$2:$I$675,Program_data!S$2)</f>
        <v>185460106</v>
      </c>
      <c r="T804" s="5">
        <f>SUMIFS(EIAwtransport!$J$2:$J$675,EIAwtransport!$E$2:$E$675,Program_data!$E804,EIAwtransport!$I$2:$I$675,Program_data!T$2)</f>
        <v>1451821</v>
      </c>
      <c r="U804" s="24">
        <f t="shared" si="269"/>
        <v>1.0929199522459575E-4</v>
      </c>
      <c r="V804" s="24">
        <f t="shared" si="274"/>
        <v>1.63610771294305E-4</v>
      </c>
      <c r="W804" s="24">
        <f t="shared" si="270"/>
        <v>3.3023160794190358E-4</v>
      </c>
      <c r="X804" s="25">
        <f t="shared" si="271"/>
        <v>2.1054283931713755E-4</v>
      </c>
      <c r="Y804" s="8">
        <f t="shared" si="266"/>
        <v>6.912419560440311E-2</v>
      </c>
      <c r="Z804" s="27">
        <f t="shared" si="267"/>
        <v>4.6662575583152427E-2</v>
      </c>
      <c r="AC804" s="56">
        <f t="shared" si="261"/>
        <v>9.4990358924140431E-3</v>
      </c>
      <c r="AE804" s="20">
        <f t="shared" si="272"/>
        <v>546115.5</v>
      </c>
      <c r="AF804" s="20">
        <f t="shared" si="273"/>
        <v>1653734793.6000001</v>
      </c>
      <c r="AG804">
        <f t="shared" si="262"/>
        <v>22149745.199999999</v>
      </c>
      <c r="AH804">
        <f t="shared" si="263"/>
        <v>33158301.19760479</v>
      </c>
      <c r="AI804">
        <f t="shared" si="264"/>
        <v>19562331980.880001</v>
      </c>
    </row>
    <row r="805" spans="2:35" x14ac:dyDescent="0.25">
      <c r="B805" s="4">
        <v>2025</v>
      </c>
      <c r="C805" s="4" t="s">
        <v>534</v>
      </c>
      <c r="D805" s="1" t="s">
        <v>242</v>
      </c>
      <c r="E805" s="4" t="str">
        <f t="shared" si="265"/>
        <v>Xcel-CO</v>
      </c>
      <c r="F805" s="4" t="s">
        <v>135</v>
      </c>
      <c r="G805" s="4"/>
      <c r="H805" s="4" t="s">
        <v>486</v>
      </c>
      <c r="I805" s="4"/>
      <c r="J805" s="4" t="s">
        <v>142</v>
      </c>
      <c r="K805" s="5">
        <v>778290</v>
      </c>
      <c r="L805" s="5">
        <f t="shared" si="268"/>
        <v>1165104.7904191616</v>
      </c>
      <c r="M805" s="8">
        <v>1008039</v>
      </c>
      <c r="N805" s="8">
        <v>800851</v>
      </c>
      <c r="O805" s="8">
        <f>SUMIFS(EIAwtransport!$J$2:$J$675,EIAwtransport!$E$2:$E$675,Program_data!$E805,EIAwtransport!$H$2:$H$675,Program_data!$F805,EIAwtransport!$I$2:$I$675,Program_data!O$2)</f>
        <v>838583100</v>
      </c>
      <c r="P805" s="5">
        <f>SUMIFS(EIAwtransport!$J$2:$J$675,EIAwtransport!$E$2:$E$675,Program_data!$E805,EIAwtransport!$H$2:$H$675,Program_data!$F805,EIAwtransport!$I$2:$I$675,Program_data!P$2)</f>
        <v>95416268</v>
      </c>
      <c r="Q805" s="5">
        <f>SUMIFS(EIAwtransport!$J$2:$J$675,EIAwtransport!$E$2:$E$675,Program_data!$E805,EIAwtransport!$H$2:$H$675,Program_data!$F805,EIAwtransport!$I$2:$I$675,Program_data!Q$2)</f>
        <v>1341725</v>
      </c>
      <c r="R805" s="8">
        <f>SUMIFS(EIAwtransport!$J$2:$J$675,EIAwtransport!$E$2:$E$675,Program_data!$E805,EIAwtransport!$I$2:$I$675,Program_data!R$2)</f>
        <v>1224988736</v>
      </c>
      <c r="S805" s="5">
        <f>SUMIFS(EIAwtransport!$J$2:$J$675,EIAwtransport!$E$2:$E$675,Program_data!$E805,EIAwtransport!$I$2:$I$675,Program_data!S$2)</f>
        <v>185460106</v>
      </c>
      <c r="T805" s="5">
        <f>SUMIFS(EIAwtransport!$J$2:$J$675,EIAwtransport!$E$2:$E$675,Program_data!$E805,EIAwtransport!$I$2:$I$675,Program_data!T$2)</f>
        <v>1451821</v>
      </c>
      <c r="U805" s="24">
        <f t="shared" si="269"/>
        <v>4.0507103654150497E-4</v>
      </c>
      <c r="V805" s="24">
        <f t="shared" si="274"/>
        <v>6.0639376727770187E-4</v>
      </c>
      <c r="W805" s="24">
        <f t="shared" si="270"/>
        <v>8.2289654620954812E-4</v>
      </c>
      <c r="X805" s="25">
        <f t="shared" si="271"/>
        <v>5.2464685734657018E-4</v>
      </c>
      <c r="Y805" s="8">
        <f t="shared" si="266"/>
        <v>0.17224899268995356</v>
      </c>
      <c r="Z805" s="27">
        <f t="shared" si="267"/>
        <v>0.11627739853228534</v>
      </c>
      <c r="AC805" s="56">
        <f t="shared" si="261"/>
        <v>3.5206460520533958E-2</v>
      </c>
      <c r="AE805" s="20">
        <f t="shared" si="272"/>
        <v>1081148.8500000001</v>
      </c>
      <c r="AF805" s="20">
        <f t="shared" si="273"/>
        <v>1653734793.6000001</v>
      </c>
      <c r="AG805">
        <f t="shared" si="262"/>
        <v>82094029.200000003</v>
      </c>
      <c r="AH805">
        <f t="shared" si="263"/>
        <v>122895253.29341316</v>
      </c>
      <c r="AI805">
        <f t="shared" si="264"/>
        <v>19562331980.880001</v>
      </c>
    </row>
    <row r="806" spans="2:35" x14ac:dyDescent="0.25">
      <c r="B806" s="4">
        <v>2025</v>
      </c>
      <c r="C806" s="4" t="s">
        <v>534</v>
      </c>
      <c r="D806" s="1" t="s">
        <v>242</v>
      </c>
      <c r="E806" s="4" t="str">
        <f t="shared" si="265"/>
        <v>Xcel-CO</v>
      </c>
      <c r="F806" s="4" t="s">
        <v>135</v>
      </c>
      <c r="G806" s="4"/>
      <c r="H806" s="11" t="s">
        <v>542</v>
      </c>
      <c r="I806" s="4"/>
      <c r="J806" s="4" t="s">
        <v>32</v>
      </c>
      <c r="K806" s="5">
        <v>274730</v>
      </c>
      <c r="L806" s="5">
        <f t="shared" si="268"/>
        <v>411272.45508982032</v>
      </c>
      <c r="M806" s="8">
        <v>202507</v>
      </c>
      <c r="N806" s="8">
        <v>0</v>
      </c>
      <c r="O806" s="8">
        <f>SUMIFS(EIAwtransport!$J$2:$J$675,EIAwtransport!$E$2:$E$675,Program_data!$E806,EIAwtransport!$H$2:$H$675,Program_data!$F806,EIAwtransport!$I$2:$I$675,Program_data!O$2)</f>
        <v>838583100</v>
      </c>
      <c r="P806" s="5">
        <f>SUMIFS(EIAwtransport!$J$2:$J$675,EIAwtransport!$E$2:$E$675,Program_data!$E806,EIAwtransport!$H$2:$H$675,Program_data!$F806,EIAwtransport!$I$2:$I$675,Program_data!P$2)</f>
        <v>95416268</v>
      </c>
      <c r="Q806" s="5">
        <f>SUMIFS(EIAwtransport!$J$2:$J$675,EIAwtransport!$E$2:$E$675,Program_data!$E806,EIAwtransport!$H$2:$H$675,Program_data!$F806,EIAwtransport!$I$2:$I$675,Program_data!Q$2)</f>
        <v>1341725</v>
      </c>
      <c r="R806" s="8">
        <f>SUMIFS(EIAwtransport!$J$2:$J$675,EIAwtransport!$E$2:$E$675,Program_data!$E806,EIAwtransport!$I$2:$I$675,Program_data!R$2)</f>
        <v>1224988736</v>
      </c>
      <c r="S806" s="5">
        <f>SUMIFS(EIAwtransport!$J$2:$J$675,EIAwtransport!$E$2:$E$675,Program_data!$E806,EIAwtransport!$I$2:$I$675,Program_data!S$2)</f>
        <v>185460106</v>
      </c>
      <c r="T806" s="5">
        <f>SUMIFS(EIAwtransport!$J$2:$J$675,EIAwtransport!$E$2:$E$675,Program_data!$E806,EIAwtransport!$I$2:$I$675,Program_data!T$2)</f>
        <v>1451821</v>
      </c>
      <c r="U806" s="24">
        <f t="shared" si="269"/>
        <v>1.429867605507557E-4</v>
      </c>
      <c r="V806" s="24">
        <f t="shared" si="274"/>
        <v>2.1405203675262826E-4</v>
      </c>
      <c r="W806" s="24">
        <f t="shared" si="270"/>
        <v>1.6531335680787843E-4</v>
      </c>
      <c r="X806" s="25">
        <f t="shared" si="271"/>
        <v>1.0539737166982813E-4</v>
      </c>
      <c r="Y806" s="8">
        <f t="shared" si="266"/>
        <v>3.4603449631080169E-2</v>
      </c>
      <c r="Z806" s="27">
        <f t="shared" si="267"/>
        <v>2.3359202515554962E-2</v>
      </c>
      <c r="AC806" s="56">
        <f t="shared" si="261"/>
        <v>1.2427592412604934E-2</v>
      </c>
      <c r="AE806" s="20">
        <f t="shared" si="272"/>
        <v>0</v>
      </c>
      <c r="AF806" s="20">
        <f t="shared" si="273"/>
        <v>1653734793.6000001</v>
      </c>
      <c r="AG806">
        <f t="shared" si="262"/>
        <v>28978520.400000002</v>
      </c>
      <c r="AH806">
        <f t="shared" si="263"/>
        <v>43381018.56287425</v>
      </c>
      <c r="AI806">
        <f t="shared" si="264"/>
        <v>19562331980.880001</v>
      </c>
    </row>
    <row r="807" spans="2:35" x14ac:dyDescent="0.25">
      <c r="B807" s="4">
        <v>2025</v>
      </c>
      <c r="C807" s="4" t="s">
        <v>534</v>
      </c>
      <c r="D807" s="1" t="s">
        <v>242</v>
      </c>
      <c r="E807" s="4" t="str">
        <f t="shared" si="265"/>
        <v>Xcel-CO</v>
      </c>
      <c r="F807" s="4" t="s">
        <v>135</v>
      </c>
      <c r="G807" s="4"/>
      <c r="H807" s="4" t="s">
        <v>487</v>
      </c>
      <c r="I807" s="4"/>
      <c r="J807" s="4" t="s">
        <v>42</v>
      </c>
      <c r="K807" s="5">
        <v>699740</v>
      </c>
      <c r="L807" s="5">
        <f t="shared" si="268"/>
        <v>1047514.9700598802</v>
      </c>
      <c r="M807" s="8">
        <v>761283</v>
      </c>
      <c r="N807" s="8">
        <v>211980</v>
      </c>
      <c r="O807" s="8">
        <f>SUMIFS(EIAwtransport!$J$2:$J$675,EIAwtransport!$E$2:$E$675,Program_data!$E807,EIAwtransport!$H$2:$H$675,Program_data!$F807,EIAwtransport!$I$2:$I$675,Program_data!O$2)</f>
        <v>838583100</v>
      </c>
      <c r="P807" s="5">
        <f>SUMIFS(EIAwtransport!$J$2:$J$675,EIAwtransport!$E$2:$E$675,Program_data!$E807,EIAwtransport!$H$2:$H$675,Program_data!$F807,EIAwtransport!$I$2:$I$675,Program_data!P$2)</f>
        <v>95416268</v>
      </c>
      <c r="Q807" s="5">
        <f>SUMIFS(EIAwtransport!$J$2:$J$675,EIAwtransport!$E$2:$E$675,Program_data!$E807,EIAwtransport!$H$2:$H$675,Program_data!$F807,EIAwtransport!$I$2:$I$675,Program_data!Q$2)</f>
        <v>1341725</v>
      </c>
      <c r="R807" s="8">
        <f>SUMIFS(EIAwtransport!$J$2:$J$675,EIAwtransport!$E$2:$E$675,Program_data!$E807,EIAwtransport!$I$2:$I$675,Program_data!R$2)</f>
        <v>1224988736</v>
      </c>
      <c r="S807" s="5">
        <f>SUMIFS(EIAwtransport!$J$2:$J$675,EIAwtransport!$E$2:$E$675,Program_data!$E807,EIAwtransport!$I$2:$I$675,Program_data!S$2)</f>
        <v>185460106</v>
      </c>
      <c r="T807" s="5">
        <f>SUMIFS(EIAwtransport!$J$2:$J$675,EIAwtransport!$E$2:$E$675,Program_data!$E807,EIAwtransport!$I$2:$I$675,Program_data!T$2)</f>
        <v>1451821</v>
      </c>
      <c r="U807" s="24">
        <f t="shared" si="269"/>
        <v>3.6418867916785861E-4</v>
      </c>
      <c r="V807" s="24">
        <f t="shared" si="274"/>
        <v>5.4519263348481821E-4</v>
      </c>
      <c r="W807" s="24">
        <f t="shared" si="270"/>
        <v>6.2146122460345629E-4</v>
      </c>
      <c r="X807" s="25">
        <f t="shared" si="271"/>
        <v>3.9621952474196831E-4</v>
      </c>
      <c r="Y807" s="8">
        <f t="shared" si="266"/>
        <v>0.13008448076114706</v>
      </c>
      <c r="Z807" s="27">
        <f t="shared" si="267"/>
        <v>8.7814069482285692E-2</v>
      </c>
      <c r="AC807" s="56">
        <f t="shared" si="261"/>
        <v>3.1653199558825673E-2</v>
      </c>
      <c r="AE807" s="20">
        <f t="shared" si="272"/>
        <v>286173</v>
      </c>
      <c r="AF807" s="20">
        <f t="shared" si="273"/>
        <v>1653734793.6000001</v>
      </c>
      <c r="AG807">
        <f t="shared" si="262"/>
        <v>73808575.200000003</v>
      </c>
      <c r="AH807">
        <f t="shared" si="263"/>
        <v>110491879.04191616</v>
      </c>
      <c r="AI807">
        <f t="shared" si="264"/>
        <v>19562331980.880001</v>
      </c>
    </row>
    <row r="808" spans="2:35" x14ac:dyDescent="0.25">
      <c r="B808" s="4">
        <v>2025</v>
      </c>
      <c r="C808" s="4" t="s">
        <v>534</v>
      </c>
      <c r="D808" s="1" t="s">
        <v>242</v>
      </c>
      <c r="E808" s="4" t="str">
        <f t="shared" si="265"/>
        <v>Xcel-CO</v>
      </c>
      <c r="F808" s="4" t="s">
        <v>135</v>
      </c>
      <c r="G808" s="4"/>
      <c r="H808" s="4" t="s">
        <v>488</v>
      </c>
      <c r="I808" s="4"/>
      <c r="J808" s="4" t="s">
        <v>142</v>
      </c>
      <c r="K808" s="5">
        <v>4260</v>
      </c>
      <c r="L808" s="5">
        <f t="shared" si="268"/>
        <v>6377.245508982036</v>
      </c>
      <c r="M808" s="8">
        <v>27360</v>
      </c>
      <c r="N808" s="8">
        <v>5818</v>
      </c>
      <c r="O808" s="8">
        <f>SUMIFS(EIAwtransport!$J$2:$J$675,EIAwtransport!$E$2:$E$675,Program_data!$E808,EIAwtransport!$H$2:$H$675,Program_data!$F808,EIAwtransport!$I$2:$I$675,Program_data!O$2)</f>
        <v>838583100</v>
      </c>
      <c r="P808" s="5">
        <f>SUMIFS(EIAwtransport!$J$2:$J$675,EIAwtransport!$E$2:$E$675,Program_data!$E808,EIAwtransport!$H$2:$H$675,Program_data!$F808,EIAwtransport!$I$2:$I$675,Program_data!P$2)</f>
        <v>95416268</v>
      </c>
      <c r="Q808" s="5">
        <f>SUMIFS(EIAwtransport!$J$2:$J$675,EIAwtransport!$E$2:$E$675,Program_data!$E808,EIAwtransport!$H$2:$H$675,Program_data!$F808,EIAwtransport!$I$2:$I$675,Program_data!Q$2)</f>
        <v>1341725</v>
      </c>
      <c r="R808" s="8">
        <f>SUMIFS(EIAwtransport!$J$2:$J$675,EIAwtransport!$E$2:$E$675,Program_data!$E808,EIAwtransport!$I$2:$I$675,Program_data!R$2)</f>
        <v>1224988736</v>
      </c>
      <c r="S808" s="5">
        <f>SUMIFS(EIAwtransport!$J$2:$J$675,EIAwtransport!$E$2:$E$675,Program_data!$E808,EIAwtransport!$I$2:$I$675,Program_data!S$2)</f>
        <v>185460106</v>
      </c>
      <c r="T808" s="5">
        <f>SUMIFS(EIAwtransport!$J$2:$J$675,EIAwtransport!$E$2:$E$675,Program_data!$E808,EIAwtransport!$I$2:$I$675,Program_data!T$2)</f>
        <v>1451821</v>
      </c>
      <c r="U808" s="24">
        <f t="shared" si="269"/>
        <v>2.2171717684498209E-6</v>
      </c>
      <c r="V808" s="24">
        <f t="shared" si="274"/>
        <v>3.3191194138470373E-6</v>
      </c>
      <c r="W808" s="24">
        <f t="shared" si="270"/>
        <v>2.233489924922869E-5</v>
      </c>
      <c r="X808" s="25">
        <f t="shared" si="271"/>
        <v>1.4239863752297441E-5</v>
      </c>
      <c r="Y808" s="8">
        <f t="shared" si="266"/>
        <v>4.6751489178465605E-3</v>
      </c>
      <c r="Z808" s="27">
        <f t="shared" si="267"/>
        <v>3.1559787109857128E-3</v>
      </c>
      <c r="AC808" s="56">
        <f t="shared" si="261"/>
        <v>1.927039044796601E-4</v>
      </c>
      <c r="AE808" s="20">
        <f t="shared" si="272"/>
        <v>7854.3</v>
      </c>
      <c r="AF808" s="20">
        <f t="shared" si="273"/>
        <v>1653734793.6000001</v>
      </c>
      <c r="AG808">
        <f t="shared" si="262"/>
        <v>449344.8</v>
      </c>
      <c r="AH808">
        <f t="shared" si="263"/>
        <v>672671.85628742515</v>
      </c>
      <c r="AI808">
        <f t="shared" si="264"/>
        <v>19562331980.880001</v>
      </c>
    </row>
    <row r="809" spans="2:35" x14ac:dyDescent="0.25">
      <c r="B809" s="4">
        <v>2025</v>
      </c>
      <c r="C809" s="4" t="s">
        <v>534</v>
      </c>
      <c r="D809" s="1" t="s">
        <v>242</v>
      </c>
      <c r="E809" s="4" t="str">
        <f t="shared" si="265"/>
        <v>Xcel-CO</v>
      </c>
      <c r="F809" s="4" t="s">
        <v>135</v>
      </c>
      <c r="G809" s="4"/>
      <c r="H809" s="4" t="s">
        <v>543</v>
      </c>
      <c r="I809" s="4"/>
      <c r="J809" s="4" t="s">
        <v>155</v>
      </c>
      <c r="K809" s="5">
        <v>0</v>
      </c>
      <c r="L809" s="5">
        <f t="shared" si="268"/>
        <v>0</v>
      </c>
      <c r="M809" s="8">
        <v>153705</v>
      </c>
      <c r="N809" s="8">
        <v>0</v>
      </c>
      <c r="O809" s="8">
        <f>SUMIFS(EIAwtransport!$J$2:$J$675,EIAwtransport!$E$2:$E$675,Program_data!$E809,EIAwtransport!$H$2:$H$675,Program_data!$F809,EIAwtransport!$I$2:$I$675,Program_data!O$2)</f>
        <v>838583100</v>
      </c>
      <c r="P809" s="5">
        <f>SUMIFS(EIAwtransport!$J$2:$J$675,EIAwtransport!$E$2:$E$675,Program_data!$E809,EIAwtransport!$H$2:$H$675,Program_data!$F809,EIAwtransport!$I$2:$I$675,Program_data!P$2)</f>
        <v>95416268</v>
      </c>
      <c r="Q809" s="5">
        <f>SUMIFS(EIAwtransport!$J$2:$J$675,EIAwtransport!$E$2:$E$675,Program_data!$E809,EIAwtransport!$H$2:$H$675,Program_data!$F809,EIAwtransport!$I$2:$I$675,Program_data!Q$2)</f>
        <v>1341725</v>
      </c>
      <c r="R809" s="8">
        <f>SUMIFS(EIAwtransport!$J$2:$J$675,EIAwtransport!$E$2:$E$675,Program_data!$E809,EIAwtransport!$I$2:$I$675,Program_data!R$2)</f>
        <v>1224988736</v>
      </c>
      <c r="S809" s="5">
        <f>SUMIFS(EIAwtransport!$J$2:$J$675,EIAwtransport!$E$2:$E$675,Program_data!$E809,EIAwtransport!$I$2:$I$675,Program_data!S$2)</f>
        <v>185460106</v>
      </c>
      <c r="T809" s="5">
        <f>SUMIFS(EIAwtransport!$J$2:$J$675,EIAwtransport!$E$2:$E$675,Program_data!$E809,EIAwtransport!$I$2:$I$675,Program_data!T$2)</f>
        <v>1451821</v>
      </c>
      <c r="U809" s="24">
        <f t="shared" si="269"/>
        <v>0</v>
      </c>
      <c r="V809" s="24">
        <f t="shared" si="274"/>
        <v>0</v>
      </c>
      <c r="W809" s="24">
        <f t="shared" si="270"/>
        <v>1.2547462313971841E-4</v>
      </c>
      <c r="X809" s="25">
        <f t="shared" si="271"/>
        <v>7.9997743349666597E-5</v>
      </c>
      <c r="Y809" s="8">
        <f t="shared" si="266"/>
        <v>2.6264391974327689E-2</v>
      </c>
      <c r="Z809" s="27">
        <f t="shared" si="267"/>
        <v>1.7729886979972916E-2</v>
      </c>
      <c r="AC809" s="56">
        <f t="shared" si="261"/>
        <v>0</v>
      </c>
      <c r="AE809" s="20">
        <f t="shared" si="272"/>
        <v>0</v>
      </c>
      <c r="AF809" s="20">
        <f t="shared" si="273"/>
        <v>1653734793.6000001</v>
      </c>
      <c r="AG809">
        <f t="shared" si="262"/>
        <v>0</v>
      </c>
      <c r="AH809">
        <f t="shared" si="263"/>
        <v>0</v>
      </c>
      <c r="AI809">
        <f t="shared" si="264"/>
        <v>19562331980.880001</v>
      </c>
    </row>
    <row r="810" spans="2:35" x14ac:dyDescent="0.25">
      <c r="B810" s="4">
        <v>2025</v>
      </c>
      <c r="C810" s="4" t="s">
        <v>534</v>
      </c>
      <c r="D810" s="1" t="s">
        <v>242</v>
      </c>
      <c r="E810" s="4" t="str">
        <f t="shared" si="265"/>
        <v>Xcel-CO</v>
      </c>
      <c r="F810" s="4" t="s">
        <v>143</v>
      </c>
      <c r="G810" s="4">
        <v>1</v>
      </c>
      <c r="H810" s="43" t="s">
        <v>544</v>
      </c>
      <c r="I810" s="4"/>
      <c r="J810" s="4" t="s">
        <v>155</v>
      </c>
      <c r="K810" s="44">
        <v>0</v>
      </c>
      <c r="L810" s="5">
        <f t="shared" si="268"/>
        <v>0</v>
      </c>
      <c r="M810" s="8">
        <v>25975</v>
      </c>
      <c r="N810" s="8">
        <v>0</v>
      </c>
      <c r="O810" s="8">
        <f>SUMIFS(EIAwtransport!$J$2:$J$675,EIAwtransport!$E$2:$E$675,Program_data!$E810,EIAwtransport!$H$2:$H$675,Program_data!$F810,EIAwtransport!$I$2:$I$675,Program_data!O$2)</f>
        <v>0</v>
      </c>
      <c r="P810" s="5">
        <f>SUMIFS(EIAwtransport!$J$2:$J$675,EIAwtransport!$E$2:$E$675,Program_data!$E810,EIAwtransport!$H$2:$H$675,Program_data!$F810,EIAwtransport!$I$2:$I$675,Program_data!P$2)</f>
        <v>0</v>
      </c>
      <c r="Q810" s="5">
        <f>SUMIFS(EIAwtransport!$J$2:$J$675,EIAwtransport!$E$2:$E$675,Program_data!$E810,EIAwtransport!$H$2:$H$675,Program_data!$F810,EIAwtransport!$I$2:$I$675,Program_data!Q$2)</f>
        <v>0</v>
      </c>
      <c r="R810" s="8">
        <f>SUMIFS(EIAwtransport!$J$2:$J$675,EIAwtransport!$E$2:$E$675,Program_data!$E810,EIAwtransport!$I$2:$I$675,Program_data!R$2)</f>
        <v>1224988736</v>
      </c>
      <c r="S810" s="5">
        <f>SUMIFS(EIAwtransport!$J$2:$J$675,EIAwtransport!$E$2:$E$675,Program_data!$E810,EIAwtransport!$I$2:$I$675,Program_data!S$2)</f>
        <v>185460106</v>
      </c>
      <c r="T810" s="5">
        <f>SUMIFS(EIAwtransport!$J$2:$J$675,EIAwtransport!$E$2:$E$675,Program_data!$E810,EIAwtransport!$I$2:$I$675,Program_data!T$2)</f>
        <v>1451821</v>
      </c>
      <c r="U810" s="24">
        <f t="shared" si="269"/>
        <v>0</v>
      </c>
      <c r="V810" s="24">
        <f t="shared" si="274"/>
        <v>0</v>
      </c>
      <c r="W810" s="24">
        <f t="shared" si="270"/>
        <v>2.1204276608140173E-5</v>
      </c>
      <c r="X810" s="25">
        <f t="shared" si="271"/>
        <v>1.3519022696123027E-5</v>
      </c>
      <c r="Y810" s="8">
        <f t="shared" si="266"/>
        <v>1.9130069744662359E-2</v>
      </c>
      <c r="Z810" s="27">
        <f t="shared" si="267"/>
        <v>2.9962188237519696E-3</v>
      </c>
      <c r="AC810" s="56">
        <f t="shared" si="261"/>
        <v>0</v>
      </c>
      <c r="AE810" s="20">
        <f t="shared" si="272"/>
        <v>0</v>
      </c>
      <c r="AF810" s="20">
        <f t="shared" si="273"/>
        <v>1653734793.6000001</v>
      </c>
      <c r="AG810">
        <f t="shared" si="262"/>
        <v>0</v>
      </c>
      <c r="AH810">
        <f t="shared" si="263"/>
        <v>0</v>
      </c>
      <c r="AI810">
        <f t="shared" si="264"/>
        <v>19562331980.880001</v>
      </c>
    </row>
    <row r="811" spans="2:35" x14ac:dyDescent="0.25">
      <c r="B811" s="4">
        <v>2025</v>
      </c>
      <c r="C811" s="4" t="s">
        <v>534</v>
      </c>
      <c r="D811" s="1" t="s">
        <v>242</v>
      </c>
      <c r="E811" s="4" t="str">
        <f t="shared" si="265"/>
        <v>Xcel-CO</v>
      </c>
      <c r="F811" s="4" t="s">
        <v>143</v>
      </c>
      <c r="G811" s="4">
        <v>1</v>
      </c>
      <c r="H811" s="43" t="s">
        <v>545</v>
      </c>
      <c r="I811" s="4"/>
      <c r="J811" s="4" t="s">
        <v>108</v>
      </c>
      <c r="K811" s="5">
        <v>75590</v>
      </c>
      <c r="L811" s="5">
        <f t="shared" si="268"/>
        <v>113158.68263473053</v>
      </c>
      <c r="M811" s="8">
        <v>162555</v>
      </c>
      <c r="N811" s="8">
        <v>29998</v>
      </c>
      <c r="O811" s="8">
        <f>SUMIFS(EIAwtransport!$J$2:$J$675,EIAwtransport!$E$2:$E$675,Program_data!$E811,EIAwtransport!$H$2:$H$675,Program_data!$F811,EIAwtransport!$I$2:$I$675,Program_data!O$2)</f>
        <v>0</v>
      </c>
      <c r="P811" s="5">
        <f>SUMIFS(EIAwtransport!$J$2:$J$675,EIAwtransport!$E$2:$E$675,Program_data!$E811,EIAwtransport!$H$2:$H$675,Program_data!$F811,EIAwtransport!$I$2:$I$675,Program_data!P$2)</f>
        <v>0</v>
      </c>
      <c r="Q811" s="5">
        <f>SUMIFS(EIAwtransport!$J$2:$J$675,EIAwtransport!$E$2:$E$675,Program_data!$E811,EIAwtransport!$H$2:$H$675,Program_data!$F811,EIAwtransport!$I$2:$I$675,Program_data!Q$2)</f>
        <v>0</v>
      </c>
      <c r="R811" s="8">
        <f>SUMIFS(EIAwtransport!$J$2:$J$675,EIAwtransport!$E$2:$E$675,Program_data!$E811,EIAwtransport!$I$2:$I$675,Program_data!R$2)</f>
        <v>1224988736</v>
      </c>
      <c r="S811" s="5">
        <f>SUMIFS(EIAwtransport!$J$2:$J$675,EIAwtransport!$E$2:$E$675,Program_data!$E811,EIAwtransport!$I$2:$I$675,Program_data!S$2)</f>
        <v>185460106</v>
      </c>
      <c r="T811" s="5">
        <f>SUMIFS(EIAwtransport!$J$2:$J$675,EIAwtransport!$E$2:$E$675,Program_data!$E811,EIAwtransport!$I$2:$I$675,Program_data!T$2)</f>
        <v>1451821</v>
      </c>
      <c r="U811" s="24">
        <f t="shared" si="269"/>
        <v>3.9341787318573233E-5</v>
      </c>
      <c r="V811" s="24">
        <f t="shared" si="274"/>
        <v>5.8894891195468898E-5</v>
      </c>
      <c r="W811" s="24">
        <f t="shared" si="270"/>
        <v>1.3269917936616847E-4</v>
      </c>
      <c r="X811" s="25">
        <f t="shared" si="271"/>
        <v>8.4603839629192632E-5</v>
      </c>
      <c r="Y811" s="8">
        <f t="shared" si="266"/>
        <v>0.11971851731832878</v>
      </c>
      <c r="Z811" s="27">
        <f t="shared" si="267"/>
        <v>1.8750735356881671E-2</v>
      </c>
      <c r="AC811" s="56">
        <f t="shared" si="261"/>
        <v>3.4193634130557527E-3</v>
      </c>
      <c r="AE811" s="20">
        <f t="shared" si="272"/>
        <v>40497.300000000003</v>
      </c>
      <c r="AF811" s="20">
        <f t="shared" si="273"/>
        <v>1653734793.6000001</v>
      </c>
      <c r="AG811">
        <f t="shared" si="262"/>
        <v>7973233.2000000002</v>
      </c>
      <c r="AH811">
        <f t="shared" si="263"/>
        <v>11935977.844311377</v>
      </c>
      <c r="AI811">
        <f t="shared" si="264"/>
        <v>19562331980.880001</v>
      </c>
    </row>
    <row r="812" spans="2:35" x14ac:dyDescent="0.25">
      <c r="B812" s="4">
        <v>2025</v>
      </c>
      <c r="C812" s="4" t="s">
        <v>534</v>
      </c>
      <c r="D812" s="1" t="s">
        <v>242</v>
      </c>
      <c r="E812" s="4" t="str">
        <f t="shared" si="265"/>
        <v>Xcel-CO</v>
      </c>
      <c r="F812" s="4" t="s">
        <v>143</v>
      </c>
      <c r="G812" s="4">
        <v>1</v>
      </c>
      <c r="H812" s="43" t="s">
        <v>546</v>
      </c>
      <c r="I812" s="4"/>
      <c r="J812" s="4" t="s">
        <v>108</v>
      </c>
      <c r="K812" s="5">
        <v>123930</v>
      </c>
      <c r="L812" s="5">
        <f t="shared" si="268"/>
        <v>185523.95209580837</v>
      </c>
      <c r="M812" s="8">
        <v>1016027</v>
      </c>
      <c r="N812" s="8">
        <v>217633</v>
      </c>
      <c r="O812" s="8">
        <f>SUMIFS(EIAwtransport!$J$2:$J$675,EIAwtransport!$E$2:$E$675,Program_data!$E812,EIAwtransport!$H$2:$H$675,Program_data!$F812,EIAwtransport!$I$2:$I$675,Program_data!O$2)</f>
        <v>0</v>
      </c>
      <c r="P812" s="5">
        <f>SUMIFS(EIAwtransport!$J$2:$J$675,EIAwtransport!$E$2:$E$675,Program_data!$E812,EIAwtransport!$H$2:$H$675,Program_data!$F812,EIAwtransport!$I$2:$I$675,Program_data!P$2)</f>
        <v>0</v>
      </c>
      <c r="Q812" s="5">
        <f>SUMIFS(EIAwtransport!$J$2:$J$675,EIAwtransport!$E$2:$E$675,Program_data!$E812,EIAwtransport!$H$2:$H$675,Program_data!$F812,EIAwtransport!$I$2:$I$675,Program_data!Q$2)</f>
        <v>0</v>
      </c>
      <c r="R812" s="8">
        <f>SUMIFS(EIAwtransport!$J$2:$J$675,EIAwtransport!$E$2:$E$675,Program_data!$E812,EIAwtransport!$I$2:$I$675,Program_data!R$2)</f>
        <v>1224988736</v>
      </c>
      <c r="S812" s="5">
        <f>SUMIFS(EIAwtransport!$J$2:$J$675,EIAwtransport!$E$2:$E$675,Program_data!$E812,EIAwtransport!$I$2:$I$675,Program_data!S$2)</f>
        <v>185460106</v>
      </c>
      <c r="T812" s="5">
        <f>SUMIFS(EIAwtransport!$J$2:$J$675,EIAwtransport!$E$2:$E$675,Program_data!$E812,EIAwtransport!$I$2:$I$675,Program_data!T$2)</f>
        <v>1451821</v>
      </c>
      <c r="U812" s="24">
        <f t="shared" si="269"/>
        <v>6.4500961799057819E-5</v>
      </c>
      <c r="V812" s="24">
        <f t="shared" si="274"/>
        <v>9.6558326046493724E-5</v>
      </c>
      <c r="W812" s="24">
        <f t="shared" si="270"/>
        <v>8.2941742249620159E-4</v>
      </c>
      <c r="X812" s="25">
        <f t="shared" si="271"/>
        <v>5.2880431464384181E-4</v>
      </c>
      <c r="Y812" s="8">
        <f t="shared" si="266"/>
        <v>0.74828363320346736</v>
      </c>
      <c r="Z812" s="27">
        <f t="shared" si="267"/>
        <v>0.11719881512378219</v>
      </c>
      <c r="AC812" s="56">
        <f t="shared" si="261"/>
        <v>5.6060551366582806E-3</v>
      </c>
      <c r="AE812" s="20">
        <f t="shared" si="272"/>
        <v>293804.55000000005</v>
      </c>
      <c r="AF812" s="20">
        <f t="shared" si="273"/>
        <v>1653734793.6000001</v>
      </c>
      <c r="AG812">
        <f t="shared" si="262"/>
        <v>13072136.4</v>
      </c>
      <c r="AH812">
        <f t="shared" si="263"/>
        <v>19569066.467065867</v>
      </c>
      <c r="AI812">
        <f t="shared" si="264"/>
        <v>19562331980.880001</v>
      </c>
    </row>
    <row r="813" spans="2:35" x14ac:dyDescent="0.25">
      <c r="B813" s="4">
        <v>2025</v>
      </c>
      <c r="C813" s="4" t="s">
        <v>534</v>
      </c>
      <c r="D813" s="1" t="s">
        <v>242</v>
      </c>
      <c r="E813" s="4" t="str">
        <f t="shared" si="265"/>
        <v>Xcel-CO</v>
      </c>
      <c r="F813" s="4" t="s">
        <v>143</v>
      </c>
      <c r="G813" s="4">
        <v>1</v>
      </c>
      <c r="H813" s="43" t="s">
        <v>547</v>
      </c>
      <c r="I813" s="4"/>
      <c r="J813" s="4" t="s">
        <v>108</v>
      </c>
      <c r="K813" s="5">
        <v>129030</v>
      </c>
      <c r="L813" s="5">
        <f t="shared" si="268"/>
        <v>193158.68263473053</v>
      </c>
      <c r="M813" s="8">
        <v>330056</v>
      </c>
      <c r="N813" s="8">
        <v>290641</v>
      </c>
      <c r="O813" s="8">
        <f>SUMIFS(EIAwtransport!$J$2:$J$675,EIAwtransport!$E$2:$E$675,Program_data!$E813,EIAwtransport!$H$2:$H$675,Program_data!$F813,EIAwtransport!$I$2:$I$675,Program_data!O$2)</f>
        <v>0</v>
      </c>
      <c r="P813" s="5">
        <f>SUMIFS(EIAwtransport!$J$2:$J$675,EIAwtransport!$E$2:$E$675,Program_data!$E813,EIAwtransport!$H$2:$H$675,Program_data!$F813,EIAwtransport!$I$2:$I$675,Program_data!P$2)</f>
        <v>0</v>
      </c>
      <c r="Q813" s="5">
        <f>SUMIFS(EIAwtransport!$J$2:$J$675,EIAwtransport!$E$2:$E$675,Program_data!$E813,EIAwtransport!$H$2:$H$675,Program_data!$F813,EIAwtransport!$I$2:$I$675,Program_data!Q$2)</f>
        <v>0</v>
      </c>
      <c r="R813" s="8">
        <f>SUMIFS(EIAwtransport!$J$2:$J$675,EIAwtransport!$E$2:$E$675,Program_data!$E813,EIAwtransport!$I$2:$I$675,Program_data!R$2)</f>
        <v>1224988736</v>
      </c>
      <c r="S813" s="5">
        <f>SUMIFS(EIAwtransport!$J$2:$J$675,EIAwtransport!$E$2:$E$675,Program_data!$E813,EIAwtransport!$I$2:$I$675,Program_data!S$2)</f>
        <v>185460106</v>
      </c>
      <c r="T813" s="5">
        <f>SUMIFS(EIAwtransport!$J$2:$J$675,EIAwtransport!$E$2:$E$675,Program_data!$E813,EIAwtransport!$I$2:$I$675,Program_data!T$2)</f>
        <v>1451821</v>
      </c>
      <c r="U813" s="24">
        <f t="shared" si="269"/>
        <v>6.7155322366920271E-5</v>
      </c>
      <c r="V813" s="24">
        <f t="shared" si="274"/>
        <v>1.005319197109585E-4</v>
      </c>
      <c r="W813" s="24">
        <f t="shared" si="270"/>
        <v>2.6943594687878013E-4</v>
      </c>
      <c r="X813" s="25">
        <f t="shared" si="271"/>
        <v>1.7178188854635542E-4</v>
      </c>
      <c r="Y813" s="8">
        <f t="shared" si="266"/>
        <v>0.24307966504886544</v>
      </c>
      <c r="Z813" s="27">
        <f t="shared" si="267"/>
        <v>3.8071992303841388E-2</v>
      </c>
      <c r="AC813" s="56">
        <f t="shared" si="261"/>
        <v>5.8367569941339299E-3</v>
      </c>
      <c r="AE813" s="20">
        <f t="shared" si="272"/>
        <v>392365.35000000003</v>
      </c>
      <c r="AF813" s="20">
        <f t="shared" si="273"/>
        <v>1653734793.6000001</v>
      </c>
      <c r="AG813">
        <f t="shared" si="262"/>
        <v>13610084.4</v>
      </c>
      <c r="AH813">
        <f t="shared" si="263"/>
        <v>20374377.844311379</v>
      </c>
      <c r="AI813">
        <f t="shared" si="264"/>
        <v>19562331980.880001</v>
      </c>
    </row>
    <row r="814" spans="2:35" x14ac:dyDescent="0.25">
      <c r="B814" s="4">
        <v>2025</v>
      </c>
      <c r="C814" s="4" t="s">
        <v>534</v>
      </c>
      <c r="D814" s="1" t="s">
        <v>242</v>
      </c>
      <c r="E814" s="4" t="str">
        <f t="shared" si="265"/>
        <v>Xcel-CO</v>
      </c>
      <c r="F814" s="4" t="s">
        <v>143</v>
      </c>
      <c r="G814" s="4">
        <v>1</v>
      </c>
      <c r="H814" s="11" t="s">
        <v>548</v>
      </c>
      <c r="I814" s="4"/>
      <c r="J814" s="4" t="s">
        <v>108</v>
      </c>
      <c r="K814" s="5">
        <v>130040</v>
      </c>
      <c r="L814" s="5">
        <f t="shared" si="268"/>
        <v>194670.65868263473</v>
      </c>
      <c r="M814" s="8">
        <v>336332</v>
      </c>
      <c r="N814" s="8">
        <v>271968</v>
      </c>
      <c r="O814" s="8">
        <f>SUMIFS(EIAwtransport!$J$2:$J$675,EIAwtransport!$E$2:$E$675,Program_data!$E814,EIAwtransport!$H$2:$H$675,Program_data!$F814,EIAwtransport!$I$2:$I$675,Program_data!O$2)</f>
        <v>0</v>
      </c>
      <c r="P814" s="5">
        <f>SUMIFS(EIAwtransport!$J$2:$J$675,EIAwtransport!$E$2:$E$675,Program_data!$E814,EIAwtransport!$H$2:$H$675,Program_data!$F814,EIAwtransport!$I$2:$I$675,Program_data!P$2)</f>
        <v>0</v>
      </c>
      <c r="Q814" s="5">
        <f>SUMIFS(EIAwtransport!$J$2:$J$675,EIAwtransport!$E$2:$E$675,Program_data!$E814,EIAwtransport!$H$2:$H$675,Program_data!$F814,EIAwtransport!$I$2:$I$675,Program_data!Q$2)</f>
        <v>0</v>
      </c>
      <c r="R814" s="8">
        <f>SUMIFS(EIAwtransport!$J$2:$J$675,EIAwtransport!$E$2:$E$675,Program_data!$E814,EIAwtransport!$I$2:$I$675,Program_data!R$2)</f>
        <v>1224988736</v>
      </c>
      <c r="S814" s="5">
        <f>SUMIFS(EIAwtransport!$J$2:$J$675,EIAwtransport!$E$2:$E$675,Program_data!$E814,EIAwtransport!$I$2:$I$675,Program_data!S$2)</f>
        <v>185460106</v>
      </c>
      <c r="T814" s="5">
        <f>SUMIFS(EIAwtransport!$J$2:$J$675,EIAwtransport!$E$2:$E$675,Program_data!$E814,EIAwtransport!$I$2:$I$675,Program_data!T$2)</f>
        <v>1451821</v>
      </c>
      <c r="U814" s="24">
        <f t="shared" si="269"/>
        <v>6.7680989851928331E-5</v>
      </c>
      <c r="V814" s="24">
        <f t="shared" si="274"/>
        <v>1.0131884708372504E-4</v>
      </c>
      <c r="W814" s="24">
        <f t="shared" si="270"/>
        <v>2.74559259294283E-4</v>
      </c>
      <c r="X814" s="25">
        <f t="shared" si="271"/>
        <v>1.7504831343339558E-4</v>
      </c>
      <c r="Y814" s="8">
        <f t="shared" si="266"/>
        <v>0.24770181395040544</v>
      </c>
      <c r="Z814" s="27">
        <f t="shared" si="267"/>
        <v>3.879592952570346E-2</v>
      </c>
      <c r="AC814" s="56">
        <f t="shared" si="261"/>
        <v>5.8824450090457746E-3</v>
      </c>
      <c r="AE814" s="20">
        <f t="shared" si="272"/>
        <v>367156.80000000005</v>
      </c>
      <c r="AF814" s="20">
        <f t="shared" si="273"/>
        <v>1653734793.6000001</v>
      </c>
      <c r="AG814">
        <f t="shared" si="262"/>
        <v>13716619.200000001</v>
      </c>
      <c r="AH814">
        <f t="shared" si="263"/>
        <v>20533861.077844314</v>
      </c>
      <c r="AI814">
        <f t="shared" si="264"/>
        <v>19562331980.880001</v>
      </c>
    </row>
    <row r="815" spans="2:35" x14ac:dyDescent="0.25">
      <c r="B815" s="4">
        <v>2025</v>
      </c>
      <c r="C815" s="4" t="s">
        <v>534</v>
      </c>
      <c r="D815" s="1" t="s">
        <v>242</v>
      </c>
      <c r="E815" s="4" t="str">
        <f t="shared" si="265"/>
        <v>Xcel-CO</v>
      </c>
      <c r="F815" s="4" t="s">
        <v>143</v>
      </c>
      <c r="G815" s="4">
        <v>1</v>
      </c>
      <c r="H815" s="11" t="s">
        <v>549</v>
      </c>
      <c r="I815" s="4"/>
      <c r="J815" s="4" t="s">
        <v>108</v>
      </c>
      <c r="K815" s="5">
        <v>600600</v>
      </c>
      <c r="L815" s="5">
        <f t="shared" si="268"/>
        <v>899101.79640718561</v>
      </c>
      <c r="M815" s="8">
        <v>5003576</v>
      </c>
      <c r="N815" s="8">
        <v>4683061</v>
      </c>
      <c r="O815" s="8">
        <f>SUMIFS(EIAwtransport!$J$2:$J$675,EIAwtransport!$E$2:$E$675,Program_data!$E815,EIAwtransport!$H$2:$H$675,Program_data!$F815,EIAwtransport!$I$2:$I$675,Program_data!O$2)</f>
        <v>0</v>
      </c>
      <c r="P815" s="5">
        <f>SUMIFS(EIAwtransport!$J$2:$J$675,EIAwtransport!$E$2:$E$675,Program_data!$E815,EIAwtransport!$H$2:$H$675,Program_data!$F815,EIAwtransport!$I$2:$I$675,Program_data!P$2)</f>
        <v>0</v>
      </c>
      <c r="Q815" s="5">
        <f>SUMIFS(EIAwtransport!$J$2:$J$675,EIAwtransport!$E$2:$E$675,Program_data!$E815,EIAwtransport!$H$2:$H$675,Program_data!$F815,EIAwtransport!$I$2:$I$675,Program_data!Q$2)</f>
        <v>0</v>
      </c>
      <c r="R815" s="8">
        <f>SUMIFS(EIAwtransport!$J$2:$J$675,EIAwtransport!$E$2:$E$675,Program_data!$E815,EIAwtransport!$I$2:$I$675,Program_data!R$2)</f>
        <v>1224988736</v>
      </c>
      <c r="S815" s="5">
        <f>SUMIFS(EIAwtransport!$J$2:$J$675,EIAwtransport!$E$2:$E$675,Program_data!$E815,EIAwtransport!$I$2:$I$675,Program_data!S$2)</f>
        <v>185460106</v>
      </c>
      <c r="T815" s="5">
        <f>SUMIFS(EIAwtransport!$J$2:$J$675,EIAwtransport!$E$2:$E$675,Program_data!$E815,EIAwtransport!$I$2:$I$675,Program_data!T$2)</f>
        <v>1451821</v>
      </c>
      <c r="U815" s="24">
        <f t="shared" si="269"/>
        <v>3.1258999158003808E-4</v>
      </c>
      <c r="V815" s="24">
        <f t="shared" si="274"/>
        <v>4.6794908919167385E-4</v>
      </c>
      <c r="W815" s="24">
        <f t="shared" si="270"/>
        <v>4.0845893949509752E-3</v>
      </c>
      <c r="X815" s="25">
        <f t="shared" si="271"/>
        <v>2.604175457392742E-3</v>
      </c>
      <c r="Y815" s="8">
        <f t="shared" si="266"/>
        <v>3.6850339885550998</v>
      </c>
      <c r="Z815" s="27">
        <f t="shared" si="267"/>
        <v>0.5771629873830062</v>
      </c>
      <c r="AC815" s="56">
        <f t="shared" si="261"/>
        <v>2.7168536392132361E-2</v>
      </c>
      <c r="AE815" s="20">
        <f t="shared" si="272"/>
        <v>6322132.3500000006</v>
      </c>
      <c r="AF815" s="20">
        <f t="shared" si="273"/>
        <v>1653734793.6000001</v>
      </c>
      <c r="AG815">
        <f t="shared" si="262"/>
        <v>63351288</v>
      </c>
      <c r="AH815">
        <f t="shared" si="263"/>
        <v>94837257.485029936</v>
      </c>
      <c r="AI815">
        <f t="shared" si="264"/>
        <v>19562331980.880001</v>
      </c>
    </row>
    <row r="816" spans="2:35" x14ac:dyDescent="0.25">
      <c r="B816" s="4">
        <v>2025</v>
      </c>
      <c r="C816" s="4" t="s">
        <v>534</v>
      </c>
      <c r="D816" s="1" t="s">
        <v>242</v>
      </c>
      <c r="E816" s="4" t="str">
        <f t="shared" si="265"/>
        <v>Xcel-CO</v>
      </c>
      <c r="F816" s="4" t="s">
        <v>143</v>
      </c>
      <c r="G816" s="4">
        <v>1</v>
      </c>
      <c r="H816" s="11" t="s">
        <v>550</v>
      </c>
      <c r="I816" s="4"/>
      <c r="J816" s="4" t="s">
        <v>108</v>
      </c>
      <c r="K816" s="5">
        <v>298620</v>
      </c>
      <c r="L816" s="5">
        <f t="shared" si="268"/>
        <v>447035.92814371258</v>
      </c>
      <c r="M816" s="8">
        <v>1976256</v>
      </c>
      <c r="N816" s="8">
        <v>1270885</v>
      </c>
      <c r="O816" s="8">
        <f>SUMIFS(EIAwtransport!$J$2:$J$675,EIAwtransport!$E$2:$E$675,Program_data!$E816,EIAwtransport!$H$2:$H$675,Program_data!$F816,EIAwtransport!$I$2:$I$675,Program_data!O$2)</f>
        <v>0</v>
      </c>
      <c r="P816" s="5">
        <f>SUMIFS(EIAwtransport!$J$2:$J$675,EIAwtransport!$E$2:$E$675,Program_data!$E816,EIAwtransport!$H$2:$H$675,Program_data!$F816,EIAwtransport!$I$2:$I$675,Program_data!P$2)</f>
        <v>0</v>
      </c>
      <c r="Q816" s="5">
        <f>SUMIFS(EIAwtransport!$J$2:$J$675,EIAwtransport!$E$2:$E$675,Program_data!$E816,EIAwtransport!$H$2:$H$675,Program_data!$F816,EIAwtransport!$I$2:$I$675,Program_data!Q$2)</f>
        <v>0</v>
      </c>
      <c r="R816" s="8">
        <f>SUMIFS(EIAwtransport!$J$2:$J$675,EIAwtransport!$E$2:$E$675,Program_data!$E816,EIAwtransport!$I$2:$I$675,Program_data!R$2)</f>
        <v>1224988736</v>
      </c>
      <c r="S816" s="5">
        <f>SUMIFS(EIAwtransport!$J$2:$J$675,EIAwtransport!$E$2:$E$675,Program_data!$E816,EIAwtransport!$I$2:$I$675,Program_data!S$2)</f>
        <v>185460106</v>
      </c>
      <c r="T816" s="5">
        <f>SUMIFS(EIAwtransport!$J$2:$J$675,EIAwtransport!$E$2:$E$675,Program_data!$E816,EIAwtransport!$I$2:$I$675,Program_data!T$2)</f>
        <v>1451821</v>
      </c>
      <c r="U816" s="24">
        <f t="shared" si="269"/>
        <v>1.5542061819119379E-4</v>
      </c>
      <c r="V816" s="24">
        <f t="shared" si="274"/>
        <v>2.3266559609460145E-4</v>
      </c>
      <c r="W816" s="24">
        <f t="shared" si="270"/>
        <v>1.6132850384021817E-3</v>
      </c>
      <c r="X816" s="25">
        <f t="shared" si="271"/>
        <v>1.0285678428238426E-3</v>
      </c>
      <c r="Y816" s="8">
        <f t="shared" si="266"/>
        <v>1.4554731516191515</v>
      </c>
      <c r="Z816" s="27">
        <f t="shared" si="267"/>
        <v>0.22796132541877853</v>
      </c>
      <c r="AC816" s="56">
        <f t="shared" si="261"/>
        <v>1.3508272290074202E-2</v>
      </c>
      <c r="AE816" s="20">
        <f t="shared" si="272"/>
        <v>1715694.75</v>
      </c>
      <c r="AF816" s="20">
        <f t="shared" si="273"/>
        <v>1653734793.6000001</v>
      </c>
      <c r="AG816">
        <f t="shared" si="262"/>
        <v>31498437.600000001</v>
      </c>
      <c r="AH816">
        <f t="shared" si="263"/>
        <v>47153349.700598806</v>
      </c>
      <c r="AI816">
        <f t="shared" si="264"/>
        <v>19562331980.880001</v>
      </c>
    </row>
    <row r="817" spans="2:35" x14ac:dyDescent="0.25">
      <c r="B817" s="4">
        <v>2025</v>
      </c>
      <c r="C817" s="4" t="s">
        <v>534</v>
      </c>
      <c r="D817" s="1" t="s">
        <v>242</v>
      </c>
      <c r="E817" s="4" t="str">
        <f t="shared" si="265"/>
        <v>Xcel-CO</v>
      </c>
      <c r="F817" s="4" t="s">
        <v>155</v>
      </c>
      <c r="G817" s="4"/>
      <c r="H817" s="11" t="s">
        <v>490</v>
      </c>
      <c r="I817" s="4"/>
      <c r="J817" s="4" t="s">
        <v>155</v>
      </c>
      <c r="K817" s="5">
        <v>0</v>
      </c>
      <c r="L817" s="5">
        <f t="shared" si="268"/>
        <v>0</v>
      </c>
      <c r="M817" s="8">
        <v>26835</v>
      </c>
      <c r="N817" s="8">
        <v>0</v>
      </c>
      <c r="O817" s="8">
        <f>SUMIFS(EIAwtransport!$J$2:$J$675,EIAwtransport!$E$2:$E$675,Program_data!$E817,EIAwtransport!$H$2:$H$675,Program_data!$F817,EIAwtransport!$I$2:$I$675,Program_data!O$2)</f>
        <v>0</v>
      </c>
      <c r="P817" s="5">
        <f>SUMIFS(EIAwtransport!$J$2:$J$675,EIAwtransport!$E$2:$E$675,Program_data!$E817,EIAwtransport!$H$2:$H$675,Program_data!$F817,EIAwtransport!$I$2:$I$675,Program_data!P$2)</f>
        <v>0</v>
      </c>
      <c r="Q817" s="5">
        <f>SUMIFS(EIAwtransport!$J$2:$J$675,EIAwtransport!$E$2:$E$675,Program_data!$E817,EIAwtransport!$H$2:$H$675,Program_data!$F817,EIAwtransport!$I$2:$I$675,Program_data!Q$2)</f>
        <v>0</v>
      </c>
      <c r="R817" s="8">
        <f>SUMIFS(EIAwtransport!$J$2:$J$675,EIAwtransport!$E$2:$E$675,Program_data!$E817,EIAwtransport!$I$2:$I$675,Program_data!R$2)</f>
        <v>1224988736</v>
      </c>
      <c r="S817" s="5">
        <f>SUMIFS(EIAwtransport!$J$2:$J$675,EIAwtransport!$E$2:$E$675,Program_data!$E817,EIAwtransport!$I$2:$I$675,Program_data!S$2)</f>
        <v>185460106</v>
      </c>
      <c r="T817" s="5">
        <f>SUMIFS(EIAwtransport!$J$2:$J$675,EIAwtransport!$E$2:$E$675,Program_data!$E817,EIAwtransport!$I$2:$I$675,Program_data!T$2)</f>
        <v>1451821</v>
      </c>
      <c r="U817" s="24">
        <f t="shared" si="269"/>
        <v>0</v>
      </c>
      <c r="V817" s="24">
        <f t="shared" si="274"/>
        <v>0</v>
      </c>
      <c r="W817" s="24">
        <f t="shared" si="270"/>
        <v>2.1906323879863006E-5</v>
      </c>
      <c r="X817" s="25">
        <f t="shared" si="271"/>
        <v>1.396662075266454E-5</v>
      </c>
      <c r="Y817" s="8" t="str">
        <f t="shared" si="266"/>
        <v/>
      </c>
      <c r="Z817" s="27">
        <f t="shared" si="267"/>
        <v>3.0954199089657016E-3</v>
      </c>
      <c r="AC817" s="56">
        <f t="shared" si="261"/>
        <v>0</v>
      </c>
      <c r="AE817" s="20">
        <f t="shared" si="272"/>
        <v>0</v>
      </c>
      <c r="AF817" s="20">
        <f t="shared" si="273"/>
        <v>1653734793.6000001</v>
      </c>
      <c r="AG817">
        <f t="shared" si="262"/>
        <v>0</v>
      </c>
      <c r="AH817">
        <f t="shared" si="263"/>
        <v>0</v>
      </c>
      <c r="AI817">
        <f t="shared" si="264"/>
        <v>19562331980.880001</v>
      </c>
    </row>
    <row r="818" spans="2:35" x14ac:dyDescent="0.25">
      <c r="B818" s="4">
        <v>2025</v>
      </c>
      <c r="C818" s="4" t="s">
        <v>534</v>
      </c>
      <c r="D818" s="1" t="s">
        <v>242</v>
      </c>
      <c r="E818" s="4" t="str">
        <f t="shared" si="265"/>
        <v>Xcel-CO</v>
      </c>
      <c r="F818" s="4" t="s">
        <v>155</v>
      </c>
      <c r="G818" s="4"/>
      <c r="H818" s="11" t="s">
        <v>551</v>
      </c>
      <c r="I818" s="4"/>
      <c r="J818" s="4" t="s">
        <v>155</v>
      </c>
      <c r="K818" s="5">
        <v>0</v>
      </c>
      <c r="L818" s="5">
        <f t="shared" si="268"/>
        <v>0</v>
      </c>
      <c r="M818" s="8">
        <v>35026</v>
      </c>
      <c r="N818" s="8">
        <v>0</v>
      </c>
      <c r="O818" s="8">
        <f>SUMIFS(EIAwtransport!$J$2:$J$675,EIAwtransport!$E$2:$E$675,Program_data!$E818,EIAwtransport!$H$2:$H$675,Program_data!$F818,EIAwtransport!$I$2:$I$675,Program_data!O$2)</f>
        <v>0</v>
      </c>
      <c r="P818" s="5">
        <f>SUMIFS(EIAwtransport!$J$2:$J$675,EIAwtransport!$E$2:$E$675,Program_data!$E818,EIAwtransport!$H$2:$H$675,Program_data!$F818,EIAwtransport!$I$2:$I$675,Program_data!P$2)</f>
        <v>0</v>
      </c>
      <c r="Q818" s="5">
        <f>SUMIFS(EIAwtransport!$J$2:$J$675,EIAwtransport!$E$2:$E$675,Program_data!$E818,EIAwtransport!$H$2:$H$675,Program_data!$F818,EIAwtransport!$I$2:$I$675,Program_data!Q$2)</f>
        <v>0</v>
      </c>
      <c r="R818" s="8">
        <f>SUMIFS(EIAwtransport!$J$2:$J$675,EIAwtransport!$E$2:$E$675,Program_data!$E818,EIAwtransport!$I$2:$I$675,Program_data!R$2)</f>
        <v>1224988736</v>
      </c>
      <c r="S818" s="5">
        <f>SUMIFS(EIAwtransport!$J$2:$J$675,EIAwtransport!$E$2:$E$675,Program_data!$E818,EIAwtransport!$I$2:$I$675,Program_data!S$2)</f>
        <v>185460106</v>
      </c>
      <c r="T818" s="5">
        <f>SUMIFS(EIAwtransport!$J$2:$J$675,EIAwtransport!$E$2:$E$675,Program_data!$E818,EIAwtransport!$I$2:$I$675,Program_data!T$2)</f>
        <v>1451821</v>
      </c>
      <c r="U818" s="24">
        <f t="shared" si="269"/>
        <v>0</v>
      </c>
      <c r="V818" s="24">
        <f t="shared" si="274"/>
        <v>0</v>
      </c>
      <c r="W818" s="24">
        <f t="shared" si="270"/>
        <v>2.8592915976004535E-5</v>
      </c>
      <c r="X818" s="25">
        <f t="shared" si="271"/>
        <v>1.8229732009794232E-5</v>
      </c>
      <c r="Y818" s="8" t="str">
        <f t="shared" si="266"/>
        <v/>
      </c>
      <c r="Z818" s="27">
        <f t="shared" si="267"/>
        <v>4.0402525705769583E-3</v>
      </c>
      <c r="AC818" s="56">
        <f t="shared" si="261"/>
        <v>0</v>
      </c>
      <c r="AE818" s="20">
        <f t="shared" si="272"/>
        <v>0</v>
      </c>
      <c r="AF818" s="20">
        <f t="shared" si="273"/>
        <v>1653734793.6000001</v>
      </c>
      <c r="AG818">
        <f t="shared" si="262"/>
        <v>0</v>
      </c>
      <c r="AH818">
        <f t="shared" si="263"/>
        <v>0</v>
      </c>
      <c r="AI818">
        <f t="shared" si="264"/>
        <v>19562331980.880001</v>
      </c>
    </row>
    <row r="819" spans="2:35" x14ac:dyDescent="0.25">
      <c r="B819" s="4">
        <v>2025</v>
      </c>
      <c r="C819" s="4" t="s">
        <v>534</v>
      </c>
      <c r="D819" s="1" t="s">
        <v>242</v>
      </c>
      <c r="E819" s="4" t="str">
        <f t="shared" si="265"/>
        <v>Xcel-CO</v>
      </c>
      <c r="F819" s="4" t="s">
        <v>155</v>
      </c>
      <c r="G819" s="4"/>
      <c r="H819" s="11" t="s">
        <v>512</v>
      </c>
      <c r="I819" s="4"/>
      <c r="J819" s="4" t="s">
        <v>155</v>
      </c>
      <c r="K819" s="5">
        <v>0</v>
      </c>
      <c r="L819" s="5">
        <f t="shared" si="268"/>
        <v>0</v>
      </c>
      <c r="M819" s="8">
        <v>39369</v>
      </c>
      <c r="N819" s="8">
        <v>0</v>
      </c>
      <c r="O819" s="8">
        <f>SUMIFS(EIAwtransport!$J$2:$J$675,EIAwtransport!$E$2:$E$675,Program_data!$E819,EIAwtransport!$H$2:$H$675,Program_data!$F819,EIAwtransport!$I$2:$I$675,Program_data!O$2)</f>
        <v>0</v>
      </c>
      <c r="P819" s="5">
        <f>SUMIFS(EIAwtransport!$J$2:$J$675,EIAwtransport!$E$2:$E$675,Program_data!$E819,EIAwtransport!$H$2:$H$675,Program_data!$F819,EIAwtransport!$I$2:$I$675,Program_data!P$2)</f>
        <v>0</v>
      </c>
      <c r="Q819" s="5">
        <f>SUMIFS(EIAwtransport!$J$2:$J$675,EIAwtransport!$E$2:$E$675,Program_data!$E819,EIAwtransport!$H$2:$H$675,Program_data!$F819,EIAwtransport!$I$2:$I$675,Program_data!Q$2)</f>
        <v>0</v>
      </c>
      <c r="R819" s="8">
        <f>SUMIFS(EIAwtransport!$J$2:$J$675,EIAwtransport!$E$2:$E$675,Program_data!$E819,EIAwtransport!$I$2:$I$675,Program_data!R$2)</f>
        <v>1224988736</v>
      </c>
      <c r="S819" s="5">
        <f>SUMIFS(EIAwtransport!$J$2:$J$675,EIAwtransport!$E$2:$E$675,Program_data!$E819,EIAwtransport!$I$2:$I$675,Program_data!S$2)</f>
        <v>185460106</v>
      </c>
      <c r="T819" s="5">
        <f>SUMIFS(EIAwtransport!$J$2:$J$675,EIAwtransport!$E$2:$E$675,Program_data!$E819,EIAwtransport!$I$2:$I$675,Program_data!T$2)</f>
        <v>1451821</v>
      </c>
      <c r="U819" s="24">
        <f t="shared" si="269"/>
        <v>0</v>
      </c>
      <c r="V819" s="24">
        <f t="shared" si="274"/>
        <v>0</v>
      </c>
      <c r="W819" s="24">
        <f t="shared" si="270"/>
        <v>3.2138254698204831E-5</v>
      </c>
      <c r="X819" s="25">
        <f t="shared" si="271"/>
        <v>2.0490102195328872E-5</v>
      </c>
      <c r="Y819" s="8" t="str">
        <f t="shared" si="266"/>
        <v/>
      </c>
      <c r="Z819" s="27">
        <f t="shared" si="267"/>
        <v>4.5412180509063057E-3</v>
      </c>
      <c r="AC819" s="56">
        <f t="shared" si="261"/>
        <v>0</v>
      </c>
      <c r="AE819" s="20">
        <f t="shared" si="272"/>
        <v>0</v>
      </c>
      <c r="AF819" s="20">
        <f t="shared" si="273"/>
        <v>1653734793.6000001</v>
      </c>
      <c r="AG819">
        <f t="shared" si="262"/>
        <v>0</v>
      </c>
      <c r="AH819">
        <f t="shared" si="263"/>
        <v>0</v>
      </c>
      <c r="AI819">
        <f t="shared" si="264"/>
        <v>19562331980.880001</v>
      </c>
    </row>
    <row r="820" spans="2:35" x14ac:dyDescent="0.25">
      <c r="B820" s="4">
        <v>2025</v>
      </c>
      <c r="C820" s="4" t="s">
        <v>534</v>
      </c>
      <c r="D820" s="1" t="s">
        <v>242</v>
      </c>
      <c r="E820" s="4" t="str">
        <f t="shared" si="265"/>
        <v>Xcel-CO</v>
      </c>
      <c r="F820" s="4" t="s">
        <v>155</v>
      </c>
      <c r="G820" s="4"/>
      <c r="H820" s="11" t="s">
        <v>480</v>
      </c>
      <c r="I820" s="4"/>
      <c r="J820" s="4" t="s">
        <v>155</v>
      </c>
      <c r="K820" s="5">
        <v>0</v>
      </c>
      <c r="L820" s="5">
        <f t="shared" si="268"/>
        <v>0</v>
      </c>
      <c r="M820" s="8">
        <v>87931</v>
      </c>
      <c r="N820" s="8">
        <v>0</v>
      </c>
      <c r="O820" s="8">
        <f>SUMIFS(EIAwtransport!$J$2:$J$675,EIAwtransport!$E$2:$E$675,Program_data!$E820,EIAwtransport!$H$2:$H$675,Program_data!$F820,EIAwtransport!$I$2:$I$675,Program_data!O$2)</f>
        <v>0</v>
      </c>
      <c r="P820" s="5">
        <f>SUMIFS(EIAwtransport!$J$2:$J$675,EIAwtransport!$E$2:$E$675,Program_data!$E820,EIAwtransport!$H$2:$H$675,Program_data!$F820,EIAwtransport!$I$2:$I$675,Program_data!P$2)</f>
        <v>0</v>
      </c>
      <c r="Q820" s="5">
        <f>SUMIFS(EIAwtransport!$J$2:$J$675,EIAwtransport!$E$2:$E$675,Program_data!$E820,EIAwtransport!$H$2:$H$675,Program_data!$F820,EIAwtransport!$I$2:$I$675,Program_data!Q$2)</f>
        <v>0</v>
      </c>
      <c r="R820" s="8">
        <f>SUMIFS(EIAwtransport!$J$2:$J$675,EIAwtransport!$E$2:$E$675,Program_data!$E820,EIAwtransport!$I$2:$I$675,Program_data!R$2)</f>
        <v>1224988736</v>
      </c>
      <c r="S820" s="5">
        <f>SUMIFS(EIAwtransport!$J$2:$J$675,EIAwtransport!$E$2:$E$675,Program_data!$E820,EIAwtransport!$I$2:$I$675,Program_data!S$2)</f>
        <v>185460106</v>
      </c>
      <c r="T820" s="5">
        <f>SUMIFS(EIAwtransport!$J$2:$J$675,EIAwtransport!$E$2:$E$675,Program_data!$E820,EIAwtransport!$I$2:$I$675,Program_data!T$2)</f>
        <v>1451821</v>
      </c>
      <c r="U820" s="24">
        <f t="shared" si="269"/>
        <v>0</v>
      </c>
      <c r="V820" s="24">
        <f t="shared" si="274"/>
        <v>0</v>
      </c>
      <c r="W820" s="24">
        <f t="shared" si="270"/>
        <v>7.1781068197511978E-5</v>
      </c>
      <c r="X820" s="25">
        <f t="shared" si="271"/>
        <v>4.5764819429943941E-5</v>
      </c>
      <c r="Y820" s="8" t="str">
        <f t="shared" si="266"/>
        <v/>
      </c>
      <c r="Z820" s="27">
        <f t="shared" si="267"/>
        <v>1.0142849562707775E-2</v>
      </c>
      <c r="AC820" s="56">
        <f t="shared" si="261"/>
        <v>0</v>
      </c>
      <c r="AE820" s="20">
        <f t="shared" si="272"/>
        <v>0</v>
      </c>
      <c r="AF820" s="20">
        <f t="shared" si="273"/>
        <v>1653734793.6000001</v>
      </c>
      <c r="AG820">
        <f t="shared" si="262"/>
        <v>0</v>
      </c>
      <c r="AH820">
        <f t="shared" si="263"/>
        <v>0</v>
      </c>
      <c r="AI820">
        <f t="shared" si="264"/>
        <v>19562331980.880001</v>
      </c>
    </row>
    <row r="821" spans="2:35" x14ac:dyDescent="0.25">
      <c r="B821" s="4">
        <v>2025</v>
      </c>
      <c r="C821" s="4" t="s">
        <v>534</v>
      </c>
      <c r="D821" s="1" t="s">
        <v>242</v>
      </c>
      <c r="E821" s="4" t="str">
        <f t="shared" si="265"/>
        <v>Xcel-CO</v>
      </c>
      <c r="F821" s="4" t="s">
        <v>155</v>
      </c>
      <c r="G821" s="4"/>
      <c r="H821" s="11" t="s">
        <v>513</v>
      </c>
      <c r="I821" s="4"/>
      <c r="J821" s="4" t="s">
        <v>155</v>
      </c>
      <c r="K821" s="5">
        <v>0</v>
      </c>
      <c r="L821" s="5">
        <f t="shared" si="268"/>
        <v>0</v>
      </c>
      <c r="M821" s="8">
        <v>60028</v>
      </c>
      <c r="N821" s="8">
        <v>0</v>
      </c>
      <c r="O821" s="8">
        <f>SUMIFS(EIAwtransport!$J$2:$J$675,EIAwtransport!$E$2:$E$675,Program_data!$E821,EIAwtransport!$H$2:$H$675,Program_data!$F821,EIAwtransport!$I$2:$I$675,Program_data!O$2)</f>
        <v>0</v>
      </c>
      <c r="P821" s="5">
        <f>SUMIFS(EIAwtransport!$J$2:$J$675,EIAwtransport!$E$2:$E$675,Program_data!$E821,EIAwtransport!$H$2:$H$675,Program_data!$F821,EIAwtransport!$I$2:$I$675,Program_data!P$2)</f>
        <v>0</v>
      </c>
      <c r="Q821" s="5">
        <f>SUMIFS(EIAwtransport!$J$2:$J$675,EIAwtransport!$E$2:$E$675,Program_data!$E821,EIAwtransport!$H$2:$H$675,Program_data!$F821,EIAwtransport!$I$2:$I$675,Program_data!Q$2)</f>
        <v>0</v>
      </c>
      <c r="R821" s="8">
        <f>SUMIFS(EIAwtransport!$J$2:$J$675,EIAwtransport!$E$2:$E$675,Program_data!$E821,EIAwtransport!$I$2:$I$675,Program_data!R$2)</f>
        <v>1224988736</v>
      </c>
      <c r="S821" s="5">
        <f>SUMIFS(EIAwtransport!$J$2:$J$675,EIAwtransport!$E$2:$E$675,Program_data!$E821,EIAwtransport!$I$2:$I$675,Program_data!S$2)</f>
        <v>185460106</v>
      </c>
      <c r="T821" s="5">
        <f>SUMIFS(EIAwtransport!$J$2:$J$675,EIAwtransport!$E$2:$E$675,Program_data!$E821,EIAwtransport!$I$2:$I$675,Program_data!T$2)</f>
        <v>1451821</v>
      </c>
      <c r="U821" s="24">
        <f t="shared" si="269"/>
        <v>0</v>
      </c>
      <c r="V821" s="24">
        <f t="shared" si="274"/>
        <v>0</v>
      </c>
      <c r="W821" s="24">
        <f t="shared" si="270"/>
        <v>4.9002899566253643E-5</v>
      </c>
      <c r="X821" s="25">
        <f t="shared" si="271"/>
        <v>3.1242344346597619E-5</v>
      </c>
      <c r="Y821" s="8" t="str">
        <f t="shared" si="266"/>
        <v/>
      </c>
      <c r="Z821" s="27">
        <f t="shared" si="267"/>
        <v>6.9242357479185074E-3</v>
      </c>
      <c r="AC821" s="56">
        <f t="shared" si="261"/>
        <v>0</v>
      </c>
      <c r="AE821" s="20">
        <f t="shared" si="272"/>
        <v>0</v>
      </c>
      <c r="AF821" s="20">
        <f t="shared" si="273"/>
        <v>1653734793.6000001</v>
      </c>
      <c r="AG821">
        <f t="shared" si="262"/>
        <v>0</v>
      </c>
      <c r="AH821">
        <f t="shared" si="263"/>
        <v>0</v>
      </c>
      <c r="AI821">
        <f t="shared" si="264"/>
        <v>19562331980.880001</v>
      </c>
    </row>
    <row r="822" spans="2:35" x14ac:dyDescent="0.25">
      <c r="B822" s="4">
        <v>2025</v>
      </c>
      <c r="C822" s="4" t="s">
        <v>534</v>
      </c>
      <c r="D822" s="1" t="s">
        <v>242</v>
      </c>
      <c r="E822" s="4" t="str">
        <f t="shared" si="265"/>
        <v>Xcel-CO</v>
      </c>
      <c r="F822" s="4" t="s">
        <v>155</v>
      </c>
      <c r="G822" s="4"/>
      <c r="H822" s="11" t="s">
        <v>483</v>
      </c>
      <c r="I822" s="4"/>
      <c r="J822" s="4" t="s">
        <v>155</v>
      </c>
      <c r="K822" s="5">
        <v>0</v>
      </c>
      <c r="L822" s="5">
        <f t="shared" si="268"/>
        <v>0</v>
      </c>
      <c r="M822" s="8">
        <v>809029</v>
      </c>
      <c r="N822" s="8">
        <v>286708</v>
      </c>
      <c r="O822" s="8">
        <f>SUMIFS(EIAwtransport!$J$2:$J$675,EIAwtransport!$E$2:$E$675,Program_data!$E822,EIAwtransport!$H$2:$H$675,Program_data!$F822,EIAwtransport!$I$2:$I$675,Program_data!O$2)</f>
        <v>0</v>
      </c>
      <c r="P822" s="5">
        <f>SUMIFS(EIAwtransport!$J$2:$J$675,EIAwtransport!$E$2:$E$675,Program_data!$E822,EIAwtransport!$H$2:$H$675,Program_data!$F822,EIAwtransport!$I$2:$I$675,Program_data!P$2)</f>
        <v>0</v>
      </c>
      <c r="Q822" s="5">
        <f>SUMIFS(EIAwtransport!$J$2:$J$675,EIAwtransport!$E$2:$E$675,Program_data!$E822,EIAwtransport!$H$2:$H$675,Program_data!$F822,EIAwtransport!$I$2:$I$675,Program_data!Q$2)</f>
        <v>0</v>
      </c>
      <c r="R822" s="8">
        <f>SUMIFS(EIAwtransport!$J$2:$J$675,EIAwtransport!$E$2:$E$675,Program_data!$E822,EIAwtransport!$I$2:$I$675,Program_data!R$2)</f>
        <v>1224988736</v>
      </c>
      <c r="S822" s="5">
        <f>SUMIFS(EIAwtransport!$J$2:$J$675,EIAwtransport!$E$2:$E$675,Program_data!$E822,EIAwtransport!$I$2:$I$675,Program_data!S$2)</f>
        <v>185460106</v>
      </c>
      <c r="T822" s="5">
        <f>SUMIFS(EIAwtransport!$J$2:$J$675,EIAwtransport!$E$2:$E$675,Program_data!$E822,EIAwtransport!$I$2:$I$675,Program_data!T$2)</f>
        <v>1451821</v>
      </c>
      <c r="U822" s="24">
        <f t="shared" si="269"/>
        <v>0</v>
      </c>
      <c r="V822" s="24">
        <f t="shared" si="274"/>
        <v>0</v>
      </c>
      <c r="W822" s="24">
        <f t="shared" si="270"/>
        <v>6.6043790952866359E-4</v>
      </c>
      <c r="X822" s="25">
        <f t="shared" si="271"/>
        <v>4.2106954428572537E-4</v>
      </c>
      <c r="Y822" s="8" t="str">
        <f t="shared" si="266"/>
        <v/>
      </c>
      <c r="Z822" s="27">
        <f t="shared" si="267"/>
        <v>9.3321575313233193E-2</v>
      </c>
      <c r="AC822" s="56">
        <f t="shared" si="261"/>
        <v>0</v>
      </c>
      <c r="AE822" s="20">
        <f t="shared" si="272"/>
        <v>387055.80000000005</v>
      </c>
      <c r="AF822" s="20">
        <f t="shared" si="273"/>
        <v>1653734793.6000001</v>
      </c>
      <c r="AG822">
        <f t="shared" si="262"/>
        <v>0</v>
      </c>
      <c r="AH822">
        <f t="shared" si="263"/>
        <v>0</v>
      </c>
      <c r="AI822">
        <f t="shared" si="264"/>
        <v>19562331980.880001</v>
      </c>
    </row>
    <row r="823" spans="2:35" x14ac:dyDescent="0.25">
      <c r="B823" s="4">
        <v>2025</v>
      </c>
      <c r="C823" s="4" t="s">
        <v>534</v>
      </c>
      <c r="D823" s="1" t="s">
        <v>242</v>
      </c>
      <c r="E823" s="4" t="str">
        <f t="shared" si="265"/>
        <v>Xcel-CO</v>
      </c>
      <c r="F823" s="4" t="s">
        <v>155</v>
      </c>
      <c r="G823" s="4"/>
      <c r="H823" s="11" t="s">
        <v>514</v>
      </c>
      <c r="I823" s="4"/>
      <c r="J823" s="4" t="s">
        <v>155</v>
      </c>
      <c r="K823" s="5">
        <v>0</v>
      </c>
      <c r="L823" s="5">
        <f t="shared" si="268"/>
        <v>0</v>
      </c>
      <c r="M823" s="8">
        <v>177006</v>
      </c>
      <c r="N823" s="8">
        <v>0</v>
      </c>
      <c r="O823" s="8">
        <f>SUMIFS(EIAwtransport!$J$2:$J$675,EIAwtransport!$E$2:$E$675,Program_data!$E823,EIAwtransport!$H$2:$H$675,Program_data!$F823,EIAwtransport!$I$2:$I$675,Program_data!O$2)</f>
        <v>0</v>
      </c>
      <c r="P823" s="5">
        <f>SUMIFS(EIAwtransport!$J$2:$J$675,EIAwtransport!$E$2:$E$675,Program_data!$E823,EIAwtransport!$H$2:$H$675,Program_data!$F823,EIAwtransport!$I$2:$I$675,Program_data!P$2)</f>
        <v>0</v>
      </c>
      <c r="Q823" s="5">
        <f>SUMIFS(EIAwtransport!$J$2:$J$675,EIAwtransport!$E$2:$E$675,Program_data!$E823,EIAwtransport!$H$2:$H$675,Program_data!$F823,EIAwtransport!$I$2:$I$675,Program_data!Q$2)</f>
        <v>0</v>
      </c>
      <c r="R823" s="8">
        <f>SUMIFS(EIAwtransport!$J$2:$J$675,EIAwtransport!$E$2:$E$675,Program_data!$E823,EIAwtransport!$I$2:$I$675,Program_data!R$2)</f>
        <v>1224988736</v>
      </c>
      <c r="S823" s="5">
        <f>SUMIFS(EIAwtransport!$J$2:$J$675,EIAwtransport!$E$2:$E$675,Program_data!$E823,EIAwtransport!$I$2:$I$675,Program_data!S$2)</f>
        <v>185460106</v>
      </c>
      <c r="T823" s="5">
        <f>SUMIFS(EIAwtransport!$J$2:$J$675,EIAwtransport!$E$2:$E$675,Program_data!$E823,EIAwtransport!$I$2:$I$675,Program_data!T$2)</f>
        <v>1451821</v>
      </c>
      <c r="U823" s="24">
        <f t="shared" si="269"/>
        <v>0</v>
      </c>
      <c r="V823" s="24">
        <f t="shared" si="274"/>
        <v>0</v>
      </c>
      <c r="W823" s="24">
        <f t="shared" si="270"/>
        <v>1.4449602253322272E-4</v>
      </c>
      <c r="X823" s="25">
        <f t="shared" si="271"/>
        <v>9.2125048367659382E-5</v>
      </c>
      <c r="Y823" s="8" t="str">
        <f t="shared" si="266"/>
        <v/>
      </c>
      <c r="Z823" s="27">
        <f t="shared" si="267"/>
        <v>2.0417659638769629E-2</v>
      </c>
      <c r="AC823" s="56">
        <f t="shared" si="261"/>
        <v>0</v>
      </c>
      <c r="AE823" s="20">
        <f t="shared" si="272"/>
        <v>0</v>
      </c>
      <c r="AF823" s="20">
        <f t="shared" si="273"/>
        <v>1653734793.6000001</v>
      </c>
      <c r="AG823">
        <f t="shared" si="262"/>
        <v>0</v>
      </c>
      <c r="AH823">
        <f t="shared" si="263"/>
        <v>0</v>
      </c>
      <c r="AI823">
        <f t="shared" si="264"/>
        <v>19562331980.880001</v>
      </c>
    </row>
    <row r="824" spans="2:35" x14ac:dyDescent="0.25">
      <c r="B824" s="4">
        <v>2025</v>
      </c>
      <c r="C824" s="4" t="s">
        <v>534</v>
      </c>
      <c r="D824" s="1" t="s">
        <v>242</v>
      </c>
      <c r="E824" s="4" t="str">
        <f t="shared" si="265"/>
        <v>Xcel-CO</v>
      </c>
      <c r="F824" s="4" t="s">
        <v>155</v>
      </c>
      <c r="G824" s="4"/>
      <c r="H824" s="11" t="s">
        <v>552</v>
      </c>
      <c r="I824" s="4"/>
      <c r="J824" s="4" t="s">
        <v>155</v>
      </c>
      <c r="K824" s="5">
        <v>0</v>
      </c>
      <c r="L824" s="5">
        <f t="shared" si="268"/>
        <v>0</v>
      </c>
      <c r="M824" s="8">
        <v>205368</v>
      </c>
      <c r="N824" s="8">
        <v>0</v>
      </c>
      <c r="O824" s="8">
        <f>SUMIFS(EIAwtransport!$J$2:$J$675,EIAwtransport!$E$2:$E$675,Program_data!$E824,EIAwtransport!$H$2:$H$675,Program_data!$F824,EIAwtransport!$I$2:$I$675,Program_data!O$2)</f>
        <v>0</v>
      </c>
      <c r="P824" s="5">
        <f>SUMIFS(EIAwtransport!$J$2:$J$675,EIAwtransport!$E$2:$E$675,Program_data!$E824,EIAwtransport!$H$2:$H$675,Program_data!$F824,EIAwtransport!$I$2:$I$675,Program_data!P$2)</f>
        <v>0</v>
      </c>
      <c r="Q824" s="5">
        <f>SUMIFS(EIAwtransport!$J$2:$J$675,EIAwtransport!$E$2:$E$675,Program_data!$E824,EIAwtransport!$H$2:$H$675,Program_data!$F824,EIAwtransport!$I$2:$I$675,Program_data!Q$2)</f>
        <v>0</v>
      </c>
      <c r="R824" s="8">
        <f>SUMIFS(EIAwtransport!$J$2:$J$675,EIAwtransport!$E$2:$E$675,Program_data!$E824,EIAwtransport!$I$2:$I$675,Program_data!R$2)</f>
        <v>1224988736</v>
      </c>
      <c r="S824" s="5">
        <f>SUMIFS(EIAwtransport!$J$2:$J$675,EIAwtransport!$E$2:$E$675,Program_data!$E824,EIAwtransport!$I$2:$I$675,Program_data!S$2)</f>
        <v>185460106</v>
      </c>
      <c r="T824" s="5">
        <f>SUMIFS(EIAwtransport!$J$2:$J$675,EIAwtransport!$E$2:$E$675,Program_data!$E824,EIAwtransport!$I$2:$I$675,Program_data!T$2)</f>
        <v>1451821</v>
      </c>
      <c r="U824" s="24">
        <f t="shared" si="269"/>
        <v>0</v>
      </c>
      <c r="V824" s="24">
        <f t="shared" si="274"/>
        <v>0</v>
      </c>
      <c r="W824" s="24">
        <f t="shared" si="270"/>
        <v>1.6764888848741217E-4</v>
      </c>
      <c r="X824" s="25">
        <f t="shared" si="271"/>
        <v>1.0688641590211333E-4</v>
      </c>
      <c r="Y824" s="8" t="str">
        <f t="shared" si="266"/>
        <v/>
      </c>
      <c r="Z824" s="27">
        <f t="shared" si="267"/>
        <v>2.3689219149039251E-2</v>
      </c>
      <c r="AC824" s="56">
        <f t="shared" si="261"/>
        <v>0</v>
      </c>
      <c r="AE824" s="20">
        <f t="shared" si="272"/>
        <v>0</v>
      </c>
      <c r="AF824" s="20">
        <f t="shared" si="273"/>
        <v>1653734793.6000001</v>
      </c>
      <c r="AG824">
        <f t="shared" si="262"/>
        <v>0</v>
      </c>
      <c r="AH824">
        <f t="shared" si="263"/>
        <v>0</v>
      </c>
      <c r="AI824">
        <f t="shared" si="264"/>
        <v>19562331980.880001</v>
      </c>
    </row>
    <row r="825" spans="2:35" x14ac:dyDescent="0.25">
      <c r="B825" s="4">
        <v>2025</v>
      </c>
      <c r="C825" s="4" t="s">
        <v>534</v>
      </c>
      <c r="D825" s="1" t="s">
        <v>242</v>
      </c>
      <c r="E825" s="4" t="str">
        <f t="shared" si="265"/>
        <v>Xcel-CO</v>
      </c>
      <c r="F825" s="4" t="s">
        <v>155</v>
      </c>
      <c r="G825" s="4"/>
      <c r="H825" s="11" t="s">
        <v>553</v>
      </c>
      <c r="I825" s="4"/>
      <c r="J825" s="4" t="s">
        <v>155</v>
      </c>
      <c r="K825" s="5">
        <v>0</v>
      </c>
      <c r="L825" s="5">
        <f t="shared" si="268"/>
        <v>0</v>
      </c>
      <c r="M825" s="8">
        <v>297867</v>
      </c>
      <c r="N825" s="8">
        <v>0</v>
      </c>
      <c r="O825" s="8">
        <f>SUMIFS(EIAwtransport!$J$2:$J$675,EIAwtransport!$E$2:$E$675,Program_data!$E825,EIAwtransport!$H$2:$H$675,Program_data!$F825,EIAwtransport!$I$2:$I$675,Program_data!O$2)</f>
        <v>0</v>
      </c>
      <c r="P825" s="5">
        <f>SUMIFS(EIAwtransport!$J$2:$J$675,EIAwtransport!$E$2:$E$675,Program_data!$E825,EIAwtransport!$H$2:$H$675,Program_data!$F825,EIAwtransport!$I$2:$I$675,Program_data!P$2)</f>
        <v>0</v>
      </c>
      <c r="Q825" s="5">
        <f>SUMIFS(EIAwtransport!$J$2:$J$675,EIAwtransport!$E$2:$E$675,Program_data!$E825,EIAwtransport!$H$2:$H$675,Program_data!$F825,EIAwtransport!$I$2:$I$675,Program_data!Q$2)</f>
        <v>0</v>
      </c>
      <c r="R825" s="8">
        <f>SUMIFS(EIAwtransport!$J$2:$J$675,EIAwtransport!$E$2:$E$675,Program_data!$E825,EIAwtransport!$I$2:$I$675,Program_data!R$2)</f>
        <v>1224988736</v>
      </c>
      <c r="S825" s="5">
        <f>SUMIFS(EIAwtransport!$J$2:$J$675,EIAwtransport!$E$2:$E$675,Program_data!$E825,EIAwtransport!$I$2:$I$675,Program_data!S$2)</f>
        <v>185460106</v>
      </c>
      <c r="T825" s="5">
        <f>SUMIFS(EIAwtransport!$J$2:$J$675,EIAwtransport!$E$2:$E$675,Program_data!$E825,EIAwtransport!$I$2:$I$675,Program_data!T$2)</f>
        <v>1451821</v>
      </c>
      <c r="U825" s="24">
        <f t="shared" si="269"/>
        <v>0</v>
      </c>
      <c r="V825" s="24">
        <f t="shared" si="274"/>
        <v>0</v>
      </c>
      <c r="W825" s="24">
        <f t="shared" si="270"/>
        <v>2.4315897056542403E-4</v>
      </c>
      <c r="X825" s="25">
        <f t="shared" si="271"/>
        <v>1.5502870966029175E-4</v>
      </c>
      <c r="Y825" s="8" t="str">
        <f t="shared" si="266"/>
        <v/>
      </c>
      <c r="Z825" s="27">
        <f t="shared" si="267"/>
        <v>3.435898796437066E-2</v>
      </c>
      <c r="AC825" s="56">
        <f t="shared" si="261"/>
        <v>0</v>
      </c>
      <c r="AE825" s="20">
        <f t="shared" si="272"/>
        <v>0</v>
      </c>
      <c r="AF825" s="20">
        <f t="shared" si="273"/>
        <v>1653734793.6000001</v>
      </c>
      <c r="AG825">
        <f t="shared" si="262"/>
        <v>0</v>
      </c>
      <c r="AH825">
        <f t="shared" si="263"/>
        <v>0</v>
      </c>
      <c r="AI825">
        <f t="shared" si="264"/>
        <v>19562331980.880001</v>
      </c>
    </row>
    <row r="826" spans="2:35" x14ac:dyDescent="0.25">
      <c r="B826" s="4">
        <v>2025</v>
      </c>
      <c r="C826" s="4" t="s">
        <v>534</v>
      </c>
      <c r="D826" s="1" t="s">
        <v>242</v>
      </c>
      <c r="E826" s="4" t="str">
        <f t="shared" si="265"/>
        <v>Xcel-CO</v>
      </c>
      <c r="F826" s="4" t="s">
        <v>155</v>
      </c>
      <c r="G826" s="4"/>
      <c r="H826" s="11" t="s">
        <v>554</v>
      </c>
      <c r="I826" s="4"/>
      <c r="J826" s="4" t="s">
        <v>155</v>
      </c>
      <c r="K826" s="5">
        <v>0</v>
      </c>
      <c r="L826" s="5">
        <f t="shared" si="268"/>
        <v>0</v>
      </c>
      <c r="M826" s="8">
        <v>149939</v>
      </c>
      <c r="N826" s="8">
        <v>0</v>
      </c>
      <c r="O826" s="8">
        <f>SUMIFS(EIAwtransport!$J$2:$J$675,EIAwtransport!$E$2:$E$675,Program_data!$E826,EIAwtransport!$H$2:$H$675,Program_data!$F826,EIAwtransport!$I$2:$I$675,Program_data!O$2)</f>
        <v>0</v>
      </c>
      <c r="P826" s="5">
        <f>SUMIFS(EIAwtransport!$J$2:$J$675,EIAwtransport!$E$2:$E$675,Program_data!$E826,EIAwtransport!$H$2:$H$675,Program_data!$F826,EIAwtransport!$I$2:$I$675,Program_data!P$2)</f>
        <v>0</v>
      </c>
      <c r="Q826" s="5">
        <f>SUMIFS(EIAwtransport!$J$2:$J$675,EIAwtransport!$E$2:$E$675,Program_data!$E826,EIAwtransport!$H$2:$H$675,Program_data!$F826,EIAwtransport!$I$2:$I$675,Program_data!Q$2)</f>
        <v>0</v>
      </c>
      <c r="R826" s="8">
        <f>SUMIFS(EIAwtransport!$J$2:$J$675,EIAwtransport!$E$2:$E$675,Program_data!$E826,EIAwtransport!$I$2:$I$675,Program_data!R$2)</f>
        <v>1224988736</v>
      </c>
      <c r="S826" s="5">
        <f>SUMIFS(EIAwtransport!$J$2:$J$675,EIAwtransport!$E$2:$E$675,Program_data!$E826,EIAwtransport!$I$2:$I$675,Program_data!S$2)</f>
        <v>185460106</v>
      </c>
      <c r="T826" s="5">
        <f>SUMIFS(EIAwtransport!$J$2:$J$675,EIAwtransport!$E$2:$E$675,Program_data!$E826,EIAwtransport!$I$2:$I$675,Program_data!T$2)</f>
        <v>1451821</v>
      </c>
      <c r="U826" s="24">
        <f t="shared" si="269"/>
        <v>0</v>
      </c>
      <c r="V826" s="24">
        <f t="shared" si="274"/>
        <v>0</v>
      </c>
      <c r="W826" s="24">
        <f t="shared" si="270"/>
        <v>1.224003091568019E-4</v>
      </c>
      <c r="X826" s="25">
        <f t="shared" si="271"/>
        <v>7.8037680232299916E-5</v>
      </c>
      <c r="Y826" s="8" t="str">
        <f t="shared" si="266"/>
        <v/>
      </c>
      <c r="Z826" s="27">
        <f t="shared" si="267"/>
        <v>1.7295478506816037E-2</v>
      </c>
      <c r="AC826" s="56">
        <f t="shared" si="261"/>
        <v>0</v>
      </c>
      <c r="AE826" s="20">
        <f t="shared" si="272"/>
        <v>0</v>
      </c>
      <c r="AF826" s="20">
        <f t="shared" si="273"/>
        <v>1653734793.6000001</v>
      </c>
      <c r="AG826">
        <f t="shared" si="262"/>
        <v>0</v>
      </c>
      <c r="AH826">
        <f t="shared" si="263"/>
        <v>0</v>
      </c>
      <c r="AI826">
        <f t="shared" si="264"/>
        <v>19562331980.880001</v>
      </c>
    </row>
    <row r="827" spans="2:35" x14ac:dyDescent="0.25">
      <c r="B827" s="4">
        <v>2025</v>
      </c>
      <c r="C827" s="4" t="s">
        <v>534</v>
      </c>
      <c r="D827" s="1" t="s">
        <v>242</v>
      </c>
      <c r="E827" s="4" t="str">
        <f t="shared" si="265"/>
        <v>Xcel-CO</v>
      </c>
      <c r="F827" s="4" t="s">
        <v>155</v>
      </c>
      <c r="G827" s="4"/>
      <c r="H827" s="11" t="s">
        <v>555</v>
      </c>
      <c r="I827" s="4"/>
      <c r="J827" s="4" t="s">
        <v>155</v>
      </c>
      <c r="K827" s="5">
        <v>0</v>
      </c>
      <c r="L827" s="5">
        <f t="shared" si="268"/>
        <v>0</v>
      </c>
      <c r="M827" s="8">
        <v>396361</v>
      </c>
      <c r="N827" s="8">
        <v>0</v>
      </c>
      <c r="O827" s="8">
        <f>SUMIFS(EIAwtransport!$J$2:$J$675,EIAwtransport!$E$2:$E$675,Program_data!$E827,EIAwtransport!$H$2:$H$675,Program_data!$F827,EIAwtransport!$I$2:$I$675,Program_data!O$2)</f>
        <v>0</v>
      </c>
      <c r="P827" s="5">
        <f>SUMIFS(EIAwtransport!$J$2:$J$675,EIAwtransport!$E$2:$E$675,Program_data!$E827,EIAwtransport!$H$2:$H$675,Program_data!$F827,EIAwtransport!$I$2:$I$675,Program_data!P$2)</f>
        <v>0</v>
      </c>
      <c r="Q827" s="5">
        <f>SUMIFS(EIAwtransport!$J$2:$J$675,EIAwtransport!$E$2:$E$675,Program_data!$E827,EIAwtransport!$H$2:$H$675,Program_data!$F827,EIAwtransport!$I$2:$I$675,Program_data!Q$2)</f>
        <v>0</v>
      </c>
      <c r="R827" s="8">
        <f>SUMIFS(EIAwtransport!$J$2:$J$675,EIAwtransport!$E$2:$E$675,Program_data!$E827,EIAwtransport!$I$2:$I$675,Program_data!R$2)</f>
        <v>1224988736</v>
      </c>
      <c r="S827" s="5">
        <f>SUMIFS(EIAwtransport!$J$2:$J$675,EIAwtransport!$E$2:$E$675,Program_data!$E827,EIAwtransport!$I$2:$I$675,Program_data!S$2)</f>
        <v>185460106</v>
      </c>
      <c r="T827" s="5">
        <f>SUMIFS(EIAwtransport!$J$2:$J$675,EIAwtransport!$E$2:$E$675,Program_data!$E827,EIAwtransport!$I$2:$I$675,Program_data!T$2)</f>
        <v>1451821</v>
      </c>
      <c r="U827" s="24">
        <f t="shared" si="269"/>
        <v>0</v>
      </c>
      <c r="V827" s="24">
        <f t="shared" si="274"/>
        <v>0</v>
      </c>
      <c r="W827" s="24">
        <f t="shared" si="270"/>
        <v>3.2356297519457353E-4</v>
      </c>
      <c r="X827" s="25">
        <f t="shared" si="271"/>
        <v>2.0629117824284965E-4</v>
      </c>
      <c r="Y827" s="8" t="str">
        <f t="shared" si="266"/>
        <v/>
      </c>
      <c r="Z827" s="27">
        <f t="shared" si="267"/>
        <v>4.5720280623721056E-2</v>
      </c>
      <c r="AC827" s="56">
        <f t="shared" ref="AC827:AC862" si="275">IFERROR(K827/SUMIFS($M$3:$M$1234,$E$3:$E$1234,E827,$B$3:$B$1234,B827),"")</f>
        <v>0</v>
      </c>
      <c r="AE827" s="20">
        <f t="shared" si="272"/>
        <v>0</v>
      </c>
      <c r="AF827" s="20">
        <f t="shared" si="273"/>
        <v>1653734793.6000001</v>
      </c>
      <c r="AG827">
        <f t="shared" ref="AG827:AG897" si="276">K827*105.48</f>
        <v>0</v>
      </c>
      <c r="AH827">
        <f t="shared" ref="AH827:AH897" si="277">L827*105.48</f>
        <v>0</v>
      </c>
      <c r="AI827">
        <f t="shared" ref="AI827:AI897" si="278">S827*105.48</f>
        <v>19562331980.880001</v>
      </c>
    </row>
    <row r="828" spans="2:35" x14ac:dyDescent="0.25">
      <c r="B828" s="4">
        <v>2026</v>
      </c>
      <c r="C828" s="4" t="s">
        <v>534</v>
      </c>
      <c r="D828" s="1" t="s">
        <v>242</v>
      </c>
      <c r="E828" s="4" t="str">
        <f t="shared" si="265"/>
        <v>Xcel-CO</v>
      </c>
      <c r="F828" s="4" t="s">
        <v>146</v>
      </c>
      <c r="G828" s="4"/>
      <c r="H828" s="4" t="s">
        <v>491</v>
      </c>
      <c r="I828" s="4"/>
      <c r="J828" s="4" t="s">
        <v>68</v>
      </c>
      <c r="K828" s="5">
        <v>89580</v>
      </c>
      <c r="L828" s="5">
        <f t="shared" ref="L828:L862" si="279">K828/0.678</f>
        <v>132123.89380530972</v>
      </c>
      <c r="M828" s="8">
        <v>69954</v>
      </c>
      <c r="N828" s="8">
        <v>50665</v>
      </c>
      <c r="O828" s="8">
        <f>SUMIFS(EIAwtransport!$J$2:$J$675,EIAwtransport!$E$2:$E$675,Program_data!$E828,EIAwtransport!$H$2:$H$675,Program_data!$F828,EIAwtransport!$I$2:$I$675,Program_data!O$2)</f>
        <v>386405636</v>
      </c>
      <c r="P828" s="5">
        <f>SUMIFS(EIAwtransport!$J$2:$J$675,EIAwtransport!$E$2:$E$675,Program_data!$E828,EIAwtransport!$H$2:$H$675,Program_data!$F828,EIAwtransport!$I$2:$I$675,Program_data!P$2)</f>
        <v>90043838</v>
      </c>
      <c r="Q828" s="5">
        <f>SUMIFS(EIAwtransport!$J$2:$J$675,EIAwtransport!$E$2:$E$675,Program_data!$E828,EIAwtransport!$H$2:$H$675,Program_data!$F828,EIAwtransport!$I$2:$I$675,Program_data!Q$2)</f>
        <v>110096</v>
      </c>
      <c r="R828" s="8">
        <f>SUMIFS(EIAwtransport!$J$2:$J$675,EIAwtransport!$E$2:$E$675,Program_data!$E828,EIAwtransport!$I$2:$I$675,Program_data!R$2)</f>
        <v>1224988736</v>
      </c>
      <c r="S828" s="5">
        <f>SUMIFS(EIAwtransport!$J$2:$J$675,EIAwtransport!$E$2:$E$675,Program_data!$E828,EIAwtransport!$I$2:$I$675,Program_data!S$2)</f>
        <v>185460106</v>
      </c>
      <c r="T828" s="5">
        <f>SUMIFS(EIAwtransport!$J$2:$J$675,EIAwtransport!$E$2:$E$675,Program_data!$E828,EIAwtransport!$I$2:$I$675,Program_data!T$2)</f>
        <v>1451821</v>
      </c>
      <c r="U828" s="24">
        <f t="shared" si="269"/>
        <v>4.6623062680219472E-5</v>
      </c>
      <c r="V828" s="24">
        <f t="shared" si="274"/>
        <v>6.8765579174364999E-5</v>
      </c>
      <c r="W828" s="24">
        <f t="shared" si="270"/>
        <v>5.7105831216394139E-5</v>
      </c>
      <c r="X828" s="25">
        <f t="shared" si="271"/>
        <v>3.6408458659656981E-5</v>
      </c>
      <c r="Y828" s="8">
        <f t="shared" si="266"/>
        <v>6.2127213627240267E-2</v>
      </c>
      <c r="Z828" s="27">
        <f t="shared" si="267"/>
        <v>7.7287843466539979E-3</v>
      </c>
      <c r="AC828" s="56">
        <f t="shared" si="275"/>
        <v>3.9952078912982338E-3</v>
      </c>
      <c r="AE828" s="20">
        <f t="shared" si="272"/>
        <v>68397.75</v>
      </c>
      <c r="AF828" s="20">
        <f t="shared" si="273"/>
        <v>1653734793.6000001</v>
      </c>
      <c r="AG828">
        <f t="shared" si="276"/>
        <v>9448898.4000000004</v>
      </c>
      <c r="AH828">
        <f t="shared" si="277"/>
        <v>13936428.31858407</v>
      </c>
      <c r="AI828">
        <f t="shared" si="278"/>
        <v>19562331980.880001</v>
      </c>
    </row>
    <row r="829" spans="2:35" x14ac:dyDescent="0.25">
      <c r="B829" s="4">
        <v>2026</v>
      </c>
      <c r="C829" s="4" t="s">
        <v>534</v>
      </c>
      <c r="D829" s="1" t="s">
        <v>242</v>
      </c>
      <c r="E829" s="4" t="str">
        <f t="shared" si="265"/>
        <v>Xcel-CO</v>
      </c>
      <c r="F829" s="4" t="s">
        <v>146</v>
      </c>
      <c r="G829" s="4"/>
      <c r="H829" s="4" t="s">
        <v>535</v>
      </c>
      <c r="I829" s="4"/>
      <c r="J829" s="4" t="s">
        <v>142</v>
      </c>
      <c r="K829" s="5">
        <v>205340</v>
      </c>
      <c r="L829" s="5">
        <f t="shared" si="279"/>
        <v>302861.35693215334</v>
      </c>
      <c r="M829" s="8">
        <v>240090</v>
      </c>
      <c r="N829" s="8">
        <v>147601</v>
      </c>
      <c r="O829" s="8">
        <f>SUMIFS(EIAwtransport!$J$2:$J$675,EIAwtransport!$E$2:$E$675,Program_data!$E829,EIAwtransport!$H$2:$H$675,Program_data!$F829,EIAwtransport!$I$2:$I$675,Program_data!O$2)</f>
        <v>386405636</v>
      </c>
      <c r="P829" s="5">
        <f>SUMIFS(EIAwtransport!$J$2:$J$675,EIAwtransport!$E$2:$E$675,Program_data!$E829,EIAwtransport!$H$2:$H$675,Program_data!$F829,EIAwtransport!$I$2:$I$675,Program_data!P$2)</f>
        <v>90043838</v>
      </c>
      <c r="Q829" s="5">
        <f>SUMIFS(EIAwtransport!$J$2:$J$675,EIAwtransport!$E$2:$E$675,Program_data!$E829,EIAwtransport!$H$2:$H$675,Program_data!$F829,EIAwtransport!$I$2:$I$675,Program_data!Q$2)</f>
        <v>110096</v>
      </c>
      <c r="R829" s="8">
        <f>SUMIFS(EIAwtransport!$J$2:$J$675,EIAwtransport!$E$2:$E$675,Program_data!$E829,EIAwtransport!$I$2:$I$675,Program_data!R$2)</f>
        <v>1224988736</v>
      </c>
      <c r="S829" s="5">
        <f>SUMIFS(EIAwtransport!$J$2:$J$675,EIAwtransport!$E$2:$E$675,Program_data!$E829,EIAwtransport!$I$2:$I$675,Program_data!S$2)</f>
        <v>185460106</v>
      </c>
      <c r="T829" s="5">
        <f>SUMIFS(EIAwtransport!$J$2:$J$675,EIAwtransport!$E$2:$E$675,Program_data!$E829,EIAwtransport!$I$2:$I$675,Program_data!T$2)</f>
        <v>1451821</v>
      </c>
      <c r="U829" s="24">
        <f t="shared" si="269"/>
        <v>1.0687184294213291E-4</v>
      </c>
      <c r="V829" s="24">
        <f t="shared" si="274"/>
        <v>1.5762808693529925E-4</v>
      </c>
      <c r="W829" s="24">
        <f t="shared" si="270"/>
        <v>1.9599363891620306E-4</v>
      </c>
      <c r="X829" s="25">
        <f t="shared" si="271"/>
        <v>1.249579272035487E-4</v>
      </c>
      <c r="Y829" s="8">
        <f t="shared" si="266"/>
        <v>0.21322758841187234</v>
      </c>
      <c r="Z829" s="27">
        <f t="shared" si="267"/>
        <v>2.6526057606257803E-2</v>
      </c>
      <c r="AC829" s="56">
        <f t="shared" si="275"/>
        <v>9.1580262156639794E-3</v>
      </c>
      <c r="AE829" s="20">
        <f t="shared" si="272"/>
        <v>199261.35</v>
      </c>
      <c r="AF829" s="20">
        <f t="shared" si="273"/>
        <v>1653734793.6000001</v>
      </c>
      <c r="AG829">
        <f t="shared" si="276"/>
        <v>21659263.199999999</v>
      </c>
      <c r="AH829">
        <f t="shared" si="277"/>
        <v>31945815.929203536</v>
      </c>
      <c r="AI829">
        <f t="shared" si="278"/>
        <v>19562331980.880001</v>
      </c>
    </row>
    <row r="830" spans="2:35" x14ac:dyDescent="0.25">
      <c r="B830" s="4">
        <v>2026</v>
      </c>
      <c r="C830" s="4" t="s">
        <v>534</v>
      </c>
      <c r="D830" s="1" t="s">
        <v>242</v>
      </c>
      <c r="E830" s="4" t="str">
        <f t="shared" si="265"/>
        <v>Xcel-CO</v>
      </c>
      <c r="F830" s="4" t="s">
        <v>146</v>
      </c>
      <c r="G830" s="4"/>
      <c r="H830" s="4" t="s">
        <v>493</v>
      </c>
      <c r="I830" s="4"/>
      <c r="J830" s="4" t="s">
        <v>142</v>
      </c>
      <c r="K830" s="5">
        <v>107680</v>
      </c>
      <c r="L830" s="5">
        <f t="shared" si="279"/>
        <v>158820.05899705013</v>
      </c>
      <c r="M830" s="8">
        <v>221602</v>
      </c>
      <c r="N830" s="8">
        <v>166324</v>
      </c>
      <c r="O830" s="8">
        <f>SUMIFS(EIAwtransport!$J$2:$J$675,EIAwtransport!$E$2:$E$675,Program_data!$E830,EIAwtransport!$H$2:$H$675,Program_data!$F830,EIAwtransport!$I$2:$I$675,Program_data!O$2)</f>
        <v>386405636</v>
      </c>
      <c r="P830" s="5">
        <f>SUMIFS(EIAwtransport!$J$2:$J$675,EIAwtransport!$E$2:$E$675,Program_data!$E830,EIAwtransport!$H$2:$H$675,Program_data!$F830,EIAwtransport!$I$2:$I$675,Program_data!P$2)</f>
        <v>90043838</v>
      </c>
      <c r="Q830" s="5">
        <f>SUMIFS(EIAwtransport!$J$2:$J$675,EIAwtransport!$E$2:$E$675,Program_data!$E830,EIAwtransport!$H$2:$H$675,Program_data!$F830,EIAwtransport!$I$2:$I$675,Program_data!Q$2)</f>
        <v>110096</v>
      </c>
      <c r="R830" s="8">
        <f>SUMIFS(EIAwtransport!$J$2:$J$675,EIAwtransport!$E$2:$E$675,Program_data!$E830,EIAwtransport!$I$2:$I$675,Program_data!R$2)</f>
        <v>1224988736</v>
      </c>
      <c r="S830" s="5">
        <f>SUMIFS(EIAwtransport!$J$2:$J$675,EIAwtransport!$E$2:$E$675,Program_data!$E830,EIAwtransport!$I$2:$I$675,Program_data!S$2)</f>
        <v>185460106</v>
      </c>
      <c r="T830" s="5">
        <f>SUMIFS(EIAwtransport!$J$2:$J$675,EIAwtransport!$E$2:$E$675,Program_data!$E830,EIAwtransport!$I$2:$I$675,Program_data!T$2)</f>
        <v>1451821</v>
      </c>
      <c r="U830" s="24">
        <f t="shared" si="269"/>
        <v>5.6043440381848994E-5</v>
      </c>
      <c r="V830" s="24">
        <f t="shared" si="274"/>
        <v>8.2659941566148951E-5</v>
      </c>
      <c r="W830" s="24">
        <f t="shared" si="270"/>
        <v>1.8090125524223595E-4</v>
      </c>
      <c r="X830" s="25">
        <f t="shared" si="271"/>
        <v>1.1533560991361906E-4</v>
      </c>
      <c r="Y830" s="8">
        <f t="shared" si="266"/>
        <v>0.1968081138208494</v>
      </c>
      <c r="Z830" s="27">
        <f t="shared" si="267"/>
        <v>2.4483432952900751E-2</v>
      </c>
      <c r="AC830" s="56">
        <f t="shared" si="275"/>
        <v>4.8024557460928088E-3</v>
      </c>
      <c r="AE830" s="20">
        <f t="shared" si="272"/>
        <v>224537.40000000002</v>
      </c>
      <c r="AF830" s="20">
        <f t="shared" si="273"/>
        <v>1653734793.6000001</v>
      </c>
      <c r="AG830">
        <f t="shared" si="276"/>
        <v>11358086.4</v>
      </c>
      <c r="AH830">
        <f t="shared" si="277"/>
        <v>16752339.823008848</v>
      </c>
      <c r="AI830">
        <f t="shared" si="278"/>
        <v>19562331980.880001</v>
      </c>
    </row>
    <row r="831" spans="2:35" x14ac:dyDescent="0.25">
      <c r="B831" s="4">
        <v>2026</v>
      </c>
      <c r="C831" s="4" t="s">
        <v>534</v>
      </c>
      <c r="D831" s="1" t="s">
        <v>242</v>
      </c>
      <c r="E831" s="4" t="str">
        <f t="shared" si="265"/>
        <v>Xcel-CO</v>
      </c>
      <c r="F831" s="4" t="s">
        <v>146</v>
      </c>
      <c r="G831" s="4"/>
      <c r="H831" s="4" t="s">
        <v>536</v>
      </c>
      <c r="I831" s="4"/>
      <c r="J831" s="4" t="s">
        <v>142</v>
      </c>
      <c r="K831" s="5">
        <v>90800</v>
      </c>
      <c r="L831" s="5">
        <f t="shared" si="279"/>
        <v>133923.30383480826</v>
      </c>
      <c r="M831" s="8">
        <v>95200</v>
      </c>
      <c r="N831" s="8">
        <v>93434</v>
      </c>
      <c r="O831" s="8">
        <f>SUMIFS(EIAwtransport!$J$2:$J$675,EIAwtransport!$E$2:$E$675,Program_data!$E831,EIAwtransport!$H$2:$H$675,Program_data!$F831,EIAwtransport!$I$2:$I$675,Program_data!O$2)</f>
        <v>386405636</v>
      </c>
      <c r="P831" s="5">
        <f>SUMIFS(EIAwtransport!$J$2:$J$675,EIAwtransport!$E$2:$E$675,Program_data!$E831,EIAwtransport!$H$2:$H$675,Program_data!$F831,EIAwtransport!$I$2:$I$675,Program_data!P$2)</f>
        <v>90043838</v>
      </c>
      <c r="Q831" s="5">
        <f>SUMIFS(EIAwtransport!$J$2:$J$675,EIAwtransport!$E$2:$E$675,Program_data!$E831,EIAwtransport!$H$2:$H$675,Program_data!$F831,EIAwtransport!$I$2:$I$675,Program_data!Q$2)</f>
        <v>110096</v>
      </c>
      <c r="R831" s="8">
        <f>SUMIFS(EIAwtransport!$J$2:$J$675,EIAwtransport!$E$2:$E$675,Program_data!$E831,EIAwtransport!$I$2:$I$675,Program_data!R$2)</f>
        <v>1224988736</v>
      </c>
      <c r="S831" s="5">
        <f>SUMIFS(EIAwtransport!$J$2:$J$675,EIAwtransport!$E$2:$E$675,Program_data!$E831,EIAwtransport!$I$2:$I$675,Program_data!S$2)</f>
        <v>185460106</v>
      </c>
      <c r="T831" s="5">
        <f>SUMIFS(EIAwtransport!$J$2:$J$675,EIAwtransport!$E$2:$E$675,Program_data!$E831,EIAwtransport!$I$2:$I$675,Program_data!T$2)</f>
        <v>1451821</v>
      </c>
      <c r="U831" s="24">
        <f t="shared" si="269"/>
        <v>4.7258027365080688E-5</v>
      </c>
      <c r="V831" s="24">
        <f t="shared" si="274"/>
        <v>6.9702105258231104E-5</v>
      </c>
      <c r="W831" s="24">
        <f t="shared" si="270"/>
        <v>7.7715000311643679E-5</v>
      </c>
      <c r="X831" s="25">
        <f t="shared" si="271"/>
        <v>4.9548063933432611E-5</v>
      </c>
      <c r="Y831" s="8">
        <f t="shared" si="266"/>
        <v>8.4548571022575889E-2</v>
      </c>
      <c r="Z831" s="27">
        <f t="shared" si="267"/>
        <v>1.0518058578515319E-2</v>
      </c>
      <c r="AC831" s="56">
        <f t="shared" si="275"/>
        <v>4.0496190726711278E-3</v>
      </c>
      <c r="AE831" s="20">
        <f t="shared" si="272"/>
        <v>126135.90000000001</v>
      </c>
      <c r="AF831" s="20">
        <f t="shared" si="273"/>
        <v>1653734793.6000001</v>
      </c>
      <c r="AG831">
        <f t="shared" si="276"/>
        <v>9577584</v>
      </c>
      <c r="AH831">
        <f t="shared" si="277"/>
        <v>14126230.088495577</v>
      </c>
      <c r="AI831">
        <f t="shared" si="278"/>
        <v>19562331980.880001</v>
      </c>
    </row>
    <row r="832" spans="2:35" x14ac:dyDescent="0.25">
      <c r="B832" s="4">
        <v>2026</v>
      </c>
      <c r="C832" s="4" t="s">
        <v>534</v>
      </c>
      <c r="D832" s="1" t="s">
        <v>242</v>
      </c>
      <c r="E832" s="4" t="str">
        <f t="shared" si="265"/>
        <v>Xcel-CO</v>
      </c>
      <c r="F832" s="4" t="s">
        <v>146</v>
      </c>
      <c r="G832" s="4"/>
      <c r="H832" s="4" t="s">
        <v>537</v>
      </c>
      <c r="I832" s="4"/>
      <c r="J832" s="4" t="s">
        <v>142</v>
      </c>
      <c r="K832" s="5">
        <v>503560</v>
      </c>
      <c r="L832" s="5">
        <f t="shared" si="279"/>
        <v>742713.86430678458</v>
      </c>
      <c r="M832" s="8">
        <v>285046</v>
      </c>
      <c r="N832" s="8">
        <v>238347</v>
      </c>
      <c r="O832" s="8">
        <f>SUMIFS(EIAwtransport!$J$2:$J$675,EIAwtransport!$E$2:$E$675,Program_data!$E832,EIAwtransport!$H$2:$H$675,Program_data!$F832,EIAwtransport!$I$2:$I$675,Program_data!O$2)</f>
        <v>386405636</v>
      </c>
      <c r="P832" s="5">
        <f>SUMIFS(EIAwtransport!$J$2:$J$675,EIAwtransport!$E$2:$E$675,Program_data!$E832,EIAwtransport!$H$2:$H$675,Program_data!$F832,EIAwtransport!$I$2:$I$675,Program_data!P$2)</f>
        <v>90043838</v>
      </c>
      <c r="Q832" s="5">
        <f>SUMIFS(EIAwtransport!$J$2:$J$675,EIAwtransport!$E$2:$E$675,Program_data!$E832,EIAwtransport!$H$2:$H$675,Program_data!$F832,EIAwtransport!$I$2:$I$675,Program_data!Q$2)</f>
        <v>110096</v>
      </c>
      <c r="R832" s="8">
        <f>SUMIFS(EIAwtransport!$J$2:$J$675,EIAwtransport!$E$2:$E$675,Program_data!$E832,EIAwtransport!$I$2:$I$675,Program_data!R$2)</f>
        <v>1224988736</v>
      </c>
      <c r="S832" s="5">
        <f>SUMIFS(EIAwtransport!$J$2:$J$675,EIAwtransport!$E$2:$E$675,Program_data!$E832,EIAwtransport!$I$2:$I$675,Program_data!S$2)</f>
        <v>185460106</v>
      </c>
      <c r="T832" s="5">
        <f>SUMIFS(EIAwtransport!$J$2:$J$675,EIAwtransport!$E$2:$E$675,Program_data!$E832,EIAwtransport!$I$2:$I$675,Program_data!T$2)</f>
        <v>1451821</v>
      </c>
      <c r="U832" s="24">
        <f t="shared" si="269"/>
        <v>2.6208427599074924E-4</v>
      </c>
      <c r="V832" s="24">
        <f t="shared" si="274"/>
        <v>3.865549793373882E-4</v>
      </c>
      <c r="W832" s="24">
        <f t="shared" si="270"/>
        <v>2.3269275187849564E-4</v>
      </c>
      <c r="X832" s="25">
        <f t="shared" si="271"/>
        <v>1.4835585537782808E-4</v>
      </c>
      <c r="Y832" s="8">
        <f t="shared" si="266"/>
        <v>0.25315369722375175</v>
      </c>
      <c r="Z832" s="27">
        <f t="shared" si="267"/>
        <v>3.1492967705582749E-2</v>
      </c>
      <c r="AC832" s="56">
        <f t="shared" si="275"/>
        <v>2.2458438108306972E-2</v>
      </c>
      <c r="AE832" s="20">
        <f t="shared" si="272"/>
        <v>321768.45</v>
      </c>
      <c r="AF832" s="20">
        <f t="shared" si="273"/>
        <v>1653734793.6000001</v>
      </c>
      <c r="AG832">
        <f t="shared" si="276"/>
        <v>53115508.800000004</v>
      </c>
      <c r="AH832">
        <f t="shared" si="277"/>
        <v>78341458.407079637</v>
      </c>
      <c r="AI832">
        <f t="shared" si="278"/>
        <v>19562331980.880001</v>
      </c>
    </row>
    <row r="833" spans="2:35" x14ac:dyDescent="0.25">
      <c r="B833" s="4">
        <v>2026</v>
      </c>
      <c r="C833" s="4" t="s">
        <v>534</v>
      </c>
      <c r="D833" s="1" t="s">
        <v>242</v>
      </c>
      <c r="E833" s="4" t="str">
        <f t="shared" si="265"/>
        <v>Xcel-CO</v>
      </c>
      <c r="F833" s="4" t="s">
        <v>146</v>
      </c>
      <c r="G833" s="4"/>
      <c r="H833" s="4" t="s">
        <v>538</v>
      </c>
      <c r="I833" s="4"/>
      <c r="J833" s="4" t="s">
        <v>75</v>
      </c>
      <c r="K833" s="5">
        <v>129020</v>
      </c>
      <c r="L833" s="5">
        <f t="shared" si="279"/>
        <v>190294.98525073746</v>
      </c>
      <c r="M833" s="8">
        <v>53338</v>
      </c>
      <c r="N833" s="8">
        <v>40943</v>
      </c>
      <c r="O833" s="8">
        <f>SUMIFS(EIAwtransport!$J$2:$J$675,EIAwtransport!$E$2:$E$675,Program_data!$E833,EIAwtransport!$H$2:$H$675,Program_data!$F833,EIAwtransport!$I$2:$I$675,Program_data!O$2)</f>
        <v>386405636</v>
      </c>
      <c r="P833" s="5">
        <f>SUMIFS(EIAwtransport!$J$2:$J$675,EIAwtransport!$E$2:$E$675,Program_data!$E833,EIAwtransport!$H$2:$H$675,Program_data!$F833,EIAwtransport!$I$2:$I$675,Program_data!P$2)</f>
        <v>90043838</v>
      </c>
      <c r="Q833" s="5">
        <f>SUMIFS(EIAwtransport!$J$2:$J$675,EIAwtransport!$E$2:$E$675,Program_data!$E833,EIAwtransport!$H$2:$H$675,Program_data!$F833,EIAwtransport!$I$2:$I$675,Program_data!Q$2)</f>
        <v>110096</v>
      </c>
      <c r="R833" s="8">
        <f>SUMIFS(EIAwtransport!$J$2:$J$675,EIAwtransport!$E$2:$E$675,Program_data!$E833,EIAwtransport!$I$2:$I$675,Program_data!R$2)</f>
        <v>1224988736</v>
      </c>
      <c r="S833" s="5">
        <f>SUMIFS(EIAwtransport!$J$2:$J$675,EIAwtransport!$E$2:$E$675,Program_data!$E833,EIAwtransport!$I$2:$I$675,Program_data!S$2)</f>
        <v>185460106</v>
      </c>
      <c r="T833" s="5">
        <f>SUMIFS(EIAwtransport!$J$2:$J$675,EIAwtransport!$E$2:$E$675,Program_data!$E833,EIAwtransport!$I$2:$I$675,Program_data!T$2)</f>
        <v>1451821</v>
      </c>
      <c r="U833" s="24">
        <f t="shared" si="269"/>
        <v>6.7150117738355841E-5</v>
      </c>
      <c r="V833" s="24">
        <f t="shared" si="274"/>
        <v>9.9041471590495349E-5</v>
      </c>
      <c r="W833" s="24">
        <f t="shared" si="270"/>
        <v>4.3541624859479523E-5</v>
      </c>
      <c r="X833" s="25">
        <f t="shared" si="271"/>
        <v>2.7760447836989797E-5</v>
      </c>
      <c r="Y833" s="8">
        <f t="shared" si="266"/>
        <v>4.7370290768930179E-2</v>
      </c>
      <c r="Z833" s="27">
        <f t="shared" si="267"/>
        <v>5.8929853829921223E-3</v>
      </c>
      <c r="AC833" s="56">
        <f t="shared" si="275"/>
        <v>5.7542054268285119E-3</v>
      </c>
      <c r="AE833" s="20">
        <f t="shared" si="272"/>
        <v>55273.05</v>
      </c>
      <c r="AF833" s="20">
        <f t="shared" si="273"/>
        <v>1653734793.6000001</v>
      </c>
      <c r="AG833">
        <f t="shared" si="276"/>
        <v>13609029.6</v>
      </c>
      <c r="AH833">
        <f t="shared" si="277"/>
        <v>20072315.044247787</v>
      </c>
      <c r="AI833">
        <f t="shared" si="278"/>
        <v>19562331980.880001</v>
      </c>
    </row>
    <row r="834" spans="2:35" x14ac:dyDescent="0.25">
      <c r="B834" s="4">
        <v>2026</v>
      </c>
      <c r="C834" s="4" t="s">
        <v>534</v>
      </c>
      <c r="D834" s="1" t="s">
        <v>242</v>
      </c>
      <c r="E834" s="4" t="str">
        <f t="shared" ref="E834:E909" si="280">D834&amp;"-"&amp;C834</f>
        <v>Xcel-CO</v>
      </c>
      <c r="F834" s="4" t="s">
        <v>146</v>
      </c>
      <c r="G834" s="4"/>
      <c r="H834" s="4" t="s">
        <v>539</v>
      </c>
      <c r="I834" s="4"/>
      <c r="J834" s="4" t="s">
        <v>155</v>
      </c>
      <c r="K834" s="5">
        <v>0</v>
      </c>
      <c r="L834" s="5">
        <f t="shared" si="279"/>
        <v>0</v>
      </c>
      <c r="M834" s="8">
        <v>69131</v>
      </c>
      <c r="N834" s="8">
        <v>0</v>
      </c>
      <c r="O834" s="8">
        <f>SUMIFS(EIAwtransport!$J$2:$J$675,EIAwtransport!$E$2:$E$675,Program_data!$E834,EIAwtransport!$H$2:$H$675,Program_data!$F834,EIAwtransport!$I$2:$I$675,Program_data!O$2)</f>
        <v>386405636</v>
      </c>
      <c r="P834" s="5">
        <f>SUMIFS(EIAwtransport!$J$2:$J$675,EIAwtransport!$E$2:$E$675,Program_data!$E834,EIAwtransport!$H$2:$H$675,Program_data!$F834,EIAwtransport!$I$2:$I$675,Program_data!P$2)</f>
        <v>90043838</v>
      </c>
      <c r="Q834" s="5">
        <f>SUMIFS(EIAwtransport!$J$2:$J$675,EIAwtransport!$E$2:$E$675,Program_data!$E834,EIAwtransport!$H$2:$H$675,Program_data!$F834,EIAwtransport!$I$2:$I$675,Program_data!Q$2)</f>
        <v>110096</v>
      </c>
      <c r="R834" s="8">
        <f>SUMIFS(EIAwtransport!$J$2:$J$675,EIAwtransport!$E$2:$E$675,Program_data!$E834,EIAwtransport!$I$2:$I$675,Program_data!R$2)</f>
        <v>1224988736</v>
      </c>
      <c r="S834" s="5">
        <f>SUMIFS(EIAwtransport!$J$2:$J$675,EIAwtransport!$E$2:$E$675,Program_data!$E834,EIAwtransport!$I$2:$I$675,Program_data!S$2)</f>
        <v>185460106</v>
      </c>
      <c r="T834" s="5">
        <f>SUMIFS(EIAwtransport!$J$2:$J$675,EIAwtransport!$E$2:$E$675,Program_data!$E834,EIAwtransport!$I$2:$I$675,Program_data!T$2)</f>
        <v>1451821</v>
      </c>
      <c r="U834" s="24">
        <f t="shared" ref="U834:U868" si="281">IFERROR(K834/10.36/S834,"")</f>
        <v>0</v>
      </c>
      <c r="V834" s="24">
        <f t="shared" si="274"/>
        <v>0</v>
      </c>
      <c r="W834" s="24">
        <f t="shared" ref="W834:W868" si="282">IFERROR(M834/R834,"")</f>
        <v>5.643398830403613E-5</v>
      </c>
      <c r="X834" s="25">
        <f t="shared" ref="X834:X868" si="283">IFERROR(M834/S834/10.36,"")</f>
        <v>3.598011772880389E-5</v>
      </c>
      <c r="Y834" s="8">
        <f t="shared" si="266"/>
        <v>6.1396294783211069E-2</v>
      </c>
      <c r="Z834" s="27">
        <f t="shared" si="267"/>
        <v>7.6378561721779674E-3</v>
      </c>
      <c r="AC834" s="56">
        <f t="shared" si="275"/>
        <v>0</v>
      </c>
      <c r="AE834" s="20">
        <f t="shared" si="272"/>
        <v>0</v>
      </c>
      <c r="AF834" s="20">
        <f t="shared" si="273"/>
        <v>1653734793.6000001</v>
      </c>
      <c r="AG834">
        <f t="shared" si="276"/>
        <v>0</v>
      </c>
      <c r="AH834">
        <f t="shared" si="277"/>
        <v>0</v>
      </c>
      <c r="AI834">
        <f t="shared" si="278"/>
        <v>19562331980.880001</v>
      </c>
    </row>
    <row r="835" spans="2:35" x14ac:dyDescent="0.25">
      <c r="B835" s="4">
        <v>2026</v>
      </c>
      <c r="C835" s="4" t="s">
        <v>534</v>
      </c>
      <c r="D835" s="1" t="s">
        <v>242</v>
      </c>
      <c r="E835" s="4" t="str">
        <f t="shared" si="280"/>
        <v>Xcel-CO</v>
      </c>
      <c r="F835" s="4" t="s">
        <v>135</v>
      </c>
      <c r="G835" s="4"/>
      <c r="H835" s="4" t="s">
        <v>482</v>
      </c>
      <c r="I835" s="4"/>
      <c r="J835" s="4" t="s">
        <v>556</v>
      </c>
      <c r="K835" s="5">
        <v>420690</v>
      </c>
      <c r="L835" s="5">
        <f t="shared" si="279"/>
        <v>620486.72566371679</v>
      </c>
      <c r="M835" s="8">
        <v>535794</v>
      </c>
      <c r="N835" s="8">
        <v>166878</v>
      </c>
      <c r="O835" s="8">
        <f>SUMIFS(EIAwtransport!$J$2:$J$675,EIAwtransport!$E$2:$E$675,Program_data!$E835,EIAwtransport!$H$2:$H$675,Program_data!$F835,EIAwtransport!$I$2:$I$675,Program_data!O$2)</f>
        <v>838583100</v>
      </c>
      <c r="P835" s="5">
        <f>SUMIFS(EIAwtransport!$J$2:$J$675,EIAwtransport!$E$2:$E$675,Program_data!$E835,EIAwtransport!$H$2:$H$675,Program_data!$F835,EIAwtransport!$I$2:$I$675,Program_data!P$2)</f>
        <v>95416268</v>
      </c>
      <c r="Q835" s="5">
        <f>SUMIFS(EIAwtransport!$J$2:$J$675,EIAwtransport!$E$2:$E$675,Program_data!$E835,EIAwtransport!$H$2:$H$675,Program_data!$F835,EIAwtransport!$I$2:$I$675,Program_data!Q$2)</f>
        <v>1341725</v>
      </c>
      <c r="R835" s="8">
        <f>SUMIFS(EIAwtransport!$J$2:$J$675,EIAwtransport!$E$2:$E$675,Program_data!$E835,EIAwtransport!$I$2:$I$675,Program_data!R$2)</f>
        <v>1224988736</v>
      </c>
      <c r="S835" s="5">
        <f>SUMIFS(EIAwtransport!$J$2:$J$675,EIAwtransport!$E$2:$E$675,Program_data!$E835,EIAwtransport!$I$2:$I$675,Program_data!S$2)</f>
        <v>185460106</v>
      </c>
      <c r="T835" s="5">
        <f>SUMIFS(EIAwtransport!$J$2:$J$675,EIAwtransport!$E$2:$E$675,Program_data!$E835,EIAwtransport!$I$2:$I$675,Program_data!T$2)</f>
        <v>1451821</v>
      </c>
      <c r="U835" s="24">
        <f t="shared" si="281"/>
        <v>2.1895351907726647E-4</v>
      </c>
      <c r="V835" s="24">
        <f t="shared" si="274"/>
        <v>3.229402936242868E-4</v>
      </c>
      <c r="W835" s="24">
        <f t="shared" si="282"/>
        <v>4.3738687895984052E-4</v>
      </c>
      <c r="X835" s="25">
        <f t="shared" si="283"/>
        <v>2.7886087570535287E-4</v>
      </c>
      <c r="Y835" s="8">
        <f t="shared" si="266"/>
        <v>8.1929321024938412E-2</v>
      </c>
      <c r="Z835" s="27">
        <f t="shared" si="267"/>
        <v>5.9196561743876434E-2</v>
      </c>
      <c r="AC835" s="56">
        <f t="shared" si="275"/>
        <v>1.8762491714559657E-2</v>
      </c>
      <c r="AE835" s="20">
        <f t="shared" si="272"/>
        <v>225285.30000000002</v>
      </c>
      <c r="AF835" s="20">
        <f t="shared" si="273"/>
        <v>1653734793.6000001</v>
      </c>
      <c r="AG835">
        <f t="shared" si="276"/>
        <v>44374381.200000003</v>
      </c>
      <c r="AH835">
        <f t="shared" si="277"/>
        <v>65448939.82300885</v>
      </c>
      <c r="AI835">
        <f t="shared" si="278"/>
        <v>19562331980.880001</v>
      </c>
    </row>
    <row r="836" spans="2:35" x14ac:dyDescent="0.25">
      <c r="B836" s="4">
        <v>2026</v>
      </c>
      <c r="C836" s="4" t="s">
        <v>534</v>
      </c>
      <c r="D836" s="1" t="s">
        <v>242</v>
      </c>
      <c r="E836" s="4" t="str">
        <f t="shared" si="280"/>
        <v>Xcel-CO</v>
      </c>
      <c r="F836" s="4" t="s">
        <v>135</v>
      </c>
      <c r="G836" s="4"/>
      <c r="H836" s="4" t="s">
        <v>484</v>
      </c>
      <c r="I836" s="4"/>
      <c r="J836" s="4" t="s">
        <v>556</v>
      </c>
      <c r="K836" s="5">
        <v>2446410</v>
      </c>
      <c r="L836" s="5">
        <f t="shared" si="279"/>
        <v>3608274.3362831855</v>
      </c>
      <c r="M836" s="8">
        <v>1361179</v>
      </c>
      <c r="N836" s="8">
        <v>0</v>
      </c>
      <c r="O836" s="8">
        <f>SUMIFS(EIAwtransport!$J$2:$J$675,EIAwtransport!$E$2:$E$675,Program_data!$E836,EIAwtransport!$H$2:$H$675,Program_data!$F836,EIAwtransport!$I$2:$I$675,Program_data!O$2)</f>
        <v>838583100</v>
      </c>
      <c r="P836" s="5">
        <f>SUMIFS(EIAwtransport!$J$2:$J$675,EIAwtransport!$E$2:$E$675,Program_data!$E836,EIAwtransport!$H$2:$H$675,Program_data!$F836,EIAwtransport!$I$2:$I$675,Program_data!P$2)</f>
        <v>95416268</v>
      </c>
      <c r="Q836" s="5">
        <f>SUMIFS(EIAwtransport!$J$2:$J$675,EIAwtransport!$E$2:$E$675,Program_data!$E836,EIAwtransport!$H$2:$H$675,Program_data!$F836,EIAwtransport!$I$2:$I$675,Program_data!Q$2)</f>
        <v>1341725</v>
      </c>
      <c r="R836" s="8">
        <f>SUMIFS(EIAwtransport!$J$2:$J$675,EIAwtransport!$E$2:$E$675,Program_data!$E836,EIAwtransport!$I$2:$I$675,Program_data!R$2)</f>
        <v>1224988736</v>
      </c>
      <c r="S836" s="5">
        <f>SUMIFS(EIAwtransport!$J$2:$J$675,EIAwtransport!$E$2:$E$675,Program_data!$E836,EIAwtransport!$I$2:$I$675,Program_data!S$2)</f>
        <v>185460106</v>
      </c>
      <c r="T836" s="5">
        <f>SUMIFS(EIAwtransport!$J$2:$J$675,EIAwtransport!$E$2:$E$675,Program_data!$E836,EIAwtransport!$I$2:$I$675,Program_data!T$2)</f>
        <v>1451821</v>
      </c>
      <c r="U836" s="24">
        <f t="shared" si="281"/>
        <v>1.273265536632236E-3</v>
      </c>
      <c r="V836" s="24">
        <f t="shared" si="274"/>
        <v>1.8779727678941535E-3</v>
      </c>
      <c r="W836" s="24">
        <f t="shared" si="282"/>
        <v>1.111176747995828E-3</v>
      </c>
      <c r="X836" s="25">
        <f t="shared" si="283"/>
        <v>7.0844311047107012E-4</v>
      </c>
      <c r="Y836" s="8">
        <f t="shared" ref="Y836:Y899" si="284">IFERROR(M836/SUMIFS($K$3:$K$1492,$E$3:$E$1492,E836,$B$3:$B$1492,B836,$F$3:$F$1492,F836,$A$3:$A$1492,""),"")</f>
        <v>0.20814057504078928</v>
      </c>
      <c r="Z836" s="27">
        <f t="shared" ref="Z836:Z899" si="285">IFERROR(M836/SUMIFS($K$3:$K$1492,$E$3:$E$1492,E836,$B$3:$B$1492,B836,$A$3:$A$1492,""),"")</f>
        <v>0.15038824010341284</v>
      </c>
      <c r="AC836" s="56">
        <f t="shared" si="275"/>
        <v>0.10910824444464068</v>
      </c>
      <c r="AE836" s="20">
        <f t="shared" si="272"/>
        <v>0</v>
      </c>
      <c r="AF836" s="20">
        <f t="shared" si="273"/>
        <v>1653734793.6000001</v>
      </c>
      <c r="AG836">
        <f t="shared" si="276"/>
        <v>258047326.80000001</v>
      </c>
      <c r="AH836">
        <f t="shared" si="277"/>
        <v>380600776.99115044</v>
      </c>
      <c r="AI836">
        <f t="shared" si="278"/>
        <v>19562331980.880001</v>
      </c>
    </row>
    <row r="837" spans="2:35" x14ac:dyDescent="0.25">
      <c r="B837" s="4">
        <v>2026</v>
      </c>
      <c r="C837" s="4" t="s">
        <v>534</v>
      </c>
      <c r="D837" s="1" t="s">
        <v>242</v>
      </c>
      <c r="E837" s="4" t="str">
        <f t="shared" si="280"/>
        <v>Xcel-CO</v>
      </c>
      <c r="F837" s="4" t="s">
        <v>135</v>
      </c>
      <c r="G837" s="4"/>
      <c r="H837" s="4" t="s">
        <v>278</v>
      </c>
      <c r="I837" s="4"/>
      <c r="J837" s="4" t="s">
        <v>556</v>
      </c>
      <c r="K837" s="5">
        <v>475190</v>
      </c>
      <c r="L837" s="5">
        <f t="shared" si="279"/>
        <v>700870.20648967545</v>
      </c>
      <c r="M837" s="8">
        <v>3622918</v>
      </c>
      <c r="N837" s="8">
        <v>511401</v>
      </c>
      <c r="O837" s="8">
        <f>SUMIFS(EIAwtransport!$J$2:$J$675,EIAwtransport!$E$2:$E$675,Program_data!$E837,EIAwtransport!$H$2:$H$675,Program_data!$F837,EIAwtransport!$I$2:$I$675,Program_data!O$2)</f>
        <v>838583100</v>
      </c>
      <c r="P837" s="5">
        <f>SUMIFS(EIAwtransport!$J$2:$J$675,EIAwtransport!$E$2:$E$675,Program_data!$E837,EIAwtransport!$H$2:$H$675,Program_data!$F837,EIAwtransport!$I$2:$I$675,Program_data!P$2)</f>
        <v>95416268</v>
      </c>
      <c r="Q837" s="5">
        <f>SUMIFS(EIAwtransport!$J$2:$J$675,EIAwtransport!$E$2:$E$675,Program_data!$E837,EIAwtransport!$H$2:$H$675,Program_data!$F837,EIAwtransport!$I$2:$I$675,Program_data!Q$2)</f>
        <v>1341725</v>
      </c>
      <c r="R837" s="8">
        <f>SUMIFS(EIAwtransport!$J$2:$J$675,EIAwtransport!$E$2:$E$675,Program_data!$E837,EIAwtransport!$I$2:$I$675,Program_data!R$2)</f>
        <v>1224988736</v>
      </c>
      <c r="S837" s="5">
        <f>SUMIFS(EIAwtransport!$J$2:$J$675,EIAwtransport!$E$2:$E$675,Program_data!$E837,EIAwtransport!$I$2:$I$675,Program_data!S$2)</f>
        <v>185460106</v>
      </c>
      <c r="T837" s="5">
        <f>SUMIFS(EIAwtransport!$J$2:$J$675,EIAwtransport!$E$2:$E$675,Program_data!$E837,EIAwtransport!$I$2:$I$675,Program_data!T$2)</f>
        <v>1451821</v>
      </c>
      <c r="U837" s="24">
        <f t="shared" si="281"/>
        <v>2.4731874475344376E-4</v>
      </c>
      <c r="V837" s="24">
        <f t="shared" si="274"/>
        <v>3.6477690966584615E-4</v>
      </c>
      <c r="W837" s="24">
        <f t="shared" si="282"/>
        <v>2.9575112762506251E-3</v>
      </c>
      <c r="X837" s="25">
        <f t="shared" si="283"/>
        <v>1.8855942509410067E-3</v>
      </c>
      <c r="Y837" s="8">
        <f t="shared" si="284"/>
        <v>0.55398756213960554</v>
      </c>
      <c r="Z837" s="27">
        <f t="shared" si="285"/>
        <v>0.40027377887770549</v>
      </c>
      <c r="AC837" s="56">
        <f t="shared" si="275"/>
        <v>2.1193155144742216E-2</v>
      </c>
      <c r="AE837" s="20">
        <f t="shared" si="272"/>
        <v>690391.35000000009</v>
      </c>
      <c r="AF837" s="20">
        <f t="shared" si="273"/>
        <v>1653734793.6000001</v>
      </c>
      <c r="AG837">
        <f t="shared" si="276"/>
        <v>50123041.200000003</v>
      </c>
      <c r="AH837">
        <f t="shared" si="277"/>
        <v>73927789.380530968</v>
      </c>
      <c r="AI837">
        <f t="shared" si="278"/>
        <v>19562331980.880001</v>
      </c>
    </row>
    <row r="838" spans="2:35" x14ac:dyDescent="0.25">
      <c r="B838" s="4">
        <v>2026</v>
      </c>
      <c r="C838" s="4" t="s">
        <v>534</v>
      </c>
      <c r="D838" s="1" t="s">
        <v>242</v>
      </c>
      <c r="E838" s="4" t="str">
        <f t="shared" si="280"/>
        <v>Xcel-CO</v>
      </c>
      <c r="F838" s="4" t="s">
        <v>135</v>
      </c>
      <c r="G838" s="4"/>
      <c r="H838" s="4" t="s">
        <v>540</v>
      </c>
      <c r="I838" s="4"/>
      <c r="J838" s="4" t="s">
        <v>556</v>
      </c>
      <c r="K838" s="5">
        <v>1161760</v>
      </c>
      <c r="L838" s="5">
        <f t="shared" si="279"/>
        <v>1713510.3244837758</v>
      </c>
      <c r="M838" s="8">
        <v>1736837</v>
      </c>
      <c r="N838" s="8">
        <v>1702860</v>
      </c>
      <c r="O838" s="8">
        <f>SUMIFS(EIAwtransport!$J$2:$J$675,EIAwtransport!$E$2:$E$675,Program_data!$E838,EIAwtransport!$H$2:$H$675,Program_data!$F838,EIAwtransport!$I$2:$I$675,Program_data!O$2)</f>
        <v>838583100</v>
      </c>
      <c r="P838" s="5">
        <f>SUMIFS(EIAwtransport!$J$2:$J$675,EIAwtransport!$E$2:$E$675,Program_data!$E838,EIAwtransport!$H$2:$H$675,Program_data!$F838,EIAwtransport!$I$2:$I$675,Program_data!P$2)</f>
        <v>95416268</v>
      </c>
      <c r="Q838" s="5">
        <f>SUMIFS(EIAwtransport!$J$2:$J$675,EIAwtransport!$E$2:$E$675,Program_data!$E838,EIAwtransport!$H$2:$H$675,Program_data!$F838,EIAwtransport!$I$2:$I$675,Program_data!Q$2)</f>
        <v>1341725</v>
      </c>
      <c r="R838" s="8">
        <f>SUMIFS(EIAwtransport!$J$2:$J$675,EIAwtransport!$E$2:$E$675,Program_data!$E838,EIAwtransport!$I$2:$I$675,Program_data!R$2)</f>
        <v>1224988736</v>
      </c>
      <c r="S838" s="5">
        <f>SUMIFS(EIAwtransport!$J$2:$J$675,EIAwtransport!$E$2:$E$675,Program_data!$E838,EIAwtransport!$I$2:$I$675,Program_data!S$2)</f>
        <v>185460106</v>
      </c>
      <c r="T838" s="5">
        <f>SUMIFS(EIAwtransport!$J$2:$J$675,EIAwtransport!$E$2:$E$675,Program_data!$E838,EIAwtransport!$I$2:$I$675,Program_data!T$2)</f>
        <v>1451821</v>
      </c>
      <c r="U838" s="24">
        <f t="shared" si="281"/>
        <v>6.0465292810193982E-4</v>
      </c>
      <c r="V838" s="24">
        <f t="shared" si="274"/>
        <v>8.9181847802646006E-4</v>
      </c>
      <c r="W838" s="24">
        <f t="shared" si="282"/>
        <v>1.4178391596247298E-3</v>
      </c>
      <c r="X838" s="25">
        <f t="shared" si="283"/>
        <v>9.0395914619696737E-4</v>
      </c>
      <c r="Y838" s="8">
        <f t="shared" si="284"/>
        <v>0.26558318335216702</v>
      </c>
      <c r="Z838" s="27">
        <f t="shared" si="285"/>
        <v>0.19189236667366397</v>
      </c>
      <c r="AC838" s="56">
        <f t="shared" si="275"/>
        <v>5.1813716452273235E-2</v>
      </c>
      <c r="AE838" s="20">
        <f t="shared" si="272"/>
        <v>2298861</v>
      </c>
      <c r="AF838" s="20">
        <f t="shared" si="273"/>
        <v>1653734793.6000001</v>
      </c>
      <c r="AG838">
        <f t="shared" si="276"/>
        <v>122542444.80000001</v>
      </c>
      <c r="AH838">
        <f t="shared" si="277"/>
        <v>180741069.02654868</v>
      </c>
      <c r="AI838">
        <f t="shared" si="278"/>
        <v>19562331980.880001</v>
      </c>
    </row>
    <row r="839" spans="2:35" x14ac:dyDescent="0.25">
      <c r="B839" s="4">
        <v>2026</v>
      </c>
      <c r="C839" s="4" t="s">
        <v>534</v>
      </c>
      <c r="D839" s="1" t="s">
        <v>242</v>
      </c>
      <c r="E839" s="4" t="str">
        <f t="shared" si="280"/>
        <v>Xcel-CO</v>
      </c>
      <c r="F839" s="4" t="s">
        <v>135</v>
      </c>
      <c r="G839" s="4"/>
      <c r="H839" s="4" t="s">
        <v>541</v>
      </c>
      <c r="I839" s="4"/>
      <c r="J839" s="4" t="s">
        <v>556</v>
      </c>
      <c r="K839" s="5">
        <v>260540</v>
      </c>
      <c r="L839" s="5">
        <f t="shared" si="279"/>
        <v>384277.2861356932</v>
      </c>
      <c r="M839" s="8">
        <v>454878</v>
      </c>
      <c r="N839" s="8">
        <v>454878</v>
      </c>
      <c r="O839" s="8">
        <f>SUMIFS(EIAwtransport!$J$2:$J$675,EIAwtransport!$E$2:$E$675,Program_data!$E839,EIAwtransport!$H$2:$H$675,Program_data!$F839,EIAwtransport!$I$2:$I$675,Program_data!O$2)</f>
        <v>838583100</v>
      </c>
      <c r="P839" s="5">
        <f>SUMIFS(EIAwtransport!$J$2:$J$675,EIAwtransport!$E$2:$E$675,Program_data!$E839,EIAwtransport!$H$2:$H$675,Program_data!$F839,EIAwtransport!$I$2:$I$675,Program_data!P$2)</f>
        <v>95416268</v>
      </c>
      <c r="Q839" s="5">
        <f>SUMIFS(EIAwtransport!$J$2:$J$675,EIAwtransport!$E$2:$E$675,Program_data!$E839,EIAwtransport!$H$2:$H$675,Program_data!$F839,EIAwtransport!$I$2:$I$675,Program_data!Q$2)</f>
        <v>1341725</v>
      </c>
      <c r="R839" s="8">
        <f>SUMIFS(EIAwtransport!$J$2:$J$675,EIAwtransport!$E$2:$E$675,Program_data!$E839,EIAwtransport!$I$2:$I$675,Program_data!R$2)</f>
        <v>1224988736</v>
      </c>
      <c r="S839" s="5">
        <f>SUMIFS(EIAwtransport!$J$2:$J$675,EIAwtransport!$E$2:$E$675,Program_data!$E839,EIAwtransport!$I$2:$I$675,Program_data!S$2)</f>
        <v>185460106</v>
      </c>
      <c r="T839" s="5">
        <f>SUMIFS(EIAwtransport!$J$2:$J$675,EIAwtransport!$E$2:$E$675,Program_data!$E839,EIAwtransport!$I$2:$I$675,Program_data!T$2)</f>
        <v>1451821</v>
      </c>
      <c r="U839" s="24">
        <f t="shared" si="281"/>
        <v>1.3560139261782072E-4</v>
      </c>
      <c r="V839" s="24">
        <f t="shared" si="274"/>
        <v>2.0000205400858513E-4</v>
      </c>
      <c r="W839" s="24">
        <f t="shared" si="282"/>
        <v>3.7133239403109089E-4</v>
      </c>
      <c r="X839" s="25">
        <f t="shared" si="283"/>
        <v>2.3674710321336094E-4</v>
      </c>
      <c r="Y839" s="8">
        <f t="shared" si="284"/>
        <v>6.9556295309730856E-2</v>
      </c>
      <c r="Z839" s="27">
        <f t="shared" si="285"/>
        <v>5.0256653887372806E-2</v>
      </c>
      <c r="AC839" s="56">
        <f t="shared" si="275"/>
        <v>1.1619909176142463E-2</v>
      </c>
      <c r="AE839" s="20">
        <f t="shared" si="272"/>
        <v>614085.30000000005</v>
      </c>
      <c r="AF839" s="20">
        <f t="shared" si="273"/>
        <v>1653734793.6000001</v>
      </c>
      <c r="AG839">
        <f t="shared" si="276"/>
        <v>27481759.199999999</v>
      </c>
      <c r="AH839">
        <f t="shared" si="277"/>
        <v>40533568.14159292</v>
      </c>
      <c r="AI839">
        <f t="shared" si="278"/>
        <v>19562331980.880001</v>
      </c>
    </row>
    <row r="840" spans="2:35" x14ac:dyDescent="0.25">
      <c r="B840" s="4">
        <v>2026</v>
      </c>
      <c r="C840" s="4" t="s">
        <v>534</v>
      </c>
      <c r="D840" s="1" t="s">
        <v>242</v>
      </c>
      <c r="E840" s="4" t="str">
        <f t="shared" si="280"/>
        <v>Xcel-CO</v>
      </c>
      <c r="F840" s="4" t="s">
        <v>135</v>
      </c>
      <c r="G840" s="4"/>
      <c r="H840" s="4" t="s">
        <v>486</v>
      </c>
      <c r="I840" s="4"/>
      <c r="J840" s="4" t="s">
        <v>556</v>
      </c>
      <c r="K840" s="5">
        <v>778290</v>
      </c>
      <c r="L840" s="5">
        <f t="shared" si="279"/>
        <v>1147920.3539823007</v>
      </c>
      <c r="M840" s="8">
        <v>919690</v>
      </c>
      <c r="N840" s="8">
        <v>801141</v>
      </c>
      <c r="O840" s="8">
        <f>SUMIFS(EIAwtransport!$J$2:$J$675,EIAwtransport!$E$2:$E$675,Program_data!$E840,EIAwtransport!$H$2:$H$675,Program_data!$F840,EIAwtransport!$I$2:$I$675,Program_data!O$2)</f>
        <v>838583100</v>
      </c>
      <c r="P840" s="5">
        <f>SUMIFS(EIAwtransport!$J$2:$J$675,EIAwtransport!$E$2:$E$675,Program_data!$E840,EIAwtransport!$H$2:$H$675,Program_data!$F840,EIAwtransport!$I$2:$I$675,Program_data!P$2)</f>
        <v>95416268</v>
      </c>
      <c r="Q840" s="5">
        <f>SUMIFS(EIAwtransport!$J$2:$J$675,EIAwtransport!$E$2:$E$675,Program_data!$E840,EIAwtransport!$H$2:$H$675,Program_data!$F840,EIAwtransport!$I$2:$I$675,Program_data!Q$2)</f>
        <v>1341725</v>
      </c>
      <c r="R840" s="8">
        <f>SUMIFS(EIAwtransport!$J$2:$J$675,EIAwtransport!$E$2:$E$675,Program_data!$E840,EIAwtransport!$I$2:$I$675,Program_data!R$2)</f>
        <v>1224988736</v>
      </c>
      <c r="S840" s="5">
        <f>SUMIFS(EIAwtransport!$J$2:$J$675,EIAwtransport!$E$2:$E$675,Program_data!$E840,EIAwtransport!$I$2:$I$675,Program_data!S$2)</f>
        <v>185460106</v>
      </c>
      <c r="T840" s="5">
        <f>SUMIFS(EIAwtransport!$J$2:$J$675,EIAwtransport!$E$2:$E$675,Program_data!$E840,EIAwtransport!$I$2:$I$675,Program_data!T$2)</f>
        <v>1451821</v>
      </c>
      <c r="U840" s="24">
        <f t="shared" si="281"/>
        <v>4.0507103654150497E-4</v>
      </c>
      <c r="V840" s="24">
        <f t="shared" si="274"/>
        <v>5.974499064033995E-4</v>
      </c>
      <c r="W840" s="24">
        <f t="shared" si="282"/>
        <v>7.507742503846174E-4</v>
      </c>
      <c r="X840" s="25">
        <f t="shared" si="283"/>
        <v>4.7866448444263283E-4</v>
      </c>
      <c r="Y840" s="8">
        <f t="shared" si="284"/>
        <v>0.14063161822160311</v>
      </c>
      <c r="Z840" s="27">
        <f t="shared" si="285"/>
        <v>0.10161085392935665</v>
      </c>
      <c r="AC840" s="56">
        <f t="shared" si="275"/>
        <v>3.4711211762876788E-2</v>
      </c>
      <c r="AE840" s="20">
        <f t="shared" si="272"/>
        <v>1081540.3500000001</v>
      </c>
      <c r="AF840" s="20">
        <f t="shared" si="273"/>
        <v>1653734793.6000001</v>
      </c>
      <c r="AG840">
        <f t="shared" si="276"/>
        <v>82094029.200000003</v>
      </c>
      <c r="AH840">
        <f t="shared" si="277"/>
        <v>121082638.93805309</v>
      </c>
      <c r="AI840">
        <f t="shared" si="278"/>
        <v>19562331980.880001</v>
      </c>
    </row>
    <row r="841" spans="2:35" x14ac:dyDescent="0.25">
      <c r="B841" s="4">
        <v>2026</v>
      </c>
      <c r="C841" s="4" t="s">
        <v>534</v>
      </c>
      <c r="D841" s="1" t="s">
        <v>242</v>
      </c>
      <c r="E841" s="4" t="str">
        <f t="shared" si="280"/>
        <v>Xcel-CO</v>
      </c>
      <c r="F841" s="4" t="s">
        <v>135</v>
      </c>
      <c r="G841" s="4"/>
      <c r="H841" s="11" t="s">
        <v>542</v>
      </c>
      <c r="I841" s="4"/>
      <c r="J841" s="4" t="s">
        <v>32</v>
      </c>
      <c r="K841" s="5">
        <v>292270</v>
      </c>
      <c r="L841" s="5">
        <f t="shared" si="279"/>
        <v>431076.69616519171</v>
      </c>
      <c r="M841" s="8">
        <v>223693</v>
      </c>
      <c r="N841" s="8">
        <v>0</v>
      </c>
      <c r="O841" s="8">
        <f>SUMIFS(EIAwtransport!$J$2:$J$675,EIAwtransport!$E$2:$E$675,Program_data!$E841,EIAwtransport!$H$2:$H$675,Program_data!$F841,EIAwtransport!$I$2:$I$675,Program_data!O$2)</f>
        <v>838583100</v>
      </c>
      <c r="P841" s="5">
        <f>SUMIFS(EIAwtransport!$J$2:$J$675,EIAwtransport!$E$2:$E$675,Program_data!$E841,EIAwtransport!$H$2:$H$675,Program_data!$F841,EIAwtransport!$I$2:$I$675,Program_data!P$2)</f>
        <v>95416268</v>
      </c>
      <c r="Q841" s="5">
        <f>SUMIFS(EIAwtransport!$J$2:$J$675,EIAwtransport!$E$2:$E$675,Program_data!$E841,EIAwtransport!$H$2:$H$675,Program_data!$F841,EIAwtransport!$I$2:$I$675,Program_data!Q$2)</f>
        <v>1341725</v>
      </c>
      <c r="R841" s="8">
        <f>SUMIFS(EIAwtransport!$J$2:$J$675,EIAwtransport!$E$2:$E$675,Program_data!$E841,EIAwtransport!$I$2:$I$675,Program_data!R$2)</f>
        <v>1224988736</v>
      </c>
      <c r="S841" s="5">
        <f>SUMIFS(EIAwtransport!$J$2:$J$675,EIAwtransport!$E$2:$E$675,Program_data!$E841,EIAwtransport!$I$2:$I$675,Program_data!S$2)</f>
        <v>185460106</v>
      </c>
      <c r="T841" s="5">
        <f>SUMIFS(EIAwtransport!$J$2:$J$675,EIAwtransport!$E$2:$E$675,Program_data!$E841,EIAwtransport!$I$2:$I$675,Program_data!T$2)</f>
        <v>1451821</v>
      </c>
      <c r="U841" s="24">
        <f t="shared" si="281"/>
        <v>1.5211567905277679E-4</v>
      </c>
      <c r="V841" s="24">
        <f t="shared" si="274"/>
        <v>2.2435940863241413E-4</v>
      </c>
      <c r="W841" s="24">
        <f t="shared" si="282"/>
        <v>1.8260820971336669E-4</v>
      </c>
      <c r="X841" s="25">
        <f t="shared" si="283"/>
        <v>1.1642389774644266E-4</v>
      </c>
      <c r="Y841" s="8">
        <f t="shared" si="284"/>
        <v>3.420533938049241E-2</v>
      </c>
      <c r="Z841" s="27">
        <f t="shared" si="285"/>
        <v>2.4714454596678856E-2</v>
      </c>
      <c r="AC841" s="56">
        <f t="shared" si="275"/>
        <v>1.3035045885127649E-2</v>
      </c>
      <c r="AE841" s="20">
        <f t="shared" si="272"/>
        <v>0</v>
      </c>
      <c r="AF841" s="20">
        <f t="shared" si="273"/>
        <v>1653734793.6000001</v>
      </c>
      <c r="AG841">
        <f t="shared" si="276"/>
        <v>30828639.600000001</v>
      </c>
      <c r="AH841">
        <f t="shared" si="277"/>
        <v>45469969.911504425</v>
      </c>
      <c r="AI841">
        <f t="shared" si="278"/>
        <v>19562331980.880001</v>
      </c>
    </row>
    <row r="842" spans="2:35" x14ac:dyDescent="0.25">
      <c r="B842" s="4">
        <v>2026</v>
      </c>
      <c r="C842" s="4" t="s">
        <v>534</v>
      </c>
      <c r="D842" s="1" t="s">
        <v>242</v>
      </c>
      <c r="E842" s="4" t="str">
        <f t="shared" si="280"/>
        <v>Xcel-CO</v>
      </c>
      <c r="F842" s="4" t="s">
        <v>135</v>
      </c>
      <c r="G842" s="4"/>
      <c r="H842" s="4" t="s">
        <v>487</v>
      </c>
      <c r="I842" s="4"/>
      <c r="J842" s="4" t="s">
        <v>42</v>
      </c>
      <c r="K842" s="5">
        <v>700300</v>
      </c>
      <c r="L842" s="5">
        <f t="shared" si="279"/>
        <v>1032890.8554572271</v>
      </c>
      <c r="M842" s="8">
        <v>776773</v>
      </c>
      <c r="N842" s="8">
        <v>211980</v>
      </c>
      <c r="O842" s="8">
        <f>SUMIFS(EIAwtransport!$J$2:$J$675,EIAwtransport!$E$2:$E$675,Program_data!$E842,EIAwtransport!$H$2:$H$675,Program_data!$F842,EIAwtransport!$I$2:$I$675,Program_data!O$2)</f>
        <v>838583100</v>
      </c>
      <c r="P842" s="5">
        <f>SUMIFS(EIAwtransport!$J$2:$J$675,EIAwtransport!$E$2:$E$675,Program_data!$E842,EIAwtransport!$H$2:$H$675,Program_data!$F842,EIAwtransport!$I$2:$I$675,Program_data!P$2)</f>
        <v>95416268</v>
      </c>
      <c r="Q842" s="5">
        <f>SUMIFS(EIAwtransport!$J$2:$J$675,EIAwtransport!$E$2:$E$675,Program_data!$E842,EIAwtransport!$H$2:$H$675,Program_data!$F842,EIAwtransport!$I$2:$I$675,Program_data!Q$2)</f>
        <v>1341725</v>
      </c>
      <c r="R842" s="8">
        <f>SUMIFS(EIAwtransport!$J$2:$J$675,EIAwtransport!$E$2:$E$675,Program_data!$E842,EIAwtransport!$I$2:$I$675,Program_data!R$2)</f>
        <v>1224988736</v>
      </c>
      <c r="S842" s="5">
        <f>SUMIFS(EIAwtransport!$J$2:$J$675,EIAwtransport!$E$2:$E$675,Program_data!$E842,EIAwtransport!$I$2:$I$675,Program_data!S$2)</f>
        <v>185460106</v>
      </c>
      <c r="T842" s="5">
        <f>SUMIFS(EIAwtransport!$J$2:$J$675,EIAwtransport!$E$2:$E$675,Program_data!$E842,EIAwtransport!$I$2:$I$675,Program_data!T$2)</f>
        <v>1451821</v>
      </c>
      <c r="U842" s="24">
        <f t="shared" si="281"/>
        <v>3.6448013836746704E-4</v>
      </c>
      <c r="V842" s="24">
        <f t="shared" si="274"/>
        <v>5.3758132502576257E-4</v>
      </c>
      <c r="W842" s="24">
        <f t="shared" si="282"/>
        <v>6.3410623883483608E-4</v>
      </c>
      <c r="X842" s="25">
        <f t="shared" si="283"/>
        <v>4.0428149438827992E-4</v>
      </c>
      <c r="Y842" s="8">
        <f t="shared" si="284"/>
        <v>0.11877789687921941</v>
      </c>
      <c r="Z842" s="27">
        <f t="shared" si="285"/>
        <v>8.5820839455977724E-2</v>
      </c>
      <c r="AC842" s="56">
        <f t="shared" si="275"/>
        <v>3.1232910094621043E-2</v>
      </c>
      <c r="AE842" s="20">
        <f t="shared" si="272"/>
        <v>286173</v>
      </c>
      <c r="AF842" s="20">
        <f t="shared" si="273"/>
        <v>1653734793.6000001</v>
      </c>
      <c r="AG842">
        <f t="shared" si="276"/>
        <v>73867644</v>
      </c>
      <c r="AH842">
        <f t="shared" si="277"/>
        <v>108949327.43362832</v>
      </c>
      <c r="AI842">
        <f t="shared" si="278"/>
        <v>19562331980.880001</v>
      </c>
    </row>
    <row r="843" spans="2:35" x14ac:dyDescent="0.25">
      <c r="B843" s="4">
        <v>2026</v>
      </c>
      <c r="C843" s="4" t="s">
        <v>534</v>
      </c>
      <c r="D843" s="1" t="s">
        <v>242</v>
      </c>
      <c r="E843" s="4" t="str">
        <f t="shared" si="280"/>
        <v>Xcel-CO</v>
      </c>
      <c r="F843" s="4" t="s">
        <v>135</v>
      </c>
      <c r="G843" s="4"/>
      <c r="H843" s="4" t="s">
        <v>488</v>
      </c>
      <c r="I843" s="4"/>
      <c r="J843" s="4" t="s">
        <v>142</v>
      </c>
      <c r="K843" s="5">
        <v>4260</v>
      </c>
      <c r="L843" s="5">
        <f t="shared" si="279"/>
        <v>6283.1858407079644</v>
      </c>
      <c r="M843" s="8">
        <v>27581</v>
      </c>
      <c r="N843" s="8">
        <v>5836</v>
      </c>
      <c r="O843" s="8">
        <f>SUMIFS(EIAwtransport!$J$2:$J$675,EIAwtransport!$E$2:$E$675,Program_data!$E843,EIAwtransport!$H$2:$H$675,Program_data!$F843,EIAwtransport!$I$2:$I$675,Program_data!O$2)</f>
        <v>838583100</v>
      </c>
      <c r="P843" s="5">
        <f>SUMIFS(EIAwtransport!$J$2:$J$675,EIAwtransport!$E$2:$E$675,Program_data!$E843,EIAwtransport!$H$2:$H$675,Program_data!$F843,EIAwtransport!$I$2:$I$675,Program_data!P$2)</f>
        <v>95416268</v>
      </c>
      <c r="Q843" s="5">
        <f>SUMIFS(EIAwtransport!$J$2:$J$675,EIAwtransport!$E$2:$E$675,Program_data!$E843,EIAwtransport!$H$2:$H$675,Program_data!$F843,EIAwtransport!$I$2:$I$675,Program_data!Q$2)</f>
        <v>1341725</v>
      </c>
      <c r="R843" s="8">
        <f>SUMIFS(EIAwtransport!$J$2:$J$675,EIAwtransport!$E$2:$E$675,Program_data!$E843,EIAwtransport!$I$2:$I$675,Program_data!R$2)</f>
        <v>1224988736</v>
      </c>
      <c r="S843" s="5">
        <f>SUMIFS(EIAwtransport!$J$2:$J$675,EIAwtransport!$E$2:$E$675,Program_data!$E843,EIAwtransport!$I$2:$I$675,Program_data!S$2)</f>
        <v>185460106</v>
      </c>
      <c r="T843" s="5">
        <f>SUMIFS(EIAwtransport!$J$2:$J$675,EIAwtransport!$E$2:$E$675,Program_data!$E843,EIAwtransport!$I$2:$I$675,Program_data!T$2)</f>
        <v>1451821</v>
      </c>
      <c r="U843" s="24">
        <f t="shared" si="281"/>
        <v>2.2171717684498209E-6</v>
      </c>
      <c r="V843" s="24">
        <f t="shared" si="274"/>
        <v>3.2701648502209746E-6</v>
      </c>
      <c r="W843" s="24">
        <f t="shared" si="282"/>
        <v>2.2515309071380719E-5</v>
      </c>
      <c r="X843" s="25">
        <f t="shared" si="283"/>
        <v>1.435488604357148E-5</v>
      </c>
      <c r="Y843" s="8">
        <f t="shared" si="284"/>
        <v>4.2174653004491023E-3</v>
      </c>
      <c r="Z843" s="27">
        <f t="shared" si="285"/>
        <v>3.0472539249373006E-3</v>
      </c>
      <c r="AC843" s="56">
        <f t="shared" si="275"/>
        <v>1.8999314151518727E-4</v>
      </c>
      <c r="AE843" s="20">
        <f t="shared" si="272"/>
        <v>7878.6</v>
      </c>
      <c r="AF843" s="20">
        <f t="shared" si="273"/>
        <v>1653734793.6000001</v>
      </c>
      <c r="AG843">
        <f t="shared" si="276"/>
        <v>449344.8</v>
      </c>
      <c r="AH843">
        <f t="shared" si="277"/>
        <v>662750.44247787609</v>
      </c>
      <c r="AI843">
        <f t="shared" si="278"/>
        <v>19562331980.880001</v>
      </c>
    </row>
    <row r="844" spans="2:35" x14ac:dyDescent="0.25">
      <c r="B844" s="4">
        <v>2026</v>
      </c>
      <c r="C844" s="4" t="s">
        <v>534</v>
      </c>
      <c r="D844" s="1" t="s">
        <v>242</v>
      </c>
      <c r="E844" s="4" t="str">
        <f t="shared" si="280"/>
        <v>Xcel-CO</v>
      </c>
      <c r="F844" s="4" t="s">
        <v>135</v>
      </c>
      <c r="G844" s="4"/>
      <c r="H844" s="4" t="s">
        <v>543</v>
      </c>
      <c r="I844" s="4"/>
      <c r="J844" s="4" t="s">
        <v>155</v>
      </c>
      <c r="K844" s="5">
        <v>0</v>
      </c>
      <c r="L844" s="5">
        <f t="shared" si="279"/>
        <v>0</v>
      </c>
      <c r="M844" s="8">
        <v>135700</v>
      </c>
      <c r="N844" s="8">
        <v>0</v>
      </c>
      <c r="O844" s="8">
        <f>SUMIFS(EIAwtransport!$J$2:$J$675,EIAwtransport!$E$2:$E$675,Program_data!$E844,EIAwtransport!$H$2:$H$675,Program_data!$F844,EIAwtransport!$I$2:$I$675,Program_data!O$2)</f>
        <v>838583100</v>
      </c>
      <c r="P844" s="5">
        <f>SUMIFS(EIAwtransport!$J$2:$J$675,EIAwtransport!$E$2:$E$675,Program_data!$E844,EIAwtransport!$H$2:$H$675,Program_data!$F844,EIAwtransport!$I$2:$I$675,Program_data!P$2)</f>
        <v>95416268</v>
      </c>
      <c r="Q844" s="5">
        <f>SUMIFS(EIAwtransport!$J$2:$J$675,EIAwtransport!$E$2:$E$675,Program_data!$E844,EIAwtransport!$H$2:$H$675,Program_data!$F844,EIAwtransport!$I$2:$I$675,Program_data!Q$2)</f>
        <v>1341725</v>
      </c>
      <c r="R844" s="8">
        <f>SUMIFS(EIAwtransport!$J$2:$J$675,EIAwtransport!$E$2:$E$675,Program_data!$E844,EIAwtransport!$I$2:$I$675,Program_data!R$2)</f>
        <v>1224988736</v>
      </c>
      <c r="S844" s="5">
        <f>SUMIFS(EIAwtransport!$J$2:$J$675,EIAwtransport!$E$2:$E$675,Program_data!$E844,EIAwtransport!$I$2:$I$675,Program_data!S$2)</f>
        <v>185460106</v>
      </c>
      <c r="T844" s="5">
        <f>SUMIFS(EIAwtransport!$J$2:$J$675,EIAwtransport!$E$2:$E$675,Program_data!$E844,EIAwtransport!$I$2:$I$675,Program_data!T$2)</f>
        <v>1451821</v>
      </c>
      <c r="U844" s="24">
        <f t="shared" si="281"/>
        <v>0</v>
      </c>
      <c r="V844" s="24">
        <f t="shared" si="274"/>
        <v>0</v>
      </c>
      <c r="W844" s="24">
        <f t="shared" si="282"/>
        <v>1.1077652880556773E-4</v>
      </c>
      <c r="X844" s="25">
        <f t="shared" si="283"/>
        <v>7.0626809619399217E-5</v>
      </c>
      <c r="Y844" s="8">
        <f t="shared" si="284"/>
        <v>2.0750155587938916E-2</v>
      </c>
      <c r="Z844" s="27">
        <f t="shared" si="285"/>
        <v>1.4992652826728244E-2</v>
      </c>
      <c r="AC844" s="56">
        <f t="shared" si="275"/>
        <v>0</v>
      </c>
      <c r="AE844" s="20">
        <f t="shared" si="272"/>
        <v>0</v>
      </c>
      <c r="AF844" s="20">
        <f t="shared" si="273"/>
        <v>1653734793.6000001</v>
      </c>
      <c r="AG844">
        <f t="shared" si="276"/>
        <v>0</v>
      </c>
      <c r="AH844">
        <f t="shared" si="277"/>
        <v>0</v>
      </c>
      <c r="AI844">
        <f t="shared" si="278"/>
        <v>19562331980.880001</v>
      </c>
    </row>
    <row r="845" spans="2:35" x14ac:dyDescent="0.25">
      <c r="B845" s="4">
        <v>2026</v>
      </c>
      <c r="C845" s="4" t="s">
        <v>534</v>
      </c>
      <c r="D845" s="1" t="s">
        <v>242</v>
      </c>
      <c r="E845" s="4" t="str">
        <f t="shared" si="280"/>
        <v>Xcel-CO</v>
      </c>
      <c r="F845" s="4" t="s">
        <v>143</v>
      </c>
      <c r="G845" s="4">
        <v>1</v>
      </c>
      <c r="H845" s="43" t="s">
        <v>544</v>
      </c>
      <c r="I845" s="4"/>
      <c r="J845" s="4" t="s">
        <v>155</v>
      </c>
      <c r="K845" s="44">
        <v>0</v>
      </c>
      <c r="L845" s="5">
        <f t="shared" si="279"/>
        <v>0</v>
      </c>
      <c r="M845" s="8">
        <v>26754</v>
      </c>
      <c r="N845" s="8">
        <v>0</v>
      </c>
      <c r="O845" s="8">
        <f>SUMIFS(EIAwtransport!$J$2:$J$675,EIAwtransport!$E$2:$E$675,Program_data!$E845,EIAwtransport!$H$2:$H$675,Program_data!$F845,EIAwtransport!$I$2:$I$675,Program_data!O$2)</f>
        <v>0</v>
      </c>
      <c r="P845" s="5">
        <f>SUMIFS(EIAwtransport!$J$2:$J$675,EIAwtransport!$E$2:$E$675,Program_data!$E845,EIAwtransport!$H$2:$H$675,Program_data!$F845,EIAwtransport!$I$2:$I$675,Program_data!P$2)</f>
        <v>0</v>
      </c>
      <c r="Q845" s="5">
        <f>SUMIFS(EIAwtransport!$J$2:$J$675,EIAwtransport!$E$2:$E$675,Program_data!$E845,EIAwtransport!$H$2:$H$675,Program_data!$F845,EIAwtransport!$I$2:$I$675,Program_data!Q$2)</f>
        <v>0</v>
      </c>
      <c r="R845" s="8">
        <f>SUMIFS(EIAwtransport!$J$2:$J$675,EIAwtransport!$E$2:$E$675,Program_data!$E845,EIAwtransport!$I$2:$I$675,Program_data!R$2)</f>
        <v>1224988736</v>
      </c>
      <c r="S845" s="5">
        <f>SUMIFS(EIAwtransport!$J$2:$J$675,EIAwtransport!$E$2:$E$675,Program_data!$E845,EIAwtransport!$I$2:$I$675,Program_data!S$2)</f>
        <v>185460106</v>
      </c>
      <c r="T845" s="5">
        <f>SUMIFS(EIAwtransport!$J$2:$J$675,EIAwtransport!$E$2:$E$675,Program_data!$E845,EIAwtransport!$I$2:$I$675,Program_data!T$2)</f>
        <v>1451821</v>
      </c>
      <c r="U845" s="24">
        <f t="shared" si="281"/>
        <v>0</v>
      </c>
      <c r="V845" s="24">
        <f t="shared" si="274"/>
        <v>0</v>
      </c>
      <c r="W845" s="24">
        <f t="shared" si="282"/>
        <v>2.1840200822875159E-5</v>
      </c>
      <c r="X845" s="25">
        <f t="shared" si="283"/>
        <v>1.3924463261292607E-5</v>
      </c>
      <c r="Y845" s="8">
        <f t="shared" si="284"/>
        <v>1.9311250821056582E-2</v>
      </c>
      <c r="Z845" s="27">
        <f t="shared" si="285"/>
        <v>2.9558838152268785E-3</v>
      </c>
      <c r="AC845" s="56">
        <f t="shared" si="275"/>
        <v>0</v>
      </c>
      <c r="AE845" s="20">
        <f t="shared" si="272"/>
        <v>0</v>
      </c>
      <c r="AF845" s="20">
        <f t="shared" si="273"/>
        <v>1653734793.6000001</v>
      </c>
      <c r="AG845">
        <f t="shared" si="276"/>
        <v>0</v>
      </c>
      <c r="AH845">
        <f t="shared" si="277"/>
        <v>0</v>
      </c>
      <c r="AI845">
        <f t="shared" si="278"/>
        <v>19562331980.880001</v>
      </c>
    </row>
    <row r="846" spans="2:35" x14ac:dyDescent="0.25">
      <c r="B846" s="4">
        <v>2026</v>
      </c>
      <c r="C846" s="4" t="s">
        <v>534</v>
      </c>
      <c r="D846" s="1" t="s">
        <v>242</v>
      </c>
      <c r="E846" s="4" t="str">
        <f t="shared" si="280"/>
        <v>Xcel-CO</v>
      </c>
      <c r="F846" s="4" t="s">
        <v>143</v>
      </c>
      <c r="G846" s="4">
        <v>1</v>
      </c>
      <c r="H846" s="43" t="s">
        <v>545</v>
      </c>
      <c r="I846" s="4"/>
      <c r="J846" s="4" t="s">
        <v>108</v>
      </c>
      <c r="K846" s="5">
        <v>75590</v>
      </c>
      <c r="L846" s="5">
        <f t="shared" si="279"/>
        <v>111489.67551622418</v>
      </c>
      <c r="M846" s="8">
        <v>163219</v>
      </c>
      <c r="N846" s="8">
        <v>30001</v>
      </c>
      <c r="O846" s="8">
        <f>SUMIFS(EIAwtransport!$J$2:$J$675,EIAwtransport!$E$2:$E$675,Program_data!$E846,EIAwtransport!$H$2:$H$675,Program_data!$F846,EIAwtransport!$I$2:$I$675,Program_data!O$2)</f>
        <v>0</v>
      </c>
      <c r="P846" s="5">
        <f>SUMIFS(EIAwtransport!$J$2:$J$675,EIAwtransport!$E$2:$E$675,Program_data!$E846,EIAwtransport!$H$2:$H$675,Program_data!$F846,EIAwtransport!$I$2:$I$675,Program_data!P$2)</f>
        <v>0</v>
      </c>
      <c r="Q846" s="5">
        <f>SUMIFS(EIAwtransport!$J$2:$J$675,EIAwtransport!$E$2:$E$675,Program_data!$E846,EIAwtransport!$H$2:$H$675,Program_data!$F846,EIAwtransport!$I$2:$I$675,Program_data!Q$2)</f>
        <v>0</v>
      </c>
      <c r="R846" s="8">
        <f>SUMIFS(EIAwtransport!$J$2:$J$675,EIAwtransport!$E$2:$E$675,Program_data!$E846,EIAwtransport!$I$2:$I$675,Program_data!R$2)</f>
        <v>1224988736</v>
      </c>
      <c r="S846" s="5">
        <f>SUMIFS(EIAwtransport!$J$2:$J$675,EIAwtransport!$E$2:$E$675,Program_data!$E846,EIAwtransport!$I$2:$I$675,Program_data!S$2)</f>
        <v>185460106</v>
      </c>
      <c r="T846" s="5">
        <f>SUMIFS(EIAwtransport!$J$2:$J$675,EIAwtransport!$E$2:$E$675,Program_data!$E846,EIAwtransport!$I$2:$I$675,Program_data!T$2)</f>
        <v>1451821</v>
      </c>
      <c r="U846" s="24">
        <f t="shared" si="281"/>
        <v>3.9341787318573233E-5</v>
      </c>
      <c r="V846" s="24">
        <f t="shared" si="274"/>
        <v>5.8026234983146348E-5</v>
      </c>
      <c r="W846" s="24">
        <f t="shared" si="282"/>
        <v>1.3324122516666145E-4</v>
      </c>
      <c r="X846" s="25">
        <f t="shared" si="283"/>
        <v>8.494942696587119E-5</v>
      </c>
      <c r="Y846" s="8">
        <f t="shared" si="284"/>
        <v>0.1178127774449441</v>
      </c>
      <c r="Z846" s="27">
        <f t="shared" si="285"/>
        <v>1.8033056755532476E-2</v>
      </c>
      <c r="AC846" s="56">
        <f t="shared" si="275"/>
        <v>3.3712632786697199E-3</v>
      </c>
      <c r="AE846" s="20">
        <f t="shared" si="272"/>
        <v>40501.350000000006</v>
      </c>
      <c r="AF846" s="20">
        <f t="shared" si="273"/>
        <v>1653734793.6000001</v>
      </c>
      <c r="AG846">
        <f t="shared" si="276"/>
        <v>7973233.2000000002</v>
      </c>
      <c r="AH846">
        <f t="shared" si="277"/>
        <v>11759930.973451326</v>
      </c>
      <c r="AI846">
        <f t="shared" si="278"/>
        <v>19562331980.880001</v>
      </c>
    </row>
    <row r="847" spans="2:35" x14ac:dyDescent="0.25">
      <c r="B847" s="4">
        <v>2026</v>
      </c>
      <c r="C847" s="4" t="s">
        <v>534</v>
      </c>
      <c r="D847" s="1" t="s">
        <v>242</v>
      </c>
      <c r="E847" s="4" t="str">
        <f t="shared" si="280"/>
        <v>Xcel-CO</v>
      </c>
      <c r="F847" s="4" t="s">
        <v>143</v>
      </c>
      <c r="G847" s="4">
        <v>1</v>
      </c>
      <c r="H847" s="43" t="s">
        <v>546</v>
      </c>
      <c r="I847" s="4"/>
      <c r="J847" s="4" t="s">
        <v>108</v>
      </c>
      <c r="K847" s="5">
        <v>142250</v>
      </c>
      <c r="L847" s="5">
        <f t="shared" si="279"/>
        <v>209808.25958702064</v>
      </c>
      <c r="M847" s="8">
        <v>1200379</v>
      </c>
      <c r="N847" s="8">
        <v>249369</v>
      </c>
      <c r="O847" s="8">
        <f>SUMIFS(EIAwtransport!$J$2:$J$675,EIAwtransport!$E$2:$E$675,Program_data!$E847,EIAwtransport!$H$2:$H$675,Program_data!$F847,EIAwtransport!$I$2:$I$675,Program_data!O$2)</f>
        <v>0</v>
      </c>
      <c r="P847" s="5">
        <f>SUMIFS(EIAwtransport!$J$2:$J$675,EIAwtransport!$E$2:$E$675,Program_data!$E847,EIAwtransport!$H$2:$H$675,Program_data!$F847,EIAwtransport!$I$2:$I$675,Program_data!P$2)</f>
        <v>0</v>
      </c>
      <c r="Q847" s="5">
        <f>SUMIFS(EIAwtransport!$J$2:$J$675,EIAwtransport!$E$2:$E$675,Program_data!$E847,EIAwtransport!$H$2:$H$675,Program_data!$F847,EIAwtransport!$I$2:$I$675,Program_data!Q$2)</f>
        <v>0</v>
      </c>
      <c r="R847" s="8">
        <f>SUMIFS(EIAwtransport!$J$2:$J$675,EIAwtransport!$E$2:$E$675,Program_data!$E847,EIAwtransport!$I$2:$I$675,Program_data!R$2)</f>
        <v>1224988736</v>
      </c>
      <c r="S847" s="5">
        <f>SUMIFS(EIAwtransport!$J$2:$J$675,EIAwtransport!$E$2:$E$675,Program_data!$E847,EIAwtransport!$I$2:$I$675,Program_data!S$2)</f>
        <v>185460106</v>
      </c>
      <c r="T847" s="5">
        <f>SUMIFS(EIAwtransport!$J$2:$J$675,EIAwtransport!$E$2:$E$675,Program_data!$E847,EIAwtransport!$I$2:$I$675,Program_data!T$2)</f>
        <v>1451821</v>
      </c>
      <c r="U847" s="24">
        <f t="shared" si="281"/>
        <v>7.4035841329104927E-5</v>
      </c>
      <c r="V847" s="24">
        <f t="shared" si="274"/>
        <v>1.0919740609012525E-4</v>
      </c>
      <c r="W847" s="24">
        <f t="shared" si="282"/>
        <v>9.7991023486439623E-4</v>
      </c>
      <c r="X847" s="25">
        <f t="shared" si="283"/>
        <v>6.2475268315493606E-4</v>
      </c>
      <c r="Y847" s="8">
        <f t="shared" si="284"/>
        <v>0.86644314679408985</v>
      </c>
      <c r="Z847" s="27">
        <f t="shared" si="285"/>
        <v>0.13262244368087855</v>
      </c>
      <c r="AC847" s="56">
        <f t="shared" si="275"/>
        <v>6.3442545494214533E-3</v>
      </c>
      <c r="AE847" s="20">
        <f t="shared" si="272"/>
        <v>336648.15</v>
      </c>
      <c r="AF847" s="20">
        <f t="shared" si="273"/>
        <v>1653734793.6000001</v>
      </c>
      <c r="AG847">
        <f t="shared" si="276"/>
        <v>15004530</v>
      </c>
      <c r="AH847">
        <f t="shared" si="277"/>
        <v>22130575.221238937</v>
      </c>
      <c r="AI847">
        <f t="shared" si="278"/>
        <v>19562331980.880001</v>
      </c>
    </row>
    <row r="848" spans="2:35" x14ac:dyDescent="0.25">
      <c r="B848" s="4">
        <v>2026</v>
      </c>
      <c r="C848" s="4" t="s">
        <v>534</v>
      </c>
      <c r="D848" s="1" t="s">
        <v>242</v>
      </c>
      <c r="E848" s="4" t="str">
        <f t="shared" si="280"/>
        <v>Xcel-CO</v>
      </c>
      <c r="F848" s="4" t="s">
        <v>143</v>
      </c>
      <c r="G848" s="4">
        <v>1</v>
      </c>
      <c r="H848" s="43" t="s">
        <v>547</v>
      </c>
      <c r="I848" s="4"/>
      <c r="J848" s="4" t="s">
        <v>108</v>
      </c>
      <c r="K848" s="5">
        <v>152980</v>
      </c>
      <c r="L848" s="5">
        <f t="shared" si="279"/>
        <v>225634.21828908552</v>
      </c>
      <c r="M848" s="8">
        <v>380574</v>
      </c>
      <c r="N848" s="8">
        <v>352325</v>
      </c>
      <c r="O848" s="8">
        <f>SUMIFS(EIAwtransport!$J$2:$J$675,EIAwtransport!$E$2:$E$675,Program_data!$E848,EIAwtransport!$H$2:$H$675,Program_data!$F848,EIAwtransport!$I$2:$I$675,Program_data!O$2)</f>
        <v>0</v>
      </c>
      <c r="P848" s="5">
        <f>SUMIFS(EIAwtransport!$J$2:$J$675,EIAwtransport!$E$2:$E$675,Program_data!$E848,EIAwtransport!$H$2:$H$675,Program_data!$F848,EIAwtransport!$I$2:$I$675,Program_data!P$2)</f>
        <v>0</v>
      </c>
      <c r="Q848" s="5">
        <f>SUMIFS(EIAwtransport!$J$2:$J$675,EIAwtransport!$E$2:$E$675,Program_data!$E848,EIAwtransport!$H$2:$H$675,Program_data!$F848,EIAwtransport!$I$2:$I$675,Program_data!Q$2)</f>
        <v>0</v>
      </c>
      <c r="R848" s="8">
        <f>SUMIFS(EIAwtransport!$J$2:$J$675,EIAwtransport!$E$2:$E$675,Program_data!$E848,EIAwtransport!$I$2:$I$675,Program_data!R$2)</f>
        <v>1224988736</v>
      </c>
      <c r="S848" s="5">
        <f>SUMIFS(EIAwtransport!$J$2:$J$675,EIAwtransport!$E$2:$E$675,Program_data!$E848,EIAwtransport!$I$2:$I$675,Program_data!S$2)</f>
        <v>185460106</v>
      </c>
      <c r="T848" s="5">
        <f>SUMIFS(EIAwtransport!$J$2:$J$675,EIAwtransport!$E$2:$E$675,Program_data!$E848,EIAwtransport!$I$2:$I$675,Program_data!T$2)</f>
        <v>1451821</v>
      </c>
      <c r="U848" s="24">
        <f t="shared" si="281"/>
        <v>7.9620407778744975E-5</v>
      </c>
      <c r="V848" s="24">
        <f t="shared" si="274"/>
        <v>1.1743422976216071E-4</v>
      </c>
      <c r="W848" s="24">
        <f t="shared" si="282"/>
        <v>3.1067550975423828E-4</v>
      </c>
      <c r="X848" s="25">
        <f t="shared" si="283"/>
        <v>1.9807463112817418E-4</v>
      </c>
      <c r="Y848" s="8">
        <f t="shared" si="284"/>
        <v>0.27470135194635525</v>
      </c>
      <c r="Z848" s="27">
        <f t="shared" si="285"/>
        <v>4.2047264973318163E-2</v>
      </c>
      <c r="AC848" s="56">
        <f t="shared" si="275"/>
        <v>6.8228053495289556E-3</v>
      </c>
      <c r="AE848" s="20">
        <f t="shared" si="272"/>
        <v>475638.75000000006</v>
      </c>
      <c r="AF848" s="20">
        <f t="shared" si="273"/>
        <v>1653734793.6000001</v>
      </c>
      <c r="AG848">
        <f t="shared" si="276"/>
        <v>16136330.4</v>
      </c>
      <c r="AH848">
        <f t="shared" si="277"/>
        <v>23799897.345132742</v>
      </c>
      <c r="AI848">
        <f t="shared" si="278"/>
        <v>19562331980.880001</v>
      </c>
    </row>
    <row r="849" spans="2:35" x14ac:dyDescent="0.25">
      <c r="B849" s="4">
        <v>2026</v>
      </c>
      <c r="C849" s="4" t="s">
        <v>534</v>
      </c>
      <c r="D849" s="1" t="s">
        <v>242</v>
      </c>
      <c r="E849" s="4" t="str">
        <f t="shared" si="280"/>
        <v>Xcel-CO</v>
      </c>
      <c r="F849" s="4" t="s">
        <v>143</v>
      </c>
      <c r="G849" s="4">
        <v>1</v>
      </c>
      <c r="H849" s="11" t="s">
        <v>548</v>
      </c>
      <c r="I849" s="4"/>
      <c r="J849" s="4" t="s">
        <v>108</v>
      </c>
      <c r="K849" s="5">
        <v>154930</v>
      </c>
      <c r="L849" s="5">
        <f t="shared" si="279"/>
        <v>228510.3244837758</v>
      </c>
      <c r="M849" s="8">
        <v>370276</v>
      </c>
      <c r="N849" s="8">
        <v>319730</v>
      </c>
      <c r="O849" s="8">
        <f>SUMIFS(EIAwtransport!$J$2:$J$675,EIAwtransport!$E$2:$E$675,Program_data!$E849,EIAwtransport!$H$2:$H$675,Program_data!$F849,EIAwtransport!$I$2:$I$675,Program_data!O$2)</f>
        <v>0</v>
      </c>
      <c r="P849" s="5">
        <f>SUMIFS(EIAwtransport!$J$2:$J$675,EIAwtransport!$E$2:$E$675,Program_data!$E849,EIAwtransport!$H$2:$H$675,Program_data!$F849,EIAwtransport!$I$2:$I$675,Program_data!P$2)</f>
        <v>0</v>
      </c>
      <c r="Q849" s="5">
        <f>SUMIFS(EIAwtransport!$J$2:$J$675,EIAwtransport!$E$2:$E$675,Program_data!$E849,EIAwtransport!$H$2:$H$675,Program_data!$F849,EIAwtransport!$I$2:$I$675,Program_data!Q$2)</f>
        <v>0</v>
      </c>
      <c r="R849" s="8">
        <f>SUMIFS(EIAwtransport!$J$2:$J$675,EIAwtransport!$E$2:$E$675,Program_data!$E849,EIAwtransport!$I$2:$I$675,Program_data!R$2)</f>
        <v>1224988736</v>
      </c>
      <c r="S849" s="5">
        <f>SUMIFS(EIAwtransport!$J$2:$J$675,EIAwtransport!$E$2:$E$675,Program_data!$E849,EIAwtransport!$I$2:$I$675,Program_data!S$2)</f>
        <v>185460106</v>
      </c>
      <c r="T849" s="5">
        <f>SUMIFS(EIAwtransport!$J$2:$J$675,EIAwtransport!$E$2:$E$675,Program_data!$E849,EIAwtransport!$I$2:$I$675,Program_data!T$2)</f>
        <v>1451821</v>
      </c>
      <c r="U849" s="24">
        <f t="shared" si="281"/>
        <v>8.0635310348810036E-5</v>
      </c>
      <c r="V849" s="24">
        <f t="shared" si="274"/>
        <v>1.189311362076844E-4</v>
      </c>
      <c r="W849" s="24">
        <f t="shared" si="282"/>
        <v>3.022689018423758E-4</v>
      </c>
      <c r="X849" s="25">
        <f t="shared" si="283"/>
        <v>1.9271490463251782E-4</v>
      </c>
      <c r="Y849" s="8">
        <f t="shared" si="284"/>
        <v>0.26726817332053326</v>
      </c>
      <c r="Z849" s="27">
        <f t="shared" si="285"/>
        <v>4.0909502712377498E-2</v>
      </c>
      <c r="AC849" s="56">
        <f t="shared" si="275"/>
        <v>6.9097740410675977E-3</v>
      </c>
      <c r="AE849" s="20">
        <f t="shared" si="272"/>
        <v>431635.5</v>
      </c>
      <c r="AF849" s="20">
        <f t="shared" si="273"/>
        <v>1653734793.6000001</v>
      </c>
      <c r="AG849">
        <f t="shared" si="276"/>
        <v>16342016.4</v>
      </c>
      <c r="AH849">
        <f t="shared" si="277"/>
        <v>24103269.026548672</v>
      </c>
      <c r="AI849">
        <f t="shared" si="278"/>
        <v>19562331980.880001</v>
      </c>
    </row>
    <row r="850" spans="2:35" x14ac:dyDescent="0.25">
      <c r="B850" s="4">
        <v>2026</v>
      </c>
      <c r="C850" s="4" t="s">
        <v>534</v>
      </c>
      <c r="D850" s="1" t="s">
        <v>242</v>
      </c>
      <c r="E850" s="4" t="str">
        <f t="shared" si="280"/>
        <v>Xcel-CO</v>
      </c>
      <c r="F850" s="4" t="s">
        <v>143</v>
      </c>
      <c r="G850" s="4">
        <v>1</v>
      </c>
      <c r="H850" s="11" t="s">
        <v>549</v>
      </c>
      <c r="I850" s="4"/>
      <c r="J850" s="4" t="s">
        <v>108</v>
      </c>
      <c r="K850" s="5">
        <v>600600</v>
      </c>
      <c r="L850" s="5">
        <f t="shared" si="279"/>
        <v>885840.70796460169</v>
      </c>
      <c r="M850" s="8">
        <v>5052475</v>
      </c>
      <c r="N850" s="8">
        <v>4739311</v>
      </c>
      <c r="O850" s="8">
        <f>SUMIFS(EIAwtransport!$J$2:$J$675,EIAwtransport!$E$2:$E$675,Program_data!$E850,EIAwtransport!$H$2:$H$675,Program_data!$F850,EIAwtransport!$I$2:$I$675,Program_data!O$2)</f>
        <v>0</v>
      </c>
      <c r="P850" s="5">
        <f>SUMIFS(EIAwtransport!$J$2:$J$675,EIAwtransport!$E$2:$E$675,Program_data!$E850,EIAwtransport!$H$2:$H$675,Program_data!$F850,EIAwtransport!$I$2:$I$675,Program_data!P$2)</f>
        <v>0</v>
      </c>
      <c r="Q850" s="5">
        <f>SUMIFS(EIAwtransport!$J$2:$J$675,EIAwtransport!$E$2:$E$675,Program_data!$E850,EIAwtransport!$H$2:$H$675,Program_data!$F850,EIAwtransport!$I$2:$I$675,Program_data!Q$2)</f>
        <v>0</v>
      </c>
      <c r="R850" s="8">
        <f>SUMIFS(EIAwtransport!$J$2:$J$675,EIAwtransport!$E$2:$E$675,Program_data!$E850,EIAwtransport!$I$2:$I$675,Program_data!R$2)</f>
        <v>1224988736</v>
      </c>
      <c r="S850" s="5">
        <f>SUMIFS(EIAwtransport!$J$2:$J$675,EIAwtransport!$E$2:$E$675,Program_data!$E850,EIAwtransport!$I$2:$I$675,Program_data!S$2)</f>
        <v>185460106</v>
      </c>
      <c r="T850" s="5">
        <f>SUMIFS(EIAwtransport!$J$2:$J$675,EIAwtransport!$E$2:$E$675,Program_data!$E850,EIAwtransport!$I$2:$I$675,Program_data!T$2)</f>
        <v>1451821</v>
      </c>
      <c r="U850" s="24">
        <f t="shared" si="281"/>
        <v>3.1258999158003808E-4</v>
      </c>
      <c r="V850" s="24">
        <f t="shared" si="274"/>
        <v>4.6104718522129508E-4</v>
      </c>
      <c r="W850" s="24">
        <f t="shared" si="282"/>
        <v>4.124507313020713E-3</v>
      </c>
      <c r="X850" s="25">
        <f t="shared" si="283"/>
        <v>2.6296255706099786E-3</v>
      </c>
      <c r="Y850" s="8">
        <f t="shared" si="284"/>
        <v>3.6469167971936107</v>
      </c>
      <c r="Z850" s="27">
        <f t="shared" si="285"/>
        <v>0.55821668084542209</v>
      </c>
      <c r="AC850" s="56">
        <f t="shared" si="275"/>
        <v>2.6786356993901757E-2</v>
      </c>
      <c r="AE850" s="20">
        <f t="shared" si="272"/>
        <v>6398069.8500000006</v>
      </c>
      <c r="AF850" s="20">
        <f t="shared" si="273"/>
        <v>1653734793.6000001</v>
      </c>
      <c r="AG850">
        <f t="shared" si="276"/>
        <v>63351288</v>
      </c>
      <c r="AH850">
        <f t="shared" si="277"/>
        <v>93438477.876106188</v>
      </c>
      <c r="AI850">
        <f t="shared" si="278"/>
        <v>19562331980.880001</v>
      </c>
    </row>
    <row r="851" spans="2:35" x14ac:dyDescent="0.25">
      <c r="B851" s="4">
        <v>2026</v>
      </c>
      <c r="C851" s="4" t="s">
        <v>534</v>
      </c>
      <c r="D851" s="1" t="s">
        <v>242</v>
      </c>
      <c r="E851" s="4" t="str">
        <f t="shared" si="280"/>
        <v>Xcel-CO</v>
      </c>
      <c r="F851" s="4" t="s">
        <v>143</v>
      </c>
      <c r="G851" s="4">
        <v>1</v>
      </c>
      <c r="H851" s="11" t="s">
        <v>550</v>
      </c>
      <c r="I851" s="4"/>
      <c r="J851" s="4" t="s">
        <v>108</v>
      </c>
      <c r="K851" s="5">
        <v>259060</v>
      </c>
      <c r="L851" s="5">
        <f t="shared" si="279"/>
        <v>382094.39528023597</v>
      </c>
      <c r="M851" s="8">
        <v>1866754</v>
      </c>
      <c r="N851" s="8">
        <v>1158629</v>
      </c>
      <c r="O851" s="8">
        <f>SUMIFS(EIAwtransport!$J$2:$J$675,EIAwtransport!$E$2:$E$675,Program_data!$E851,EIAwtransport!$H$2:$H$675,Program_data!$F851,EIAwtransport!$I$2:$I$675,Program_data!O$2)</f>
        <v>0</v>
      </c>
      <c r="P851" s="5">
        <f>SUMIFS(EIAwtransport!$J$2:$J$675,EIAwtransport!$E$2:$E$675,Program_data!$E851,EIAwtransport!$H$2:$H$675,Program_data!$F851,EIAwtransport!$I$2:$I$675,Program_data!P$2)</f>
        <v>0</v>
      </c>
      <c r="Q851" s="5">
        <f>SUMIFS(EIAwtransport!$J$2:$J$675,EIAwtransport!$E$2:$E$675,Program_data!$E851,EIAwtransport!$H$2:$H$675,Program_data!$F851,EIAwtransport!$I$2:$I$675,Program_data!Q$2)</f>
        <v>0</v>
      </c>
      <c r="R851" s="8">
        <f>SUMIFS(EIAwtransport!$J$2:$J$675,EIAwtransport!$E$2:$E$675,Program_data!$E851,EIAwtransport!$I$2:$I$675,Program_data!R$2)</f>
        <v>1224988736</v>
      </c>
      <c r="S851" s="5">
        <f>SUMIFS(EIAwtransport!$J$2:$J$675,EIAwtransport!$E$2:$E$675,Program_data!$E851,EIAwtransport!$I$2:$I$675,Program_data!S$2)</f>
        <v>185460106</v>
      </c>
      <c r="T851" s="5">
        <f>SUMIFS(EIAwtransport!$J$2:$J$675,EIAwtransport!$E$2:$E$675,Program_data!$E851,EIAwtransport!$I$2:$I$675,Program_data!T$2)</f>
        <v>1451821</v>
      </c>
      <c r="U851" s="24">
        <f t="shared" si="281"/>
        <v>1.3483110759028417E-4</v>
      </c>
      <c r="V851" s="24">
        <f t="shared" si="274"/>
        <v>1.988659403986492E-4</v>
      </c>
      <c r="W851" s="24">
        <f t="shared" si="282"/>
        <v>1.5238948286949799E-3</v>
      </c>
      <c r="X851" s="25">
        <f t="shared" si="283"/>
        <v>9.7157611911755321E-4</v>
      </c>
      <c r="Y851" s="8">
        <f t="shared" si="284"/>
        <v>1.3474379425585206</v>
      </c>
      <c r="Z851" s="27">
        <f t="shared" si="285"/>
        <v>0.20624609163527086</v>
      </c>
      <c r="AC851" s="56">
        <f t="shared" si="275"/>
        <v>1.1553902169231084E-2</v>
      </c>
      <c r="AE851" s="20">
        <f t="shared" si="272"/>
        <v>1564149.1500000001</v>
      </c>
      <c r="AF851" s="20">
        <f t="shared" si="273"/>
        <v>1653734793.6000001</v>
      </c>
      <c r="AG851">
        <f t="shared" si="276"/>
        <v>27325648.800000001</v>
      </c>
      <c r="AH851">
        <f t="shared" si="277"/>
        <v>40303316.814159289</v>
      </c>
      <c r="AI851">
        <f t="shared" si="278"/>
        <v>19562331980.880001</v>
      </c>
    </row>
    <row r="852" spans="2:35" x14ac:dyDescent="0.25">
      <c r="B852" s="4">
        <v>2026</v>
      </c>
      <c r="C852" s="4" t="s">
        <v>534</v>
      </c>
      <c r="D852" s="1" t="s">
        <v>242</v>
      </c>
      <c r="E852" s="4" t="str">
        <f t="shared" si="280"/>
        <v>Xcel-CO</v>
      </c>
      <c r="F852" s="4" t="s">
        <v>155</v>
      </c>
      <c r="G852" s="4"/>
      <c r="H852" s="11" t="s">
        <v>490</v>
      </c>
      <c r="I852" s="4"/>
      <c r="J852" s="4" t="s">
        <v>155</v>
      </c>
      <c r="K852" s="5">
        <v>0</v>
      </c>
      <c r="L852" s="5">
        <f t="shared" si="279"/>
        <v>0</v>
      </c>
      <c r="M852" s="8">
        <v>29183</v>
      </c>
      <c r="N852" s="8">
        <v>0</v>
      </c>
      <c r="O852" s="8">
        <f>SUMIFS(EIAwtransport!$J$2:$J$675,EIAwtransport!$E$2:$E$675,Program_data!$E852,EIAwtransport!$H$2:$H$675,Program_data!$F852,EIAwtransport!$I$2:$I$675,Program_data!O$2)</f>
        <v>0</v>
      </c>
      <c r="P852" s="5">
        <f>SUMIFS(EIAwtransport!$J$2:$J$675,EIAwtransport!$E$2:$E$675,Program_data!$E852,EIAwtransport!$H$2:$H$675,Program_data!$F852,EIAwtransport!$I$2:$I$675,Program_data!P$2)</f>
        <v>0</v>
      </c>
      <c r="Q852" s="5">
        <f>SUMIFS(EIAwtransport!$J$2:$J$675,EIAwtransport!$E$2:$E$675,Program_data!$E852,EIAwtransport!$H$2:$H$675,Program_data!$F852,EIAwtransport!$I$2:$I$675,Program_data!Q$2)</f>
        <v>0</v>
      </c>
      <c r="R852" s="8">
        <f>SUMIFS(EIAwtransport!$J$2:$J$675,EIAwtransport!$E$2:$E$675,Program_data!$E852,EIAwtransport!$I$2:$I$675,Program_data!R$2)</f>
        <v>1224988736</v>
      </c>
      <c r="S852" s="5">
        <f>SUMIFS(EIAwtransport!$J$2:$J$675,EIAwtransport!$E$2:$E$675,Program_data!$E852,EIAwtransport!$I$2:$I$675,Program_data!S$2)</f>
        <v>185460106</v>
      </c>
      <c r="T852" s="5">
        <f>SUMIFS(EIAwtransport!$J$2:$J$675,EIAwtransport!$E$2:$E$675,Program_data!$E852,EIAwtransport!$I$2:$I$675,Program_data!T$2)</f>
        <v>1451821</v>
      </c>
      <c r="U852" s="24">
        <f t="shared" si="281"/>
        <v>0</v>
      </c>
      <c r="V852" s="24">
        <f t="shared" si="274"/>
        <v>0</v>
      </c>
      <c r="W852" s="24">
        <f t="shared" si="282"/>
        <v>2.3823076198473714E-5</v>
      </c>
      <c r="X852" s="25">
        <f t="shared" si="283"/>
        <v>1.5188667539594159E-5</v>
      </c>
      <c r="Y852" s="8" t="str">
        <f t="shared" si="284"/>
        <v/>
      </c>
      <c r="Z852" s="27">
        <f t="shared" si="285"/>
        <v>3.2242489863110561E-3</v>
      </c>
      <c r="AC852" s="56">
        <f t="shared" si="275"/>
        <v>0</v>
      </c>
      <c r="AE852" s="20">
        <f t="shared" si="272"/>
        <v>0</v>
      </c>
      <c r="AF852" s="20">
        <f t="shared" si="273"/>
        <v>1653734793.6000001</v>
      </c>
      <c r="AG852">
        <f t="shared" si="276"/>
        <v>0</v>
      </c>
      <c r="AH852">
        <f t="shared" si="277"/>
        <v>0</v>
      </c>
      <c r="AI852">
        <f t="shared" si="278"/>
        <v>19562331980.880001</v>
      </c>
    </row>
    <row r="853" spans="2:35" x14ac:dyDescent="0.25">
      <c r="B853" s="4">
        <v>2026</v>
      </c>
      <c r="C853" s="4" t="s">
        <v>534</v>
      </c>
      <c r="D853" s="1" t="s">
        <v>242</v>
      </c>
      <c r="E853" s="4" t="str">
        <f t="shared" si="280"/>
        <v>Xcel-CO</v>
      </c>
      <c r="F853" s="4" t="s">
        <v>155</v>
      </c>
      <c r="G853" s="4"/>
      <c r="H853" s="11" t="s">
        <v>551</v>
      </c>
      <c r="I853" s="4"/>
      <c r="J853" s="4" t="s">
        <v>155</v>
      </c>
      <c r="K853" s="5">
        <v>0</v>
      </c>
      <c r="L853" s="5">
        <f t="shared" si="279"/>
        <v>0</v>
      </c>
      <c r="M853" s="8">
        <v>40177</v>
      </c>
      <c r="N853" s="8">
        <v>0</v>
      </c>
      <c r="O853" s="8">
        <f>SUMIFS(EIAwtransport!$J$2:$J$675,EIAwtransport!$E$2:$E$675,Program_data!$E853,EIAwtransport!$H$2:$H$675,Program_data!$F853,EIAwtransport!$I$2:$I$675,Program_data!O$2)</f>
        <v>0</v>
      </c>
      <c r="P853" s="5">
        <f>SUMIFS(EIAwtransport!$J$2:$J$675,EIAwtransport!$E$2:$E$675,Program_data!$E853,EIAwtransport!$H$2:$H$675,Program_data!$F853,EIAwtransport!$I$2:$I$675,Program_data!P$2)</f>
        <v>0</v>
      </c>
      <c r="Q853" s="5">
        <f>SUMIFS(EIAwtransport!$J$2:$J$675,EIAwtransport!$E$2:$E$675,Program_data!$E853,EIAwtransport!$H$2:$H$675,Program_data!$F853,EIAwtransport!$I$2:$I$675,Program_data!Q$2)</f>
        <v>0</v>
      </c>
      <c r="R853" s="8">
        <f>SUMIFS(EIAwtransport!$J$2:$J$675,EIAwtransport!$E$2:$E$675,Program_data!$E853,EIAwtransport!$I$2:$I$675,Program_data!R$2)</f>
        <v>1224988736</v>
      </c>
      <c r="S853" s="5">
        <f>SUMIFS(EIAwtransport!$J$2:$J$675,EIAwtransport!$E$2:$E$675,Program_data!$E853,EIAwtransport!$I$2:$I$675,Program_data!S$2)</f>
        <v>185460106</v>
      </c>
      <c r="T853" s="5">
        <f>SUMIFS(EIAwtransport!$J$2:$J$675,EIAwtransport!$E$2:$E$675,Program_data!$E853,EIAwtransport!$I$2:$I$675,Program_data!T$2)</f>
        <v>1451821</v>
      </c>
      <c r="U853" s="24">
        <f t="shared" si="281"/>
        <v>0</v>
      </c>
      <c r="V853" s="24">
        <f t="shared" si="274"/>
        <v>0</v>
      </c>
      <c r="W853" s="24">
        <f t="shared" si="282"/>
        <v>3.2797852600009539E-5</v>
      </c>
      <c r="X853" s="25">
        <f t="shared" si="283"/>
        <v>2.0910636183335316E-5</v>
      </c>
      <c r="Y853" s="8" t="str">
        <f t="shared" si="284"/>
        <v/>
      </c>
      <c r="Z853" s="27">
        <f t="shared" si="285"/>
        <v>4.4389079780358187E-3</v>
      </c>
      <c r="AC853" s="56">
        <f t="shared" si="275"/>
        <v>0</v>
      </c>
      <c r="AE853" s="20">
        <f t="shared" si="272"/>
        <v>0</v>
      </c>
      <c r="AF853" s="20">
        <f t="shared" si="273"/>
        <v>1653734793.6000001</v>
      </c>
      <c r="AG853">
        <f t="shared" si="276"/>
        <v>0</v>
      </c>
      <c r="AH853">
        <f t="shared" si="277"/>
        <v>0</v>
      </c>
      <c r="AI853">
        <f t="shared" si="278"/>
        <v>19562331980.880001</v>
      </c>
    </row>
    <row r="854" spans="2:35" x14ac:dyDescent="0.25">
      <c r="B854" s="4">
        <v>2026</v>
      </c>
      <c r="C854" s="4" t="s">
        <v>534</v>
      </c>
      <c r="D854" s="1" t="s">
        <v>242</v>
      </c>
      <c r="E854" s="4" t="str">
        <f t="shared" si="280"/>
        <v>Xcel-CO</v>
      </c>
      <c r="F854" s="4" t="s">
        <v>155</v>
      </c>
      <c r="G854" s="4"/>
      <c r="H854" s="11" t="s">
        <v>512</v>
      </c>
      <c r="I854" s="4"/>
      <c r="J854" s="4" t="s">
        <v>155</v>
      </c>
      <c r="K854" s="5">
        <v>0</v>
      </c>
      <c r="L854" s="5">
        <f t="shared" si="279"/>
        <v>0</v>
      </c>
      <c r="M854" s="8">
        <v>38717</v>
      </c>
      <c r="N854" s="8">
        <v>0</v>
      </c>
      <c r="O854" s="8">
        <f>SUMIFS(EIAwtransport!$J$2:$J$675,EIAwtransport!$E$2:$E$675,Program_data!$E854,EIAwtransport!$H$2:$H$675,Program_data!$F854,EIAwtransport!$I$2:$I$675,Program_data!O$2)</f>
        <v>0</v>
      </c>
      <c r="P854" s="5">
        <f>SUMIFS(EIAwtransport!$J$2:$J$675,EIAwtransport!$E$2:$E$675,Program_data!$E854,EIAwtransport!$H$2:$H$675,Program_data!$F854,EIAwtransport!$I$2:$I$675,Program_data!P$2)</f>
        <v>0</v>
      </c>
      <c r="Q854" s="5">
        <f>SUMIFS(EIAwtransport!$J$2:$J$675,EIAwtransport!$E$2:$E$675,Program_data!$E854,EIAwtransport!$H$2:$H$675,Program_data!$F854,EIAwtransport!$I$2:$I$675,Program_data!Q$2)</f>
        <v>0</v>
      </c>
      <c r="R854" s="8">
        <f>SUMIFS(EIAwtransport!$J$2:$J$675,EIAwtransport!$E$2:$E$675,Program_data!$E854,EIAwtransport!$I$2:$I$675,Program_data!R$2)</f>
        <v>1224988736</v>
      </c>
      <c r="S854" s="5">
        <f>SUMIFS(EIAwtransport!$J$2:$J$675,EIAwtransport!$E$2:$E$675,Program_data!$E854,EIAwtransport!$I$2:$I$675,Program_data!S$2)</f>
        <v>185460106</v>
      </c>
      <c r="T854" s="5">
        <f>SUMIFS(EIAwtransport!$J$2:$J$675,EIAwtransport!$E$2:$E$675,Program_data!$E854,EIAwtransport!$I$2:$I$675,Program_data!T$2)</f>
        <v>1451821</v>
      </c>
      <c r="U854" s="24">
        <f t="shared" si="281"/>
        <v>0</v>
      </c>
      <c r="V854" s="24">
        <f t="shared" si="274"/>
        <v>0</v>
      </c>
      <c r="W854" s="24">
        <f t="shared" si="282"/>
        <v>3.1606004906154498E-5</v>
      </c>
      <c r="X854" s="25">
        <f t="shared" si="283"/>
        <v>2.0150760412927631E-5</v>
      </c>
      <c r="Y854" s="8" t="str">
        <f t="shared" si="284"/>
        <v/>
      </c>
      <c r="Z854" s="27">
        <f t="shared" si="285"/>
        <v>4.2776016174829578E-3</v>
      </c>
      <c r="AC854" s="56">
        <f t="shared" si="275"/>
        <v>0</v>
      </c>
      <c r="AE854" s="20">
        <f t="shared" si="272"/>
        <v>0</v>
      </c>
      <c r="AF854" s="20">
        <f t="shared" si="273"/>
        <v>1653734793.6000001</v>
      </c>
      <c r="AG854">
        <f t="shared" si="276"/>
        <v>0</v>
      </c>
      <c r="AH854">
        <f t="shared" si="277"/>
        <v>0</v>
      </c>
      <c r="AI854">
        <f t="shared" si="278"/>
        <v>19562331980.880001</v>
      </c>
    </row>
    <row r="855" spans="2:35" x14ac:dyDescent="0.25">
      <c r="B855" s="4">
        <v>2026</v>
      </c>
      <c r="C855" s="4" t="s">
        <v>534</v>
      </c>
      <c r="D855" s="1" t="s">
        <v>242</v>
      </c>
      <c r="E855" s="4" t="str">
        <f t="shared" si="280"/>
        <v>Xcel-CO</v>
      </c>
      <c r="F855" s="4" t="s">
        <v>155</v>
      </c>
      <c r="G855" s="4"/>
      <c r="H855" s="11" t="s">
        <v>480</v>
      </c>
      <c r="I855" s="4"/>
      <c r="J855" s="4" t="s">
        <v>155</v>
      </c>
      <c r="K855" s="5">
        <v>0</v>
      </c>
      <c r="L855" s="5">
        <f t="shared" si="279"/>
        <v>0</v>
      </c>
      <c r="M855" s="8">
        <v>98784</v>
      </c>
      <c r="N855" s="8">
        <v>0</v>
      </c>
      <c r="O855" s="8">
        <f>SUMIFS(EIAwtransport!$J$2:$J$675,EIAwtransport!$E$2:$E$675,Program_data!$E855,EIAwtransport!$H$2:$H$675,Program_data!$F855,EIAwtransport!$I$2:$I$675,Program_data!O$2)</f>
        <v>0</v>
      </c>
      <c r="P855" s="5">
        <f>SUMIFS(EIAwtransport!$J$2:$J$675,EIAwtransport!$E$2:$E$675,Program_data!$E855,EIAwtransport!$H$2:$H$675,Program_data!$F855,EIAwtransport!$I$2:$I$675,Program_data!P$2)</f>
        <v>0</v>
      </c>
      <c r="Q855" s="5">
        <f>SUMIFS(EIAwtransport!$J$2:$J$675,EIAwtransport!$E$2:$E$675,Program_data!$E855,EIAwtransport!$H$2:$H$675,Program_data!$F855,EIAwtransport!$I$2:$I$675,Program_data!Q$2)</f>
        <v>0</v>
      </c>
      <c r="R855" s="8">
        <f>SUMIFS(EIAwtransport!$J$2:$J$675,EIAwtransport!$E$2:$E$675,Program_data!$E855,EIAwtransport!$I$2:$I$675,Program_data!R$2)</f>
        <v>1224988736</v>
      </c>
      <c r="S855" s="5">
        <f>SUMIFS(EIAwtransport!$J$2:$J$675,EIAwtransport!$E$2:$E$675,Program_data!$E855,EIAwtransport!$I$2:$I$675,Program_data!S$2)</f>
        <v>185460106</v>
      </c>
      <c r="T855" s="5">
        <f>SUMIFS(EIAwtransport!$J$2:$J$675,EIAwtransport!$E$2:$E$675,Program_data!$E855,EIAwtransport!$I$2:$I$675,Program_data!T$2)</f>
        <v>1451821</v>
      </c>
      <c r="U855" s="24">
        <f t="shared" si="281"/>
        <v>0</v>
      </c>
      <c r="V855" s="24">
        <f t="shared" si="274"/>
        <v>0</v>
      </c>
      <c r="W855" s="24">
        <f t="shared" si="282"/>
        <v>8.064074149984674E-5</v>
      </c>
      <c r="X855" s="25">
        <f t="shared" si="283"/>
        <v>5.1413402810926552E-5</v>
      </c>
      <c r="Y855" s="8" t="str">
        <f t="shared" si="284"/>
        <v/>
      </c>
      <c r="Z855" s="27">
        <f t="shared" si="285"/>
        <v>1.0914032548530014E-2</v>
      </c>
      <c r="AC855" s="56">
        <f t="shared" si="275"/>
        <v>0</v>
      </c>
      <c r="AE855" s="20">
        <f t="shared" si="272"/>
        <v>0</v>
      </c>
      <c r="AF855" s="20">
        <f t="shared" si="273"/>
        <v>1653734793.6000001</v>
      </c>
      <c r="AG855">
        <f t="shared" si="276"/>
        <v>0</v>
      </c>
      <c r="AH855">
        <f t="shared" si="277"/>
        <v>0</v>
      </c>
      <c r="AI855">
        <f t="shared" si="278"/>
        <v>19562331980.880001</v>
      </c>
    </row>
    <row r="856" spans="2:35" x14ac:dyDescent="0.25">
      <c r="B856" s="4">
        <v>2026</v>
      </c>
      <c r="C856" s="4" t="s">
        <v>534</v>
      </c>
      <c r="D856" s="1" t="s">
        <v>242</v>
      </c>
      <c r="E856" s="4" t="str">
        <f t="shared" si="280"/>
        <v>Xcel-CO</v>
      </c>
      <c r="F856" s="4" t="s">
        <v>155</v>
      </c>
      <c r="G856" s="4"/>
      <c r="H856" s="11" t="s">
        <v>513</v>
      </c>
      <c r="I856" s="4"/>
      <c r="J856" s="4" t="s">
        <v>155</v>
      </c>
      <c r="K856" s="5">
        <v>0</v>
      </c>
      <c r="L856" s="5">
        <f t="shared" si="279"/>
        <v>0</v>
      </c>
      <c r="M856" s="8">
        <v>78763</v>
      </c>
      <c r="N856" s="8">
        <v>0</v>
      </c>
      <c r="O856" s="8">
        <f>SUMIFS(EIAwtransport!$J$2:$J$675,EIAwtransport!$E$2:$E$675,Program_data!$E856,EIAwtransport!$H$2:$H$675,Program_data!$F856,EIAwtransport!$I$2:$I$675,Program_data!O$2)</f>
        <v>0</v>
      </c>
      <c r="P856" s="5">
        <f>SUMIFS(EIAwtransport!$J$2:$J$675,EIAwtransport!$E$2:$E$675,Program_data!$E856,EIAwtransport!$H$2:$H$675,Program_data!$F856,EIAwtransport!$I$2:$I$675,Program_data!P$2)</f>
        <v>0</v>
      </c>
      <c r="Q856" s="5">
        <f>SUMIFS(EIAwtransport!$J$2:$J$675,EIAwtransport!$E$2:$E$675,Program_data!$E856,EIAwtransport!$H$2:$H$675,Program_data!$F856,EIAwtransport!$I$2:$I$675,Program_data!Q$2)</f>
        <v>0</v>
      </c>
      <c r="R856" s="8">
        <f>SUMIFS(EIAwtransport!$J$2:$J$675,EIAwtransport!$E$2:$E$675,Program_data!$E856,EIAwtransport!$I$2:$I$675,Program_data!R$2)</f>
        <v>1224988736</v>
      </c>
      <c r="S856" s="5">
        <f>SUMIFS(EIAwtransport!$J$2:$J$675,EIAwtransport!$E$2:$E$675,Program_data!$E856,EIAwtransport!$I$2:$I$675,Program_data!S$2)</f>
        <v>185460106</v>
      </c>
      <c r="T856" s="5">
        <f>SUMIFS(EIAwtransport!$J$2:$J$675,EIAwtransport!$E$2:$E$675,Program_data!$E856,EIAwtransport!$I$2:$I$675,Program_data!T$2)</f>
        <v>1451821</v>
      </c>
      <c r="U856" s="24">
        <f t="shared" si="281"/>
        <v>0</v>
      </c>
      <c r="V856" s="24">
        <f t="shared" si="274"/>
        <v>0</v>
      </c>
      <c r="W856" s="24">
        <f t="shared" si="282"/>
        <v>6.4296917747331847E-5</v>
      </c>
      <c r="X856" s="25">
        <f t="shared" si="283"/>
        <v>4.0993215962068831E-5</v>
      </c>
      <c r="Y856" s="8" t="str">
        <f t="shared" si="284"/>
        <v/>
      </c>
      <c r="Z856" s="27">
        <f t="shared" si="285"/>
        <v>8.702036216592459E-3</v>
      </c>
      <c r="AC856" s="56">
        <f t="shared" si="275"/>
        <v>0</v>
      </c>
      <c r="AE856" s="20">
        <f t="shared" si="272"/>
        <v>0</v>
      </c>
      <c r="AF856" s="20">
        <f t="shared" si="273"/>
        <v>1653734793.6000001</v>
      </c>
      <c r="AG856">
        <f t="shared" si="276"/>
        <v>0</v>
      </c>
      <c r="AH856">
        <f t="shared" si="277"/>
        <v>0</v>
      </c>
      <c r="AI856">
        <f t="shared" si="278"/>
        <v>19562331980.880001</v>
      </c>
    </row>
    <row r="857" spans="2:35" x14ac:dyDescent="0.25">
      <c r="B857" s="4">
        <v>2026</v>
      </c>
      <c r="C857" s="4" t="s">
        <v>534</v>
      </c>
      <c r="D857" s="1" t="s">
        <v>242</v>
      </c>
      <c r="E857" s="4" t="str">
        <f t="shared" si="280"/>
        <v>Xcel-CO</v>
      </c>
      <c r="F857" s="4" t="s">
        <v>155</v>
      </c>
      <c r="G857" s="4"/>
      <c r="H857" s="11" t="s">
        <v>483</v>
      </c>
      <c r="I857" s="4"/>
      <c r="J857" s="4" t="s">
        <v>155</v>
      </c>
      <c r="K857" s="5">
        <v>0</v>
      </c>
      <c r="L857" s="5">
        <f t="shared" si="279"/>
        <v>0</v>
      </c>
      <c r="M857" s="8">
        <v>905674</v>
      </c>
      <c r="N857" s="8">
        <v>285143</v>
      </c>
      <c r="O857" s="8">
        <f>SUMIFS(EIAwtransport!$J$2:$J$675,EIAwtransport!$E$2:$E$675,Program_data!$E857,EIAwtransport!$H$2:$H$675,Program_data!$F857,EIAwtransport!$I$2:$I$675,Program_data!O$2)</f>
        <v>0</v>
      </c>
      <c r="P857" s="5">
        <f>SUMIFS(EIAwtransport!$J$2:$J$675,EIAwtransport!$E$2:$E$675,Program_data!$E857,EIAwtransport!$H$2:$H$675,Program_data!$F857,EIAwtransport!$I$2:$I$675,Program_data!P$2)</f>
        <v>0</v>
      </c>
      <c r="Q857" s="5">
        <f>SUMIFS(EIAwtransport!$J$2:$J$675,EIAwtransport!$E$2:$E$675,Program_data!$E857,EIAwtransport!$H$2:$H$675,Program_data!$F857,EIAwtransport!$I$2:$I$675,Program_data!Q$2)</f>
        <v>0</v>
      </c>
      <c r="R857" s="8">
        <f>SUMIFS(EIAwtransport!$J$2:$J$675,EIAwtransport!$E$2:$E$675,Program_data!$E857,EIAwtransport!$I$2:$I$675,Program_data!R$2)</f>
        <v>1224988736</v>
      </c>
      <c r="S857" s="5">
        <f>SUMIFS(EIAwtransport!$J$2:$J$675,EIAwtransport!$E$2:$E$675,Program_data!$E857,EIAwtransport!$I$2:$I$675,Program_data!S$2)</f>
        <v>185460106</v>
      </c>
      <c r="T857" s="5">
        <f>SUMIFS(EIAwtransport!$J$2:$J$675,EIAwtransport!$E$2:$E$675,Program_data!$E857,EIAwtransport!$I$2:$I$675,Program_data!T$2)</f>
        <v>1451821</v>
      </c>
      <c r="U857" s="24">
        <f t="shared" si="281"/>
        <v>0</v>
      </c>
      <c r="V857" s="24">
        <f t="shared" si="274"/>
        <v>0</v>
      </c>
      <c r="W857" s="24">
        <f t="shared" si="282"/>
        <v>7.3933251252360904E-4</v>
      </c>
      <c r="X857" s="25">
        <f t="shared" si="283"/>
        <v>4.7136967704671906E-4</v>
      </c>
      <c r="Y857" s="8" t="str">
        <f t="shared" si="284"/>
        <v/>
      </c>
      <c r="Z857" s="27">
        <f t="shared" si="285"/>
        <v>0.10006231286804919</v>
      </c>
      <c r="AC857" s="56">
        <f t="shared" si="275"/>
        <v>0</v>
      </c>
      <c r="AE857" s="20">
        <f t="shared" si="272"/>
        <v>384943.05000000005</v>
      </c>
      <c r="AF857" s="20">
        <f t="shared" si="273"/>
        <v>1653734793.6000001</v>
      </c>
      <c r="AG857">
        <f t="shared" si="276"/>
        <v>0</v>
      </c>
      <c r="AH857">
        <f t="shared" si="277"/>
        <v>0</v>
      </c>
      <c r="AI857">
        <f t="shared" si="278"/>
        <v>19562331980.880001</v>
      </c>
    </row>
    <row r="858" spans="2:35" x14ac:dyDescent="0.25">
      <c r="B858" s="4">
        <v>2026</v>
      </c>
      <c r="C858" s="4" t="s">
        <v>534</v>
      </c>
      <c r="D858" s="1" t="s">
        <v>242</v>
      </c>
      <c r="E858" s="4" t="str">
        <f t="shared" si="280"/>
        <v>Xcel-CO</v>
      </c>
      <c r="F858" s="4" t="s">
        <v>155</v>
      </c>
      <c r="G858" s="4"/>
      <c r="H858" s="11" t="s">
        <v>514</v>
      </c>
      <c r="I858" s="4"/>
      <c r="J858" s="4" t="s">
        <v>155</v>
      </c>
      <c r="K858" s="5">
        <v>0</v>
      </c>
      <c r="L858" s="5">
        <f t="shared" si="279"/>
        <v>0</v>
      </c>
      <c r="M858" s="8">
        <v>182093</v>
      </c>
      <c r="N858" s="8">
        <v>0</v>
      </c>
      <c r="O858" s="8">
        <f>SUMIFS(EIAwtransport!$J$2:$J$675,EIAwtransport!$E$2:$E$675,Program_data!$E858,EIAwtransport!$H$2:$H$675,Program_data!$F858,EIAwtransport!$I$2:$I$675,Program_data!O$2)</f>
        <v>0</v>
      </c>
      <c r="P858" s="5">
        <f>SUMIFS(EIAwtransport!$J$2:$J$675,EIAwtransport!$E$2:$E$675,Program_data!$E858,EIAwtransport!$H$2:$H$675,Program_data!$F858,EIAwtransport!$I$2:$I$675,Program_data!P$2)</f>
        <v>0</v>
      </c>
      <c r="Q858" s="5">
        <f>SUMIFS(EIAwtransport!$J$2:$J$675,EIAwtransport!$E$2:$E$675,Program_data!$E858,EIAwtransport!$H$2:$H$675,Program_data!$F858,EIAwtransport!$I$2:$I$675,Program_data!Q$2)</f>
        <v>0</v>
      </c>
      <c r="R858" s="8">
        <f>SUMIFS(EIAwtransport!$J$2:$J$675,EIAwtransport!$E$2:$E$675,Program_data!$E858,EIAwtransport!$I$2:$I$675,Program_data!R$2)</f>
        <v>1224988736</v>
      </c>
      <c r="S858" s="5">
        <f>SUMIFS(EIAwtransport!$J$2:$J$675,EIAwtransport!$E$2:$E$675,Program_data!$E858,EIAwtransport!$I$2:$I$675,Program_data!S$2)</f>
        <v>185460106</v>
      </c>
      <c r="T858" s="5">
        <f>SUMIFS(EIAwtransport!$J$2:$J$675,EIAwtransport!$E$2:$E$675,Program_data!$E858,EIAwtransport!$I$2:$I$675,Program_data!T$2)</f>
        <v>1451821</v>
      </c>
      <c r="U858" s="24">
        <f t="shared" si="281"/>
        <v>0</v>
      </c>
      <c r="V858" s="24">
        <f t="shared" si="274"/>
        <v>0</v>
      </c>
      <c r="W858" s="24">
        <f t="shared" si="282"/>
        <v>1.4864871377886693E-4</v>
      </c>
      <c r="X858" s="25">
        <f t="shared" si="283"/>
        <v>9.477264291838809E-5</v>
      </c>
      <c r="Y858" s="8" t="str">
        <f t="shared" si="284"/>
        <v/>
      </c>
      <c r="Z858" s="27">
        <f t="shared" si="285"/>
        <v>2.0118328159008297E-2</v>
      </c>
      <c r="AC858" s="56">
        <f t="shared" si="275"/>
        <v>0</v>
      </c>
      <c r="AE858" s="20">
        <f t="shared" si="272"/>
        <v>0</v>
      </c>
      <c r="AF858" s="20">
        <f t="shared" si="273"/>
        <v>1653734793.6000001</v>
      </c>
      <c r="AG858">
        <f t="shared" si="276"/>
        <v>0</v>
      </c>
      <c r="AH858">
        <f t="shared" si="277"/>
        <v>0</v>
      </c>
      <c r="AI858">
        <f t="shared" si="278"/>
        <v>19562331980.880001</v>
      </c>
    </row>
    <row r="859" spans="2:35" x14ac:dyDescent="0.25">
      <c r="B859" s="4">
        <v>2026</v>
      </c>
      <c r="C859" s="4" t="s">
        <v>534</v>
      </c>
      <c r="D859" s="1" t="s">
        <v>242</v>
      </c>
      <c r="E859" s="4" t="str">
        <f t="shared" si="280"/>
        <v>Xcel-CO</v>
      </c>
      <c r="F859" s="4" t="s">
        <v>155</v>
      </c>
      <c r="G859" s="4"/>
      <c r="H859" s="11" t="s">
        <v>552</v>
      </c>
      <c r="I859" s="4"/>
      <c r="J859" s="4" t="s">
        <v>155</v>
      </c>
      <c r="K859" s="5">
        <v>0</v>
      </c>
      <c r="L859" s="5">
        <f t="shared" si="279"/>
        <v>0</v>
      </c>
      <c r="M859" s="8">
        <v>178607</v>
      </c>
      <c r="N859" s="8">
        <v>0</v>
      </c>
      <c r="O859" s="8">
        <f>SUMIFS(EIAwtransport!$J$2:$J$675,EIAwtransport!$E$2:$E$675,Program_data!$E859,EIAwtransport!$H$2:$H$675,Program_data!$F859,EIAwtransport!$I$2:$I$675,Program_data!O$2)</f>
        <v>0</v>
      </c>
      <c r="P859" s="5">
        <f>SUMIFS(EIAwtransport!$J$2:$J$675,EIAwtransport!$E$2:$E$675,Program_data!$E859,EIAwtransport!$H$2:$H$675,Program_data!$F859,EIAwtransport!$I$2:$I$675,Program_data!P$2)</f>
        <v>0</v>
      </c>
      <c r="Q859" s="5">
        <f>SUMIFS(EIAwtransport!$J$2:$J$675,EIAwtransport!$E$2:$E$675,Program_data!$E859,EIAwtransport!$H$2:$H$675,Program_data!$F859,EIAwtransport!$I$2:$I$675,Program_data!Q$2)</f>
        <v>0</v>
      </c>
      <c r="R859" s="8">
        <f>SUMIFS(EIAwtransport!$J$2:$J$675,EIAwtransport!$E$2:$E$675,Program_data!$E859,EIAwtransport!$I$2:$I$675,Program_data!R$2)</f>
        <v>1224988736</v>
      </c>
      <c r="S859" s="5">
        <f>SUMIFS(EIAwtransport!$J$2:$J$675,EIAwtransport!$E$2:$E$675,Program_data!$E859,EIAwtransport!$I$2:$I$675,Program_data!S$2)</f>
        <v>185460106</v>
      </c>
      <c r="T859" s="5">
        <f>SUMIFS(EIAwtransport!$J$2:$J$675,EIAwtransport!$E$2:$E$675,Program_data!$E859,EIAwtransport!$I$2:$I$675,Program_data!T$2)</f>
        <v>1451821</v>
      </c>
      <c r="U859" s="24">
        <f t="shared" si="281"/>
        <v>0</v>
      </c>
      <c r="V859" s="24">
        <f t="shared" si="274"/>
        <v>0</v>
      </c>
      <c r="W859" s="24">
        <f t="shared" si="282"/>
        <v>1.4580297332627881E-4</v>
      </c>
      <c r="X859" s="25">
        <f t="shared" si="283"/>
        <v>9.2958309400825625E-5</v>
      </c>
      <c r="Y859" s="8" t="str">
        <f t="shared" si="284"/>
        <v/>
      </c>
      <c r="Z859" s="27">
        <f t="shared" si="285"/>
        <v>1.9733181602236194E-2</v>
      </c>
      <c r="AC859" s="56">
        <f t="shared" si="275"/>
        <v>0</v>
      </c>
      <c r="AE859" s="20">
        <f t="shared" si="272"/>
        <v>0</v>
      </c>
      <c r="AF859" s="20">
        <f t="shared" si="273"/>
        <v>1653734793.6000001</v>
      </c>
      <c r="AG859">
        <f t="shared" si="276"/>
        <v>0</v>
      </c>
      <c r="AH859">
        <f t="shared" si="277"/>
        <v>0</v>
      </c>
      <c r="AI859">
        <f t="shared" si="278"/>
        <v>19562331980.880001</v>
      </c>
    </row>
    <row r="860" spans="2:35" x14ac:dyDescent="0.25">
      <c r="B860" s="4">
        <v>2026</v>
      </c>
      <c r="C860" s="4" t="s">
        <v>534</v>
      </c>
      <c r="D860" s="1" t="s">
        <v>242</v>
      </c>
      <c r="E860" s="4" t="str">
        <f t="shared" si="280"/>
        <v>Xcel-CO</v>
      </c>
      <c r="F860" s="4" t="s">
        <v>155</v>
      </c>
      <c r="G860" s="4"/>
      <c r="H860" s="11" t="s">
        <v>553</v>
      </c>
      <c r="I860" s="4"/>
      <c r="J860" s="4" t="s">
        <v>155</v>
      </c>
      <c r="K860" s="5">
        <v>0</v>
      </c>
      <c r="L860" s="5">
        <f t="shared" si="279"/>
        <v>0</v>
      </c>
      <c r="M860" s="8">
        <v>416262</v>
      </c>
      <c r="N860" s="8">
        <v>0</v>
      </c>
      <c r="O860" s="8">
        <f>SUMIFS(EIAwtransport!$J$2:$J$675,EIAwtransport!$E$2:$E$675,Program_data!$E860,EIAwtransport!$H$2:$H$675,Program_data!$F860,EIAwtransport!$I$2:$I$675,Program_data!O$2)</f>
        <v>0</v>
      </c>
      <c r="P860" s="5">
        <f>SUMIFS(EIAwtransport!$J$2:$J$675,EIAwtransport!$E$2:$E$675,Program_data!$E860,EIAwtransport!$H$2:$H$675,Program_data!$F860,EIAwtransport!$I$2:$I$675,Program_data!P$2)</f>
        <v>0</v>
      </c>
      <c r="Q860" s="5">
        <f>SUMIFS(EIAwtransport!$J$2:$J$675,EIAwtransport!$E$2:$E$675,Program_data!$E860,EIAwtransport!$H$2:$H$675,Program_data!$F860,EIAwtransport!$I$2:$I$675,Program_data!Q$2)</f>
        <v>0</v>
      </c>
      <c r="R860" s="8">
        <f>SUMIFS(EIAwtransport!$J$2:$J$675,EIAwtransport!$E$2:$E$675,Program_data!$E860,EIAwtransport!$I$2:$I$675,Program_data!R$2)</f>
        <v>1224988736</v>
      </c>
      <c r="S860" s="5">
        <f>SUMIFS(EIAwtransport!$J$2:$J$675,EIAwtransport!$E$2:$E$675,Program_data!$E860,EIAwtransport!$I$2:$I$675,Program_data!S$2)</f>
        <v>185460106</v>
      </c>
      <c r="T860" s="5">
        <f>SUMIFS(EIAwtransport!$J$2:$J$675,EIAwtransport!$E$2:$E$675,Program_data!$E860,EIAwtransport!$I$2:$I$675,Program_data!T$2)</f>
        <v>1451821</v>
      </c>
      <c r="U860" s="24">
        <f t="shared" si="281"/>
        <v>0</v>
      </c>
      <c r="V860" s="24">
        <f t="shared" si="274"/>
        <v>0</v>
      </c>
      <c r="W860" s="24">
        <f t="shared" si="282"/>
        <v>3.3980883886266199E-4</v>
      </c>
      <c r="X860" s="25">
        <f t="shared" si="283"/>
        <v>2.1664890954893414E-4</v>
      </c>
      <c r="Y860" s="8" t="str">
        <f t="shared" si="284"/>
        <v/>
      </c>
      <c r="Z860" s="27">
        <f t="shared" si="285"/>
        <v>4.5990211134558229E-2</v>
      </c>
      <c r="AC860" s="56">
        <f t="shared" si="275"/>
        <v>0</v>
      </c>
      <c r="AE860" s="20">
        <f t="shared" si="272"/>
        <v>0</v>
      </c>
      <c r="AF860" s="20">
        <f t="shared" si="273"/>
        <v>1653734793.6000001</v>
      </c>
      <c r="AG860">
        <f t="shared" si="276"/>
        <v>0</v>
      </c>
      <c r="AH860">
        <f t="shared" si="277"/>
        <v>0</v>
      </c>
      <c r="AI860">
        <f t="shared" si="278"/>
        <v>19562331980.880001</v>
      </c>
    </row>
    <row r="861" spans="2:35" x14ac:dyDescent="0.25">
      <c r="B861" s="4">
        <v>2026</v>
      </c>
      <c r="C861" s="4" t="s">
        <v>534</v>
      </c>
      <c r="D861" s="1" t="s">
        <v>242</v>
      </c>
      <c r="E861" s="4" t="str">
        <f t="shared" si="280"/>
        <v>Xcel-CO</v>
      </c>
      <c r="F861" s="4" t="s">
        <v>155</v>
      </c>
      <c r="G861" s="4"/>
      <c r="H861" s="11" t="s">
        <v>554</v>
      </c>
      <c r="I861" s="4"/>
      <c r="J861" s="4" t="s">
        <v>155</v>
      </c>
      <c r="K861" s="5">
        <v>0</v>
      </c>
      <c r="L861" s="5">
        <f t="shared" si="279"/>
        <v>0</v>
      </c>
      <c r="M861" s="8">
        <v>154437</v>
      </c>
      <c r="N861" s="8">
        <v>0</v>
      </c>
      <c r="O861" s="8">
        <f>SUMIFS(EIAwtransport!$J$2:$J$675,EIAwtransport!$E$2:$E$675,Program_data!$E861,EIAwtransport!$H$2:$H$675,Program_data!$F861,EIAwtransport!$I$2:$I$675,Program_data!O$2)</f>
        <v>0</v>
      </c>
      <c r="P861" s="5">
        <f>SUMIFS(EIAwtransport!$J$2:$J$675,EIAwtransport!$E$2:$E$675,Program_data!$E861,EIAwtransport!$H$2:$H$675,Program_data!$F861,EIAwtransport!$I$2:$I$675,Program_data!P$2)</f>
        <v>0</v>
      </c>
      <c r="Q861" s="5">
        <f>SUMIFS(EIAwtransport!$J$2:$J$675,EIAwtransport!$E$2:$E$675,Program_data!$E861,EIAwtransport!$H$2:$H$675,Program_data!$F861,EIAwtransport!$I$2:$I$675,Program_data!Q$2)</f>
        <v>0</v>
      </c>
      <c r="R861" s="8">
        <f>SUMIFS(EIAwtransport!$J$2:$J$675,EIAwtransport!$E$2:$E$675,Program_data!$E861,EIAwtransport!$I$2:$I$675,Program_data!R$2)</f>
        <v>1224988736</v>
      </c>
      <c r="S861" s="5">
        <f>SUMIFS(EIAwtransport!$J$2:$J$675,EIAwtransport!$E$2:$E$675,Program_data!$E861,EIAwtransport!$I$2:$I$675,Program_data!S$2)</f>
        <v>185460106</v>
      </c>
      <c r="T861" s="5">
        <f>SUMIFS(EIAwtransport!$J$2:$J$675,EIAwtransport!$E$2:$E$675,Program_data!$E861,EIAwtransport!$I$2:$I$675,Program_data!T$2)</f>
        <v>1451821</v>
      </c>
      <c r="U861" s="24">
        <f t="shared" si="281"/>
        <v>0</v>
      </c>
      <c r="V861" s="24">
        <f t="shared" si="274"/>
        <v>0</v>
      </c>
      <c r="W861" s="24">
        <f t="shared" si="282"/>
        <v>1.260721796547197E-4</v>
      </c>
      <c r="X861" s="25">
        <f t="shared" si="283"/>
        <v>8.0378722160583335E-5</v>
      </c>
      <c r="Y861" s="8" t="str">
        <f t="shared" si="284"/>
        <v/>
      </c>
      <c r="Z861" s="27">
        <f t="shared" si="285"/>
        <v>1.7062787948426156E-2</v>
      </c>
      <c r="AC861" s="56">
        <f t="shared" si="275"/>
        <v>0</v>
      </c>
      <c r="AE861" s="20">
        <f t="shared" si="272"/>
        <v>0</v>
      </c>
      <c r="AF861" s="20">
        <f t="shared" si="273"/>
        <v>1653734793.6000001</v>
      </c>
      <c r="AG861">
        <f t="shared" si="276"/>
        <v>0</v>
      </c>
      <c r="AH861">
        <f t="shared" si="277"/>
        <v>0</v>
      </c>
      <c r="AI861">
        <f t="shared" si="278"/>
        <v>19562331980.880001</v>
      </c>
    </row>
    <row r="862" spans="2:35" x14ac:dyDescent="0.25">
      <c r="B862" s="4">
        <v>2026</v>
      </c>
      <c r="C862" s="4" t="s">
        <v>534</v>
      </c>
      <c r="D862" s="1" t="s">
        <v>242</v>
      </c>
      <c r="E862" s="4" t="str">
        <f t="shared" si="280"/>
        <v>Xcel-CO</v>
      </c>
      <c r="F862" s="4" t="s">
        <v>155</v>
      </c>
      <c r="G862" s="4"/>
      <c r="H862" s="11" t="s">
        <v>555</v>
      </c>
      <c r="I862" s="4"/>
      <c r="J862" s="4" t="s">
        <v>155</v>
      </c>
      <c r="K862" s="5">
        <v>0</v>
      </c>
      <c r="L862" s="5">
        <f t="shared" si="279"/>
        <v>0</v>
      </c>
      <c r="M862" s="8">
        <v>409330</v>
      </c>
      <c r="N862" s="8">
        <v>0</v>
      </c>
      <c r="O862" s="8">
        <f>SUMIFS(EIAwtransport!$J$2:$J$675,EIAwtransport!$E$2:$E$675,Program_data!$E862,EIAwtransport!$H$2:$H$675,Program_data!$F862,EIAwtransport!$I$2:$I$675,Program_data!O$2)</f>
        <v>0</v>
      </c>
      <c r="P862" s="5">
        <f>SUMIFS(EIAwtransport!$J$2:$J$675,EIAwtransport!$E$2:$E$675,Program_data!$E862,EIAwtransport!$H$2:$H$675,Program_data!$F862,EIAwtransport!$I$2:$I$675,Program_data!P$2)</f>
        <v>0</v>
      </c>
      <c r="Q862" s="5">
        <f>SUMIFS(EIAwtransport!$J$2:$J$675,EIAwtransport!$E$2:$E$675,Program_data!$E862,EIAwtransport!$H$2:$H$675,Program_data!$F862,EIAwtransport!$I$2:$I$675,Program_data!Q$2)</f>
        <v>0</v>
      </c>
      <c r="R862" s="8">
        <f>SUMIFS(EIAwtransport!$J$2:$J$675,EIAwtransport!$E$2:$E$675,Program_data!$E862,EIAwtransport!$I$2:$I$675,Program_data!R$2)</f>
        <v>1224988736</v>
      </c>
      <c r="S862" s="5">
        <f>SUMIFS(EIAwtransport!$J$2:$J$675,EIAwtransport!$E$2:$E$675,Program_data!$E862,EIAwtransport!$I$2:$I$675,Program_data!S$2)</f>
        <v>185460106</v>
      </c>
      <c r="T862" s="5">
        <f>SUMIFS(EIAwtransport!$J$2:$J$675,EIAwtransport!$E$2:$E$675,Program_data!$E862,EIAwtransport!$I$2:$I$675,Program_data!T$2)</f>
        <v>1451821</v>
      </c>
      <c r="U862" s="24">
        <f t="shared" si="281"/>
        <v>0</v>
      </c>
      <c r="V862" s="24">
        <f t="shared" si="274"/>
        <v>0</v>
      </c>
      <c r="W862" s="24">
        <f t="shared" si="282"/>
        <v>3.3415001131896125E-4</v>
      </c>
      <c r="X862" s="25">
        <f t="shared" si="283"/>
        <v>2.1304106102806695E-4</v>
      </c>
      <c r="Y862" s="8" t="str">
        <f t="shared" si="284"/>
        <v/>
      </c>
      <c r="Z862" s="27">
        <f t="shared" si="285"/>
        <v>4.5224337373357931E-2</v>
      </c>
      <c r="AC862" s="56">
        <f t="shared" si="275"/>
        <v>0</v>
      </c>
      <c r="AE862" s="20">
        <f t="shared" ref="AE862:AE932" si="286">N862*1.35</f>
        <v>0</v>
      </c>
      <c r="AF862" s="20">
        <f t="shared" ref="AF862:AF868" si="287">R862*1.35</f>
        <v>1653734793.6000001</v>
      </c>
      <c r="AG862">
        <f t="shared" si="276"/>
        <v>0</v>
      </c>
      <c r="AH862">
        <f t="shared" si="277"/>
        <v>0</v>
      </c>
      <c r="AI862">
        <f t="shared" si="278"/>
        <v>19562331980.880001</v>
      </c>
    </row>
    <row r="863" spans="2:35" x14ac:dyDescent="0.25">
      <c r="B863" s="4">
        <v>2024</v>
      </c>
      <c r="C863" s="4" t="s">
        <v>28</v>
      </c>
      <c r="D863" s="1" t="s">
        <v>169</v>
      </c>
      <c r="E863" s="4" t="str">
        <f t="shared" ref="E863" si="288">D863&amp;"-"&amp;C863</f>
        <v>Ameren-IL</v>
      </c>
      <c r="F863" s="4" t="s">
        <v>135</v>
      </c>
      <c r="G863" s="4"/>
      <c r="H863" s="11" t="s">
        <v>557</v>
      </c>
      <c r="I863" s="4"/>
      <c r="J863" s="4" t="s">
        <v>27</v>
      </c>
      <c r="K863" s="5">
        <f>77121/2</f>
        <v>38560.5</v>
      </c>
      <c r="L863" s="5">
        <f>K863/_xlfn.XLOOKUP(C864,'Utility target list'!$K$2:$K$8,'Utility target list'!$L$2:$L$8,1,0,1)</f>
        <v>42845</v>
      </c>
      <c r="M863" s="8">
        <f>374793/2</f>
        <v>187396.5</v>
      </c>
      <c r="N863" s="8">
        <f>242075/2</f>
        <v>121037.5</v>
      </c>
      <c r="O863" s="8">
        <f>SUMIFS(EIAwtransport!$J$2:$J$675,EIAwtransport!$E$2:$E$675,Program_data!$E863,EIAwtransport!$H$2:$H$675,Program_data!$F863,EIAwtransport!$I$2:$I$675,Program_data!O$2)</f>
        <v>656607163</v>
      </c>
      <c r="P863" s="5">
        <f>SUMIFS(EIAwtransport!$J$2:$J$675,EIAwtransport!$E$2:$E$675,Program_data!$E863,EIAwtransport!$H$2:$H$675,Program_data!$F863,EIAwtransport!$I$2:$I$675,Program_data!P$2)</f>
        <v>52227229</v>
      </c>
      <c r="Q863" s="5">
        <f>SUMIFS(EIAwtransport!$J$2:$J$675,EIAwtransport!$E$2:$E$675,Program_data!$E863,EIAwtransport!$H$2:$H$675,Program_data!$F863,EIAwtransport!$I$2:$I$675,Program_data!Q$2)</f>
        <v>746102</v>
      </c>
      <c r="R863" s="8">
        <f>SUMIFS(EIAwtransport!$J$2:$J$675,EIAwtransport!$E$2:$E$675,Program_data!$E863,EIAwtransport!$I$2:$I$675,Program_data!R$2)</f>
        <v>934881707</v>
      </c>
      <c r="S863" s="5">
        <f>SUMIFS(EIAwtransport!$J$2:$J$675,EIAwtransport!$E$2:$E$675,Program_data!$E863,EIAwtransport!$I$2:$I$675,Program_data!S$2)</f>
        <v>155630500</v>
      </c>
      <c r="T863" s="5">
        <f>SUMIFS(EIAwtransport!$J$2:$J$675,EIAwtransport!$E$2:$E$675,Program_data!$E863,EIAwtransport!$I$2:$I$675,Program_data!T$2)</f>
        <v>814853</v>
      </c>
      <c r="U863" s="24">
        <f t="shared" si="281"/>
        <v>2.3915980380169598E-5</v>
      </c>
      <c r="V863" s="24">
        <f t="shared" si="274"/>
        <v>2.6573311533521776E-5</v>
      </c>
      <c r="W863" s="24">
        <f t="shared" si="282"/>
        <v>2.0044942434626118E-4</v>
      </c>
      <c r="X863" s="25">
        <f t="shared" si="283"/>
        <v>1.1622699439354916E-4</v>
      </c>
      <c r="Y863" s="8">
        <f t="shared" si="284"/>
        <v>0.19914061885643966</v>
      </c>
      <c r="Z863" s="27">
        <f t="shared" si="285"/>
        <v>5.174364713376535E-2</v>
      </c>
      <c r="AC863" s="56"/>
      <c r="AE863" s="20">
        <f t="shared" si="286"/>
        <v>163400.625</v>
      </c>
      <c r="AF863" s="20">
        <f t="shared" si="287"/>
        <v>1262090304.45</v>
      </c>
      <c r="AG863">
        <f t="shared" si="276"/>
        <v>4067361.54</v>
      </c>
      <c r="AH863">
        <f t="shared" si="277"/>
        <v>4519290.6000000006</v>
      </c>
      <c r="AI863">
        <f t="shared" si="278"/>
        <v>16415905140</v>
      </c>
    </row>
    <row r="864" spans="2:35" x14ac:dyDescent="0.25">
      <c r="B864" s="4">
        <v>2024</v>
      </c>
      <c r="C864" s="4" t="s">
        <v>28</v>
      </c>
      <c r="D864" s="1" t="s">
        <v>169</v>
      </c>
      <c r="E864" s="4" t="str">
        <f t="shared" si="280"/>
        <v>Ameren-IL</v>
      </c>
      <c r="F864" s="4" t="s">
        <v>135</v>
      </c>
      <c r="G864" s="4"/>
      <c r="H864" s="11" t="s">
        <v>557</v>
      </c>
      <c r="I864" s="4"/>
      <c r="J864" s="4" t="s">
        <v>21</v>
      </c>
      <c r="K864" s="5">
        <f>77121/2</f>
        <v>38560.5</v>
      </c>
      <c r="L864" s="5">
        <f>K864/_xlfn.XLOOKUP(C864,'Utility target list'!$K$2:$K$8,'Utility target list'!$L$2:$L$8,1,0,1)</f>
        <v>42845</v>
      </c>
      <c r="M864" s="8">
        <f>374793/2</f>
        <v>187396.5</v>
      </c>
      <c r="N864" s="8">
        <f>242075/2</f>
        <v>121037.5</v>
      </c>
      <c r="O864" s="8">
        <f>SUMIFS(EIAwtransport!$J$2:$J$675,EIAwtransport!$E$2:$E$675,Program_data!$E864,EIAwtransport!$H$2:$H$675,Program_data!$F864,EIAwtransport!$I$2:$I$675,Program_data!O$2)</f>
        <v>656607163</v>
      </c>
      <c r="P864" s="5">
        <f>SUMIFS(EIAwtransport!$J$2:$J$675,EIAwtransport!$E$2:$E$675,Program_data!$E864,EIAwtransport!$H$2:$H$675,Program_data!$F864,EIAwtransport!$I$2:$I$675,Program_data!P$2)</f>
        <v>52227229</v>
      </c>
      <c r="Q864" s="5">
        <f>SUMIFS(EIAwtransport!$J$2:$J$675,EIAwtransport!$E$2:$E$675,Program_data!$E864,EIAwtransport!$H$2:$H$675,Program_data!$F864,EIAwtransport!$I$2:$I$675,Program_data!Q$2)</f>
        <v>746102</v>
      </c>
      <c r="R864" s="8">
        <f>SUMIFS(EIAwtransport!$J$2:$J$675,EIAwtransport!$E$2:$E$675,Program_data!$E864,EIAwtransport!$I$2:$I$675,Program_data!R$2)</f>
        <v>934881707</v>
      </c>
      <c r="S864" s="5">
        <f>SUMIFS(EIAwtransport!$J$2:$J$675,EIAwtransport!$E$2:$E$675,Program_data!$E864,EIAwtransport!$I$2:$I$675,Program_data!S$2)</f>
        <v>155630500</v>
      </c>
      <c r="T864" s="5">
        <f>SUMIFS(EIAwtransport!$J$2:$J$675,EIAwtransport!$E$2:$E$675,Program_data!$E864,EIAwtransport!$I$2:$I$675,Program_data!T$2)</f>
        <v>814853</v>
      </c>
      <c r="U864" s="24">
        <f t="shared" si="281"/>
        <v>2.3915980380169598E-5</v>
      </c>
      <c r="V864" s="24">
        <f t="shared" si="274"/>
        <v>2.6573311533521776E-5</v>
      </c>
      <c r="W864" s="24">
        <f t="shared" si="282"/>
        <v>2.0044942434626118E-4</v>
      </c>
      <c r="X864" s="25">
        <f t="shared" si="283"/>
        <v>1.1622699439354916E-4</v>
      </c>
      <c r="Y864" s="8">
        <f t="shared" si="284"/>
        <v>0.19914061885643966</v>
      </c>
      <c r="Z864" s="27">
        <f t="shared" si="285"/>
        <v>5.174364713376535E-2</v>
      </c>
      <c r="AA864" s="27"/>
      <c r="AB864" s="40"/>
      <c r="AC864" s="56">
        <f t="shared" ref="AC864:AC869" si="289">IFERROR(K864/SUMIFS($M$3:$M$1234,$E$3:$E$1234,E864,$B$3:$B$1234,B864),"")</f>
        <v>1.8056817549650453E-3</v>
      </c>
      <c r="AE864" s="20">
        <f t="shared" si="286"/>
        <v>163400.625</v>
      </c>
      <c r="AF864" s="20">
        <f t="shared" si="287"/>
        <v>1262090304.45</v>
      </c>
      <c r="AG864">
        <f t="shared" si="276"/>
        <v>4067361.54</v>
      </c>
      <c r="AH864">
        <f t="shared" si="277"/>
        <v>4519290.6000000006</v>
      </c>
      <c r="AI864">
        <f t="shared" si="278"/>
        <v>16415905140</v>
      </c>
    </row>
    <row r="865" spans="1:37" x14ac:dyDescent="0.25">
      <c r="B865" s="4">
        <v>2024</v>
      </c>
      <c r="C865" s="4" t="s">
        <v>28</v>
      </c>
      <c r="D865" s="1" t="s">
        <v>169</v>
      </c>
      <c r="E865" s="4" t="str">
        <f t="shared" si="280"/>
        <v>Ameren-IL</v>
      </c>
      <c r="F865" s="4" t="s">
        <v>135</v>
      </c>
      <c r="G865" s="4"/>
      <c r="H865" s="11" t="s">
        <v>182</v>
      </c>
      <c r="I865" s="4"/>
      <c r="J865" s="4" t="s">
        <v>21</v>
      </c>
      <c r="K865" s="5">
        <v>60990</v>
      </c>
      <c r="L865" s="5">
        <f>K865/_xlfn.XLOOKUP(C865,'Utility target list'!$K$2:$K$8,'Utility target list'!$L$2:$L$8,1,0,1)</f>
        <v>67766.666666666672</v>
      </c>
      <c r="M865" s="8">
        <v>522455</v>
      </c>
      <c r="N865" s="8">
        <v>113868</v>
      </c>
      <c r="O865" s="8">
        <f>SUMIFS(EIAwtransport!$J$2:$J$675,EIAwtransport!$E$2:$E$675,Program_data!$E865,EIAwtransport!$H$2:$H$675,Program_data!$F865,EIAwtransport!$I$2:$I$675,Program_data!O$2)</f>
        <v>656607163</v>
      </c>
      <c r="P865" s="5">
        <f>SUMIFS(EIAwtransport!$J$2:$J$675,EIAwtransport!$E$2:$E$675,Program_data!$E865,EIAwtransport!$H$2:$H$675,Program_data!$F865,EIAwtransport!$I$2:$I$675,Program_data!P$2)</f>
        <v>52227229</v>
      </c>
      <c r="Q865" s="5">
        <f>SUMIFS(EIAwtransport!$J$2:$J$675,EIAwtransport!$E$2:$E$675,Program_data!$E865,EIAwtransport!$H$2:$H$675,Program_data!$F865,EIAwtransport!$I$2:$I$675,Program_data!Q$2)</f>
        <v>746102</v>
      </c>
      <c r="R865" s="8">
        <f>SUMIFS(EIAwtransport!$J$2:$J$675,EIAwtransport!$E$2:$E$675,Program_data!$E865,EIAwtransport!$I$2:$I$675,Program_data!R$2)</f>
        <v>934881707</v>
      </c>
      <c r="S865" s="5">
        <f>SUMIFS(EIAwtransport!$J$2:$J$675,EIAwtransport!$E$2:$E$675,Program_data!$E865,EIAwtransport!$I$2:$I$675,Program_data!S$2)</f>
        <v>155630500</v>
      </c>
      <c r="T865" s="5">
        <f>SUMIFS(EIAwtransport!$J$2:$J$675,EIAwtransport!$E$2:$E$675,Program_data!$E865,EIAwtransport!$I$2:$I$675,Program_data!T$2)</f>
        <v>814853</v>
      </c>
      <c r="U865" s="24">
        <f t="shared" si="281"/>
        <v>3.7827197349270466E-5</v>
      </c>
      <c r="V865" s="24">
        <f t="shared" si="274"/>
        <v>4.2030219276967192E-5</v>
      </c>
      <c r="W865" s="24">
        <f t="shared" si="282"/>
        <v>5.5884610436601474E-4</v>
      </c>
      <c r="X865" s="25">
        <f t="shared" si="283"/>
        <v>3.2403686491413514E-4</v>
      </c>
      <c r="Y865" s="8">
        <f t="shared" si="284"/>
        <v>0.55519719965229442</v>
      </c>
      <c r="Z865" s="27">
        <f t="shared" si="285"/>
        <v>0.14425950945333224</v>
      </c>
      <c r="AA865" s="27"/>
      <c r="AB865" s="40"/>
      <c r="AC865" s="56">
        <f t="shared" si="289"/>
        <v>2.8559933153179578E-3</v>
      </c>
      <c r="AE865" s="20">
        <f t="shared" si="286"/>
        <v>153721.80000000002</v>
      </c>
      <c r="AF865" s="20">
        <f t="shared" si="287"/>
        <v>1262090304.45</v>
      </c>
      <c r="AG865">
        <f t="shared" si="276"/>
        <v>6433225.2000000002</v>
      </c>
      <c r="AH865">
        <f t="shared" si="277"/>
        <v>7148028.0000000009</v>
      </c>
      <c r="AI865">
        <f t="shared" si="278"/>
        <v>16415905140</v>
      </c>
    </row>
    <row r="866" spans="1:37" x14ac:dyDescent="0.25">
      <c r="B866" s="4">
        <v>2024</v>
      </c>
      <c r="C866" s="4" t="s">
        <v>28</v>
      </c>
      <c r="D866" s="1" t="s">
        <v>169</v>
      </c>
      <c r="E866" s="4" t="str">
        <f t="shared" si="280"/>
        <v>Ameren-IL</v>
      </c>
      <c r="F866" s="4" t="s">
        <v>135</v>
      </c>
      <c r="G866" s="4"/>
      <c r="H866" s="11" t="s">
        <v>558</v>
      </c>
      <c r="I866" s="4"/>
      <c r="J866" s="4" t="s">
        <v>42</v>
      </c>
      <c r="K866" s="5">
        <v>51962</v>
      </c>
      <c r="L866" s="5">
        <f>K866/_xlfn.XLOOKUP(C866,'Utility target list'!$K$2:$K$8,'Utility target list'!$L$2:$L$8,1,0,1)</f>
        <v>57735.555555555555</v>
      </c>
      <c r="M866" s="8">
        <v>117206</v>
      </c>
      <c r="N866" s="8">
        <v>76605</v>
      </c>
      <c r="O866" s="8">
        <f>SUMIFS(EIAwtransport!$J$2:$J$675,EIAwtransport!$E$2:$E$675,Program_data!$E866,EIAwtransport!$H$2:$H$675,Program_data!$F866,EIAwtransport!$I$2:$I$675,Program_data!O$2)</f>
        <v>656607163</v>
      </c>
      <c r="P866" s="5">
        <f>SUMIFS(EIAwtransport!$J$2:$J$675,EIAwtransport!$E$2:$E$675,Program_data!$E866,EIAwtransport!$H$2:$H$675,Program_data!$F866,EIAwtransport!$I$2:$I$675,Program_data!P$2)</f>
        <v>52227229</v>
      </c>
      <c r="Q866" s="5">
        <f>SUMIFS(EIAwtransport!$J$2:$J$675,EIAwtransport!$E$2:$E$675,Program_data!$E866,EIAwtransport!$H$2:$H$675,Program_data!$F866,EIAwtransport!$I$2:$I$675,Program_data!Q$2)</f>
        <v>746102</v>
      </c>
      <c r="R866" s="8">
        <f>SUMIFS(EIAwtransport!$J$2:$J$675,EIAwtransport!$E$2:$E$675,Program_data!$E866,EIAwtransport!$I$2:$I$675,Program_data!R$2)</f>
        <v>934881707</v>
      </c>
      <c r="S866" s="5">
        <f>SUMIFS(EIAwtransport!$J$2:$J$675,EIAwtransport!$E$2:$E$675,Program_data!$E866,EIAwtransport!$I$2:$I$675,Program_data!S$2)</f>
        <v>155630500</v>
      </c>
      <c r="T866" s="5">
        <f>SUMIFS(EIAwtransport!$J$2:$J$675,EIAwtransport!$E$2:$E$675,Program_data!$E866,EIAwtransport!$I$2:$I$675,Program_data!T$2)</f>
        <v>814853</v>
      </c>
      <c r="U866" s="24">
        <f t="shared" si="281"/>
        <v>3.2227854216474697E-5</v>
      </c>
      <c r="V866" s="24">
        <f t="shared" ref="V866:V868" si="290">IFERROR(L866/10.36/S866,"")</f>
        <v>3.5808726907194112E-5</v>
      </c>
      <c r="W866" s="24">
        <f t="shared" si="282"/>
        <v>1.2536987206232712E-4</v>
      </c>
      <c r="X866" s="25">
        <f t="shared" si="283"/>
        <v>7.2693466019324384E-5</v>
      </c>
      <c r="Y866" s="8">
        <f t="shared" si="284"/>
        <v>0.12455128763711099</v>
      </c>
      <c r="Z866" s="27">
        <f t="shared" si="285"/>
        <v>3.2362749069273444E-2</v>
      </c>
      <c r="AA866" s="27"/>
      <c r="AB866" s="40"/>
      <c r="AC866" s="56">
        <f t="shared" si="289"/>
        <v>2.4332370003369687E-3</v>
      </c>
      <c r="AE866" s="20">
        <f t="shared" si="286"/>
        <v>103416.75</v>
      </c>
      <c r="AF866" s="20">
        <f t="shared" si="287"/>
        <v>1262090304.45</v>
      </c>
      <c r="AG866">
        <f t="shared" si="276"/>
        <v>5480951.7599999998</v>
      </c>
      <c r="AH866">
        <f t="shared" si="277"/>
        <v>6089946.4000000004</v>
      </c>
      <c r="AI866">
        <f t="shared" si="278"/>
        <v>16415905140</v>
      </c>
    </row>
    <row r="867" spans="1:37" x14ac:dyDescent="0.25">
      <c r="B867" s="4">
        <v>2024</v>
      </c>
      <c r="C867" s="4" t="s">
        <v>28</v>
      </c>
      <c r="D867" s="1" t="s">
        <v>169</v>
      </c>
      <c r="E867" s="4" t="str">
        <f t="shared" si="280"/>
        <v>Ameren-IL</v>
      </c>
      <c r="F867" s="4" t="s">
        <v>135</v>
      </c>
      <c r="G867" s="4"/>
      <c r="H867" s="11" t="s">
        <v>184</v>
      </c>
      <c r="I867" s="4"/>
      <c r="J867" s="4" t="s">
        <v>21</v>
      </c>
      <c r="K867" s="5">
        <v>661469</v>
      </c>
      <c r="L867" s="5">
        <f>K867/_xlfn.XLOOKUP(C867,'Utility target list'!$K$2:$K$8,'Utility target list'!$L$2:$L$8,1,0,1)</f>
        <v>734965.5555555555</v>
      </c>
      <c r="M867" s="8">
        <v>1017157</v>
      </c>
      <c r="N867" s="8">
        <v>742570</v>
      </c>
      <c r="O867" s="8">
        <f>SUMIFS(EIAwtransport!$J$2:$J$675,EIAwtransport!$E$2:$E$675,Program_data!$E867,EIAwtransport!$H$2:$H$675,Program_data!$F867,EIAwtransport!$I$2:$I$675,Program_data!O$2)</f>
        <v>656607163</v>
      </c>
      <c r="P867" s="5">
        <f>SUMIFS(EIAwtransport!$J$2:$J$675,EIAwtransport!$E$2:$E$675,Program_data!$E867,EIAwtransport!$H$2:$H$675,Program_data!$F867,EIAwtransport!$I$2:$I$675,Program_data!P$2)</f>
        <v>52227229</v>
      </c>
      <c r="Q867" s="5">
        <f>SUMIFS(EIAwtransport!$J$2:$J$675,EIAwtransport!$E$2:$E$675,Program_data!$E867,EIAwtransport!$H$2:$H$675,Program_data!$F867,EIAwtransport!$I$2:$I$675,Program_data!Q$2)</f>
        <v>746102</v>
      </c>
      <c r="R867" s="8">
        <f>SUMIFS(EIAwtransport!$J$2:$J$675,EIAwtransport!$E$2:$E$675,Program_data!$E867,EIAwtransport!$I$2:$I$675,Program_data!R$2)</f>
        <v>934881707</v>
      </c>
      <c r="S867" s="5">
        <f>SUMIFS(EIAwtransport!$J$2:$J$675,EIAwtransport!$E$2:$E$675,Program_data!$E867,EIAwtransport!$I$2:$I$675,Program_data!S$2)</f>
        <v>155630500</v>
      </c>
      <c r="T867" s="5">
        <f>SUMIFS(EIAwtransport!$J$2:$J$675,EIAwtransport!$E$2:$E$675,Program_data!$E867,EIAwtransport!$I$2:$I$675,Program_data!T$2)</f>
        <v>814853</v>
      </c>
      <c r="U867" s="24">
        <f t="shared" si="281"/>
        <v>4.1025608138095732E-4</v>
      </c>
      <c r="V867" s="24">
        <f t="shared" si="290"/>
        <v>4.5584009042328594E-4</v>
      </c>
      <c r="W867" s="24">
        <f t="shared" si="282"/>
        <v>1.0880061000059765E-3</v>
      </c>
      <c r="X867" s="25">
        <f t="shared" si="283"/>
        <v>6.3086077347420722E-4</v>
      </c>
      <c r="Y867" s="8">
        <f t="shared" si="284"/>
        <v>1.080902121726711</v>
      </c>
      <c r="Z867" s="27">
        <f t="shared" si="285"/>
        <v>0.28085590119153431</v>
      </c>
      <c r="AA867" s="27"/>
      <c r="AB867" s="40"/>
      <c r="AC867" s="56">
        <f t="shared" si="289"/>
        <v>3.0974767048533438E-2</v>
      </c>
      <c r="AE867" s="20">
        <f t="shared" si="286"/>
        <v>1002469.5000000001</v>
      </c>
      <c r="AF867" s="20">
        <f t="shared" si="287"/>
        <v>1262090304.45</v>
      </c>
      <c r="AG867">
        <f t="shared" si="276"/>
        <v>69771750.120000005</v>
      </c>
      <c r="AH867">
        <f t="shared" si="277"/>
        <v>77524166.799999997</v>
      </c>
      <c r="AI867">
        <f t="shared" si="278"/>
        <v>16415905140</v>
      </c>
    </row>
    <row r="868" spans="1:37" x14ac:dyDescent="0.25">
      <c r="B868" s="4">
        <v>2024</v>
      </c>
      <c r="C868" s="4" t="s">
        <v>28</v>
      </c>
      <c r="D868" s="1" t="s">
        <v>169</v>
      </c>
      <c r="E868" s="4" t="str">
        <f t="shared" si="280"/>
        <v>Ameren-IL</v>
      </c>
      <c r="F868" s="4" t="s">
        <v>135</v>
      </c>
      <c r="G868" s="4"/>
      <c r="H868" s="11" t="s">
        <v>185</v>
      </c>
      <c r="I868" s="4"/>
      <c r="J868" s="4" t="s">
        <v>21</v>
      </c>
      <c r="K868" s="5">
        <v>89484</v>
      </c>
      <c r="L868" s="5">
        <f>K868/_xlfn.XLOOKUP(C868,'Utility target list'!$K$2:$K$8,'Utility target list'!$L$2:$L$8,1,0,1)</f>
        <v>99426.666666666657</v>
      </c>
      <c r="M868" s="8">
        <v>64807</v>
      </c>
      <c r="N868" s="8">
        <v>17347</v>
      </c>
      <c r="O868" s="8">
        <f>SUMIFS(EIAwtransport!$J$2:$J$675,EIAwtransport!$E$2:$E$675,Program_data!$E868,EIAwtransport!$H$2:$H$675,Program_data!$F868,EIAwtransport!$I$2:$I$675,Program_data!O$2)</f>
        <v>656607163</v>
      </c>
      <c r="P868" s="5">
        <f>SUMIFS(EIAwtransport!$J$2:$J$675,EIAwtransport!$E$2:$E$675,Program_data!$E868,EIAwtransport!$H$2:$H$675,Program_data!$F868,EIAwtransport!$I$2:$I$675,Program_data!P$2)</f>
        <v>52227229</v>
      </c>
      <c r="Q868" s="5">
        <f>SUMIFS(EIAwtransport!$J$2:$J$675,EIAwtransport!$E$2:$E$675,Program_data!$E868,EIAwtransport!$H$2:$H$675,Program_data!$F868,EIAwtransport!$I$2:$I$675,Program_data!Q$2)</f>
        <v>746102</v>
      </c>
      <c r="R868" s="8">
        <f>SUMIFS(EIAwtransport!$J$2:$J$675,EIAwtransport!$E$2:$E$675,Program_data!$E868,EIAwtransport!$I$2:$I$675,Program_data!R$2)</f>
        <v>934881707</v>
      </c>
      <c r="S868" s="5">
        <f>SUMIFS(EIAwtransport!$J$2:$J$675,EIAwtransport!$E$2:$E$675,Program_data!$E868,EIAwtransport!$I$2:$I$675,Program_data!S$2)</f>
        <v>155630500</v>
      </c>
      <c r="T868" s="5">
        <f>SUMIFS(EIAwtransport!$J$2:$J$675,EIAwtransport!$E$2:$E$675,Program_data!$E868,EIAwtransport!$I$2:$I$675,Program_data!T$2)</f>
        <v>814853</v>
      </c>
      <c r="U868" s="24">
        <f t="shared" si="281"/>
        <v>5.5499736474866679E-5</v>
      </c>
      <c r="V868" s="24">
        <f t="shared" si="290"/>
        <v>6.1666373860962969E-5</v>
      </c>
      <c r="W868" s="24">
        <f t="shared" si="282"/>
        <v>6.9321069729734271E-5</v>
      </c>
      <c r="X868" s="25">
        <f t="shared" si="283"/>
        <v>4.0194575809381392E-5</v>
      </c>
      <c r="Y868" s="8">
        <f t="shared" si="284"/>
        <v>6.8868447843098909E-2</v>
      </c>
      <c r="Z868" s="27">
        <f t="shared" si="285"/>
        <v>1.7894413928744298E-2</v>
      </c>
      <c r="AA868" s="27"/>
      <c r="AB868" s="40"/>
      <c r="AC868" s="56">
        <f t="shared" si="289"/>
        <v>4.1902886674522405E-3</v>
      </c>
      <c r="AE868" s="20">
        <f t="shared" si="286"/>
        <v>23418.45</v>
      </c>
      <c r="AF868" s="20">
        <f t="shared" si="287"/>
        <v>1262090304.45</v>
      </c>
      <c r="AG868">
        <f t="shared" si="276"/>
        <v>9438772.3200000003</v>
      </c>
      <c r="AH868">
        <f t="shared" si="277"/>
        <v>10487524.799999999</v>
      </c>
      <c r="AI868">
        <f t="shared" si="278"/>
        <v>16415905140</v>
      </c>
    </row>
    <row r="869" spans="1:37" x14ac:dyDescent="0.25">
      <c r="A869" s="80" t="s">
        <v>310</v>
      </c>
      <c r="B869" s="70">
        <v>2024</v>
      </c>
      <c r="C869" s="70" t="s">
        <v>28</v>
      </c>
      <c r="D869" s="71" t="s">
        <v>169</v>
      </c>
      <c r="E869" s="70" t="str">
        <f t="shared" si="280"/>
        <v>Ameren-IL</v>
      </c>
      <c r="F869" s="70" t="s">
        <v>143</v>
      </c>
      <c r="G869" s="70">
        <v>1</v>
      </c>
      <c r="H869" s="72" t="s">
        <v>463</v>
      </c>
      <c r="I869" s="70"/>
      <c r="J869" s="4" t="s">
        <v>21</v>
      </c>
      <c r="K869" s="73">
        <v>1579438</v>
      </c>
      <c r="L869" s="73">
        <f>K869/_xlfn.XLOOKUP(C869,'Utility target list'!$K$2:$K$8,'Utility target list'!$L$2:$L$8,1,0,1)</f>
        <v>1754931.111111111</v>
      </c>
      <c r="M869" s="74">
        <v>6863485</v>
      </c>
      <c r="N869" s="74">
        <v>4549579</v>
      </c>
      <c r="O869" s="74">
        <f>SUMIFS(EIAwtransport!$J$2:$J$675,EIAwtransport!$E$2:$E$675,Program_data!$E869,EIAwtransport!$H$2:$H$675,Program_data!$F869,EIAwtransport!$I$2:$I$675,Program_data!O$2)</f>
        <v>0</v>
      </c>
      <c r="P869" s="73">
        <f>SUMIFS(EIAwtransport!$J$2:$J$675,EIAwtransport!$E$2:$E$675,Program_data!$E869,EIAwtransport!$H$2:$H$675,Program_data!$F869,EIAwtransport!$I$2:$I$675,Program_data!P$2)</f>
        <v>0</v>
      </c>
      <c r="Q869" s="73">
        <f>SUMIFS(EIAwtransport!$J$2:$J$675,EIAwtransport!$E$2:$E$675,Program_data!$E869,EIAwtransport!$H$2:$H$675,Program_data!$F869,EIAwtransport!$I$2:$I$675,Program_data!Q$2)</f>
        <v>0</v>
      </c>
      <c r="R869" s="74">
        <f>SUMIFS(EIAwtransport!$J$2:$J$675,EIAwtransport!$E$2:$E$675,Program_data!$E869,EIAwtransport!$I$2:$I$675,Program_data!R$2)</f>
        <v>934881707</v>
      </c>
      <c r="S869" s="73">
        <f>SUMIFS(EIAwtransport!$J$2:$J$675,EIAwtransport!$E$2:$E$675,Program_data!$E869,EIAwtransport!$I$2:$I$675,Program_data!S$2)</f>
        <v>155630500</v>
      </c>
      <c r="T869" s="73">
        <f>SUMIFS(EIAwtransport!$J$2:$J$675,EIAwtransport!$E$2:$E$675,Program_data!$E869,EIAwtransport!$I$2:$I$675,Program_data!T$2)</f>
        <v>814853</v>
      </c>
      <c r="U869" s="75">
        <f t="shared" ref="U869:U925" si="291">IFERROR(K869/10.36/S869,"")</f>
        <v>9.7959850675417349E-4</v>
      </c>
      <c r="V869" s="75">
        <f t="shared" ref="V869:V925" si="292">IFERROR(L869/10.36/S869,"")</f>
        <v>1.0884427852824151E-3</v>
      </c>
      <c r="W869" s="75">
        <f t="shared" ref="W869:W925" si="293">IFERROR(M869/R869,"")</f>
        <v>7.3415544967979571E-3</v>
      </c>
      <c r="X869" s="76">
        <f t="shared" ref="X869:X925" si="294">IFERROR(M869/S869/10.36,"")</f>
        <v>4.256868365285417E-3</v>
      </c>
      <c r="Y869" s="8">
        <f t="shared" si="284"/>
        <v>6.1700902569265894</v>
      </c>
      <c r="Z869" s="27">
        <f t="shared" si="285"/>
        <v>1.8951354264775033</v>
      </c>
      <c r="AA869" s="77"/>
      <c r="AB869" s="78"/>
      <c r="AC869" s="79">
        <f t="shared" si="289"/>
        <v>7.3960720937189126E-2</v>
      </c>
      <c r="AD869" s="80"/>
      <c r="AE869" s="81">
        <f t="shared" si="286"/>
        <v>6141931.6500000004</v>
      </c>
      <c r="AF869" s="81">
        <f>R869*1.35</f>
        <v>1262090304.45</v>
      </c>
      <c r="AG869" s="80">
        <f t="shared" si="276"/>
        <v>166599120.24000001</v>
      </c>
      <c r="AH869" s="80">
        <f t="shared" si="277"/>
        <v>185110133.59999999</v>
      </c>
      <c r="AI869" s="80">
        <f t="shared" si="278"/>
        <v>16415905140</v>
      </c>
      <c r="AJ869" s="80"/>
      <c r="AK869" s="80"/>
    </row>
    <row r="870" spans="1:37" x14ac:dyDescent="0.25">
      <c r="B870" s="4">
        <v>2024</v>
      </c>
      <c r="C870" s="4" t="s">
        <v>28</v>
      </c>
      <c r="D870" s="1" t="s">
        <v>169</v>
      </c>
      <c r="E870" s="4" t="s">
        <v>559</v>
      </c>
      <c r="F870" s="4" t="s">
        <v>143</v>
      </c>
      <c r="G870" s="4">
        <v>1</v>
      </c>
      <c r="H870" s="11" t="s">
        <v>560</v>
      </c>
      <c r="I870" s="4"/>
      <c r="J870" s="4" t="s">
        <v>42</v>
      </c>
      <c r="K870" s="5">
        <v>231432</v>
      </c>
      <c r="L870" s="5">
        <f>K870/_xlfn.XLOOKUP(C870,'Utility target list'!$K$2:$K$8,'Utility target list'!$L$2:$L$8,1,0,1)</f>
        <v>257146.66666666666</v>
      </c>
      <c r="M870" s="8">
        <v>1966162</v>
      </c>
      <c r="N870" s="8">
        <v>1472781</v>
      </c>
      <c r="O870" s="8">
        <f>SUMIFS(EIAwtransport!$J$2:$J$675,EIAwtransport!$E$2:$E$675,Program_data!$E870,EIAwtransport!$H$2:$H$675,Program_data!$F870,EIAwtransport!$I$2:$I$675,Program_data!O$2)</f>
        <v>0</v>
      </c>
      <c r="P870" s="5">
        <f>SUMIFS(EIAwtransport!$J$2:$J$675,EIAwtransport!$E$2:$E$675,Program_data!$E870,EIAwtransport!$H$2:$H$675,Program_data!$F870,EIAwtransport!$I$2:$I$675,Program_data!P$2)</f>
        <v>0</v>
      </c>
      <c r="Q870" s="5">
        <f>SUMIFS(EIAwtransport!$J$2:$J$675,EIAwtransport!$E$2:$E$675,Program_data!$E870,EIAwtransport!$H$2:$H$675,Program_data!$F870,EIAwtransport!$I$2:$I$675,Program_data!Q$2)</f>
        <v>0</v>
      </c>
      <c r="R870" s="8">
        <f>SUMIFS(EIAwtransport!$J$2:$J$675,EIAwtransport!$E$2:$E$675,Program_data!$E870,EIAwtransport!$I$2:$I$675,Program_data!R$2)</f>
        <v>934881707</v>
      </c>
      <c r="S870" s="5">
        <f>SUMIFS(EIAwtransport!$J$2:$J$675,EIAwtransport!$E$2:$E$675,Program_data!$E870,EIAwtransport!$I$2:$I$675,Program_data!S$2)</f>
        <v>155630500</v>
      </c>
      <c r="T870" s="5">
        <f>SUMIFS(EIAwtransport!$J$2:$J$675,EIAwtransport!$E$2:$E$675,Program_data!$E870,EIAwtransport!$I$2:$I$675,Program_data!T$2)</f>
        <v>814853</v>
      </c>
      <c r="U870" s="24">
        <f t="shared" si="291"/>
        <v>1.4353867743788101E-4</v>
      </c>
      <c r="V870" s="24">
        <f t="shared" si="292"/>
        <v>1.5948741937542334E-4</v>
      </c>
      <c r="W870" s="24">
        <f t="shared" si="293"/>
        <v>2.1031131374998654E-3</v>
      </c>
      <c r="X870" s="25">
        <f t="shared" si="294"/>
        <v>1.2194523363606546E-3</v>
      </c>
      <c r="Y870" s="8">
        <f t="shared" si="284"/>
        <v>1.7675272838418525</v>
      </c>
      <c r="Z870" s="27">
        <f t="shared" si="285"/>
        <v>0.54289377195314936</v>
      </c>
      <c r="AA870" s="27"/>
      <c r="AB870" s="45"/>
      <c r="AC870" s="90"/>
      <c r="AE870" s="20">
        <f t="shared" si="286"/>
        <v>1988254.35</v>
      </c>
      <c r="AF870" s="20"/>
      <c r="AG870">
        <f t="shared" si="276"/>
        <v>24411447.359999999</v>
      </c>
    </row>
    <row r="871" spans="1:37" x14ac:dyDescent="0.25">
      <c r="B871" s="4">
        <v>2024</v>
      </c>
      <c r="C871" s="4" t="s">
        <v>28</v>
      </c>
      <c r="D871" s="1" t="s">
        <v>169</v>
      </c>
      <c r="E871" s="4" t="s">
        <v>559</v>
      </c>
      <c r="F871" s="4" t="s">
        <v>143</v>
      </c>
      <c r="G871" s="4">
        <v>1</v>
      </c>
      <c r="H871" s="11" t="s">
        <v>561</v>
      </c>
      <c r="I871" s="4"/>
      <c r="J871" s="4" t="s">
        <v>27</v>
      </c>
      <c r="K871" s="5">
        <v>399533</v>
      </c>
      <c r="L871" s="5">
        <f>K871/_xlfn.XLOOKUP(C871,'Utility target list'!$K$2:$K$8,'Utility target list'!$L$2:$L$8,1,0,1)</f>
        <v>443925.55555555556</v>
      </c>
      <c r="M871" s="8">
        <v>3429617</v>
      </c>
      <c r="N871" s="8">
        <v>2482660</v>
      </c>
      <c r="O871" s="8">
        <f>SUMIFS(EIAwtransport!$J$2:$J$675,EIAwtransport!$E$2:$E$675,Program_data!$E871,EIAwtransport!$H$2:$H$675,Program_data!$F871,EIAwtransport!$I$2:$I$675,Program_data!O$2)</f>
        <v>0</v>
      </c>
      <c r="P871" s="5">
        <f>SUMIFS(EIAwtransport!$J$2:$J$675,EIAwtransport!$E$2:$E$675,Program_data!$E871,EIAwtransport!$H$2:$H$675,Program_data!$F871,EIAwtransport!$I$2:$I$675,Program_data!P$2)</f>
        <v>0</v>
      </c>
      <c r="Q871" s="5">
        <f>SUMIFS(EIAwtransport!$J$2:$J$675,EIAwtransport!$E$2:$E$675,Program_data!$E871,EIAwtransport!$H$2:$H$675,Program_data!$F871,EIAwtransport!$I$2:$I$675,Program_data!Q$2)</f>
        <v>0</v>
      </c>
      <c r="R871" s="8">
        <f>SUMIFS(EIAwtransport!$J$2:$J$675,EIAwtransport!$E$2:$E$675,Program_data!$E871,EIAwtransport!$I$2:$I$675,Program_data!R$2)</f>
        <v>934881707</v>
      </c>
      <c r="S871" s="5">
        <f>SUMIFS(EIAwtransport!$J$2:$J$675,EIAwtransport!$E$2:$E$675,Program_data!$E871,EIAwtransport!$I$2:$I$675,Program_data!S$2)</f>
        <v>155630500</v>
      </c>
      <c r="T871" s="5">
        <f>SUMIFS(EIAwtransport!$J$2:$J$675,EIAwtransport!$E$2:$E$675,Program_data!$E871,EIAwtransport!$I$2:$I$675,Program_data!T$2)</f>
        <v>814853</v>
      </c>
      <c r="U871" s="24">
        <f t="shared" si="291"/>
        <v>2.4779822329145887E-4</v>
      </c>
      <c r="V871" s="24">
        <f t="shared" si="292"/>
        <v>2.7533135921273207E-4</v>
      </c>
      <c r="W871" s="24">
        <f t="shared" si="293"/>
        <v>3.6685036987251693E-3</v>
      </c>
      <c r="X871" s="25">
        <f t="shared" si="294"/>
        <v>2.1271159057454159E-3</v>
      </c>
      <c r="Y871" s="8">
        <f t="shared" si="284"/>
        <v>3.0831343605602402</v>
      </c>
      <c r="Z871" s="27">
        <f t="shared" si="285"/>
        <v>0.9469808232915925</v>
      </c>
      <c r="AA871" s="27"/>
      <c r="AB871" s="45"/>
      <c r="AC871" s="90"/>
      <c r="AE871" s="20">
        <f t="shared" si="286"/>
        <v>3351591</v>
      </c>
      <c r="AF871" s="20"/>
      <c r="AG871">
        <f t="shared" si="276"/>
        <v>42142740.840000004</v>
      </c>
    </row>
    <row r="872" spans="1:37" x14ac:dyDescent="0.25">
      <c r="B872" s="4">
        <v>2024</v>
      </c>
      <c r="C872" s="4" t="s">
        <v>28</v>
      </c>
      <c r="D872" s="1" t="s">
        <v>169</v>
      </c>
      <c r="E872" s="4" t="s">
        <v>559</v>
      </c>
      <c r="F872" s="4" t="s">
        <v>143</v>
      </c>
      <c r="G872" s="4">
        <v>1</v>
      </c>
      <c r="H872" s="11" t="s">
        <v>562</v>
      </c>
      <c r="I872" s="4"/>
      <c r="J872" s="4" t="s">
        <v>27</v>
      </c>
      <c r="K872" s="5">
        <v>32208</v>
      </c>
      <c r="L872" s="5">
        <f>K872/_xlfn.XLOOKUP(C872,'Utility target list'!$K$2:$K$8,'Utility target list'!$L$2:$L$8,1,0,1)</f>
        <v>35786.666666666664</v>
      </c>
      <c r="M872" s="8">
        <v>630990</v>
      </c>
      <c r="N872" s="8">
        <v>194750</v>
      </c>
      <c r="O872" s="8">
        <f>SUMIFS(EIAwtransport!$J$2:$J$675,EIAwtransport!$E$2:$E$675,Program_data!$E872,EIAwtransport!$H$2:$H$675,Program_data!$F872,EIAwtransport!$I$2:$I$675,Program_data!O$2)</f>
        <v>0</v>
      </c>
      <c r="P872" s="5">
        <f>SUMIFS(EIAwtransport!$J$2:$J$675,EIAwtransport!$E$2:$E$675,Program_data!$E872,EIAwtransport!$H$2:$H$675,Program_data!$F872,EIAwtransport!$I$2:$I$675,Program_data!P$2)</f>
        <v>0</v>
      </c>
      <c r="Q872" s="5">
        <f>SUMIFS(EIAwtransport!$J$2:$J$675,EIAwtransport!$E$2:$E$675,Program_data!$E872,EIAwtransport!$H$2:$H$675,Program_data!$F872,EIAwtransport!$I$2:$I$675,Program_data!Q$2)</f>
        <v>0</v>
      </c>
      <c r="R872" s="8">
        <f>SUMIFS(EIAwtransport!$J$2:$J$675,EIAwtransport!$E$2:$E$675,Program_data!$E872,EIAwtransport!$I$2:$I$675,Program_data!R$2)</f>
        <v>934881707</v>
      </c>
      <c r="S872" s="5">
        <f>SUMIFS(EIAwtransport!$J$2:$J$675,EIAwtransport!$E$2:$E$675,Program_data!$E872,EIAwtransport!$I$2:$I$675,Program_data!S$2)</f>
        <v>155630500</v>
      </c>
      <c r="T872" s="5">
        <f>SUMIFS(EIAwtransport!$J$2:$J$675,EIAwtransport!$E$2:$E$675,Program_data!$E872,EIAwtransport!$I$2:$I$675,Program_data!T$2)</f>
        <v>814853</v>
      </c>
      <c r="U872" s="24">
        <f t="shared" si="291"/>
        <v>1.9976034960244355E-5</v>
      </c>
      <c r="V872" s="24">
        <f t="shared" si="292"/>
        <v>2.2195594400271503E-5</v>
      </c>
      <c r="W872" s="24">
        <f t="shared" si="293"/>
        <v>6.7494100619940782E-4</v>
      </c>
      <c r="X872" s="25">
        <f t="shared" si="294"/>
        <v>3.9135240622095708E-4</v>
      </c>
      <c r="Y872" s="8">
        <f t="shared" si="284"/>
        <v>0.56724320825617147</v>
      </c>
      <c r="Z872" s="27">
        <f t="shared" si="285"/>
        <v>0.17422803470147308</v>
      </c>
      <c r="AA872" s="27"/>
      <c r="AB872" s="45"/>
      <c r="AC872" s="90"/>
      <c r="AE872" s="20">
        <f t="shared" si="286"/>
        <v>262912.5</v>
      </c>
      <c r="AF872" s="20"/>
      <c r="AG872">
        <f t="shared" si="276"/>
        <v>3397299.8400000003</v>
      </c>
    </row>
    <row r="873" spans="1:37" x14ac:dyDescent="0.25">
      <c r="B873" s="4">
        <v>2024</v>
      </c>
      <c r="C873" s="4" t="s">
        <v>28</v>
      </c>
      <c r="D873" s="1" t="s">
        <v>169</v>
      </c>
      <c r="E873" s="4" t="s">
        <v>559</v>
      </c>
      <c r="F873" s="4" t="s">
        <v>143</v>
      </c>
      <c r="G873" s="4">
        <v>1</v>
      </c>
      <c r="H873" s="11" t="s">
        <v>563</v>
      </c>
      <c r="I873" s="91"/>
      <c r="J873" s="4" t="s">
        <v>21</v>
      </c>
      <c r="K873" s="5">
        <v>212167</v>
      </c>
      <c r="L873" s="5">
        <f>K873/_xlfn.XLOOKUP(C873,'Utility target list'!$K$2:$K$8,'Utility target list'!$L$2:$L$8,1,0,1)</f>
        <v>235741.11111111109</v>
      </c>
      <c r="M873" s="8">
        <v>637876</v>
      </c>
      <c r="N873" s="8">
        <v>244960</v>
      </c>
      <c r="O873" s="8">
        <f>SUMIFS(EIAwtransport!$J$2:$J$675,EIAwtransport!$E$2:$E$675,Program_data!$E873,EIAwtransport!$H$2:$H$675,Program_data!$F873,EIAwtransport!$I$2:$I$675,Program_data!O$2)</f>
        <v>0</v>
      </c>
      <c r="P873" s="5">
        <f>SUMIFS(EIAwtransport!$J$2:$J$675,EIAwtransport!$E$2:$E$675,Program_data!$E873,EIAwtransport!$H$2:$H$675,Program_data!$F873,EIAwtransport!$I$2:$I$675,Program_data!P$2)</f>
        <v>0</v>
      </c>
      <c r="Q873" s="5">
        <f>SUMIFS(EIAwtransport!$J$2:$J$675,EIAwtransport!$E$2:$E$675,Program_data!$E873,EIAwtransport!$H$2:$H$675,Program_data!$F873,EIAwtransport!$I$2:$I$675,Program_data!Q$2)</f>
        <v>0</v>
      </c>
      <c r="R873" s="8">
        <f>SUMIFS(EIAwtransport!$J$2:$J$675,EIAwtransport!$E$2:$E$675,Program_data!$E873,EIAwtransport!$I$2:$I$675,Program_data!R$2)</f>
        <v>934881707</v>
      </c>
      <c r="S873" s="5">
        <f>SUMIFS(EIAwtransport!$J$2:$J$675,EIAwtransport!$E$2:$E$675,Program_data!$E873,EIAwtransport!$I$2:$I$675,Program_data!S$2)</f>
        <v>155630500</v>
      </c>
      <c r="T873" s="5">
        <f>SUMIFS(EIAwtransport!$J$2:$J$675,EIAwtransport!$E$2:$E$675,Program_data!$E873,EIAwtransport!$I$2:$I$675,Program_data!T$2)</f>
        <v>814853</v>
      </c>
      <c r="U873" s="24">
        <f t="shared" si="291"/>
        <v>1.3159014559768268E-4</v>
      </c>
      <c r="V873" s="24">
        <f t="shared" si="292"/>
        <v>1.4621127288631409E-4</v>
      </c>
      <c r="W873" s="24">
        <f t="shared" si="293"/>
        <v>6.8230664395704126E-4</v>
      </c>
      <c r="X873" s="25">
        <f t="shared" si="294"/>
        <v>3.9562323883199292E-4</v>
      </c>
      <c r="Y873" s="8">
        <f t="shared" si="284"/>
        <v>0.57343353889857784</v>
      </c>
      <c r="Z873" s="27">
        <f t="shared" si="285"/>
        <v>0.17612938693677685</v>
      </c>
      <c r="AA873" s="27"/>
      <c r="AB873" s="45"/>
      <c r="AC873" s="90"/>
      <c r="AE873" s="20">
        <f t="shared" si="286"/>
        <v>330696</v>
      </c>
      <c r="AF873" s="20"/>
      <c r="AG873">
        <f t="shared" si="276"/>
        <v>22379375.16</v>
      </c>
    </row>
    <row r="874" spans="1:37" x14ac:dyDescent="0.25">
      <c r="B874" s="4">
        <v>2024</v>
      </c>
      <c r="C874" s="4" t="s">
        <v>28</v>
      </c>
      <c r="D874" s="1" t="s">
        <v>169</v>
      </c>
      <c r="E874" s="4" t="s">
        <v>559</v>
      </c>
      <c r="F874" s="4" t="s">
        <v>143</v>
      </c>
      <c r="G874" s="4">
        <v>1</v>
      </c>
      <c r="H874" s="11" t="s">
        <v>564</v>
      </c>
      <c r="I874" s="4"/>
      <c r="J874" s="4" t="s">
        <v>42</v>
      </c>
      <c r="K874" s="5">
        <v>33719</v>
      </c>
      <c r="L874" s="5">
        <f>K874/_xlfn.XLOOKUP(C874,'Utility target list'!$K$2:$K$8,'Utility target list'!$L$2:$L$8,1,0,1)</f>
        <v>37465.555555555555</v>
      </c>
      <c r="M874" s="8">
        <v>59927</v>
      </c>
      <c r="N874" s="8">
        <v>43583</v>
      </c>
      <c r="O874" s="8">
        <f>SUMIFS(EIAwtransport!$J$2:$J$675,EIAwtransport!$E$2:$E$675,Program_data!$E874,EIAwtransport!$H$2:$H$675,Program_data!$F874,EIAwtransport!$I$2:$I$675,Program_data!O$2)</f>
        <v>0</v>
      </c>
      <c r="P874" s="5">
        <f>SUMIFS(EIAwtransport!$J$2:$J$675,EIAwtransport!$E$2:$E$675,Program_data!$E874,EIAwtransport!$H$2:$H$675,Program_data!$F874,EIAwtransport!$I$2:$I$675,Program_data!P$2)</f>
        <v>0</v>
      </c>
      <c r="Q874" s="5">
        <f>SUMIFS(EIAwtransport!$J$2:$J$675,EIAwtransport!$E$2:$E$675,Program_data!$E874,EIAwtransport!$H$2:$H$675,Program_data!$F874,EIAwtransport!$I$2:$I$675,Program_data!Q$2)</f>
        <v>0</v>
      </c>
      <c r="R874" s="8">
        <f>SUMIFS(EIAwtransport!$J$2:$J$675,EIAwtransport!$E$2:$E$675,Program_data!$E874,EIAwtransport!$I$2:$I$675,Program_data!R$2)</f>
        <v>934881707</v>
      </c>
      <c r="S874" s="5">
        <f>SUMIFS(EIAwtransport!$J$2:$J$675,EIAwtransport!$E$2:$E$675,Program_data!$E874,EIAwtransport!$I$2:$I$675,Program_data!S$2)</f>
        <v>155630500</v>
      </c>
      <c r="T874" s="5">
        <f>SUMIFS(EIAwtransport!$J$2:$J$675,EIAwtransport!$E$2:$E$675,Program_data!$E874,EIAwtransport!$I$2:$I$675,Program_data!T$2)</f>
        <v>814853</v>
      </c>
      <c r="U874" s="24">
        <f t="shared" si="291"/>
        <v>2.0913186873586668E-5</v>
      </c>
      <c r="V874" s="24">
        <f t="shared" si="292"/>
        <v>2.3236874303985186E-5</v>
      </c>
      <c r="W874" s="24">
        <f t="shared" si="293"/>
        <v>6.4101157987467172E-5</v>
      </c>
      <c r="X874" s="25">
        <f t="shared" si="294"/>
        <v>3.7167903845708007E-5</v>
      </c>
      <c r="Y874" s="8">
        <f t="shared" si="284"/>
        <v>5.3872777288336719E-2</v>
      </c>
      <c r="Z874" s="27">
        <f t="shared" si="285"/>
        <v>1.6546955475610036E-2</v>
      </c>
      <c r="AA874" s="27"/>
      <c r="AB874" s="45"/>
      <c r="AC874" s="90"/>
      <c r="AE874" s="20">
        <f t="shared" si="286"/>
        <v>58837.05</v>
      </c>
      <c r="AF874" s="20"/>
      <c r="AG874">
        <f t="shared" si="276"/>
        <v>3556680.12</v>
      </c>
    </row>
    <row r="875" spans="1:37" x14ac:dyDescent="0.25">
      <c r="B875" s="4">
        <v>2024</v>
      </c>
      <c r="C875" s="4" t="s">
        <v>28</v>
      </c>
      <c r="D875" s="1" t="s">
        <v>169</v>
      </c>
      <c r="E875" s="4" t="s">
        <v>559</v>
      </c>
      <c r="F875" s="4" t="s">
        <v>143</v>
      </c>
      <c r="G875" s="4">
        <v>1</v>
      </c>
      <c r="H875" s="11" t="s">
        <v>565</v>
      </c>
      <c r="I875" s="4"/>
      <c r="J875" s="4" t="s">
        <v>21</v>
      </c>
      <c r="K875" s="5">
        <v>109813</v>
      </c>
      <c r="L875" s="5">
        <f>K875/_xlfn.XLOOKUP(C875,'Utility target list'!$K$2:$K$8,'Utility target list'!$L$2:$L$8,1,0,1)</f>
        <v>122014.44444444444</v>
      </c>
      <c r="M875" s="8">
        <v>138913</v>
      </c>
      <c r="N875" s="8">
        <v>110845</v>
      </c>
      <c r="O875" s="8">
        <f>SUMIFS(EIAwtransport!$J$2:$J$675,EIAwtransport!$E$2:$E$675,Program_data!$E875,EIAwtransport!$H$2:$H$675,Program_data!$F875,EIAwtransport!$I$2:$I$675,Program_data!O$2)</f>
        <v>0</v>
      </c>
      <c r="P875" s="5">
        <f>SUMIFS(EIAwtransport!$J$2:$J$675,EIAwtransport!$E$2:$E$675,Program_data!$E875,EIAwtransport!$H$2:$H$675,Program_data!$F875,EIAwtransport!$I$2:$I$675,Program_data!P$2)</f>
        <v>0</v>
      </c>
      <c r="Q875" s="5">
        <f>SUMIFS(EIAwtransport!$J$2:$J$675,EIAwtransport!$E$2:$E$675,Program_data!$E875,EIAwtransport!$H$2:$H$675,Program_data!$F875,EIAwtransport!$I$2:$I$675,Program_data!Q$2)</f>
        <v>0</v>
      </c>
      <c r="R875" s="8">
        <f>SUMIFS(EIAwtransport!$J$2:$J$675,EIAwtransport!$E$2:$E$675,Program_data!$E875,EIAwtransport!$I$2:$I$675,Program_data!R$2)</f>
        <v>934881707</v>
      </c>
      <c r="S875" s="5">
        <f>SUMIFS(EIAwtransport!$J$2:$J$675,EIAwtransport!$E$2:$E$675,Program_data!$E875,EIAwtransport!$I$2:$I$675,Program_data!S$2)</f>
        <v>155630500</v>
      </c>
      <c r="T875" s="5">
        <f>SUMIFS(EIAwtransport!$J$2:$J$675,EIAwtransport!$E$2:$E$675,Program_data!$E875,EIAwtransport!$I$2:$I$675,Program_data!T$2)</f>
        <v>814853</v>
      </c>
      <c r="U875" s="24">
        <f t="shared" si="291"/>
        <v>6.8108182038292147E-5</v>
      </c>
      <c r="V875" s="24">
        <f t="shared" si="292"/>
        <v>7.5675757820324596E-5</v>
      </c>
      <c r="W875" s="24">
        <f t="shared" si="293"/>
        <v>1.4858885242900575E-4</v>
      </c>
      <c r="X875" s="25">
        <f t="shared" si="294"/>
        <v>8.6156574280688779E-5</v>
      </c>
      <c r="Y875" s="8">
        <f t="shared" si="284"/>
        <v>0.12487908808141103</v>
      </c>
      <c r="Z875" s="27">
        <f t="shared" si="285"/>
        <v>3.8356454118901609E-2</v>
      </c>
      <c r="AA875" s="27"/>
      <c r="AB875" s="45"/>
      <c r="AC875" s="90"/>
      <c r="AE875" s="20">
        <f t="shared" si="286"/>
        <v>149640.75</v>
      </c>
      <c r="AF875" s="20"/>
      <c r="AG875">
        <f t="shared" si="276"/>
        <v>11583075.24</v>
      </c>
    </row>
    <row r="876" spans="1:37" x14ac:dyDescent="0.25">
      <c r="B876" s="4">
        <v>2024</v>
      </c>
      <c r="C876" s="4" t="s">
        <v>28</v>
      </c>
      <c r="D876" s="1" t="s">
        <v>169</v>
      </c>
      <c r="E876" s="4" t="s">
        <v>559</v>
      </c>
      <c r="F876" s="4" t="s">
        <v>143</v>
      </c>
      <c r="G876" s="4">
        <v>1</v>
      </c>
      <c r="H876" s="11" t="s">
        <v>566</v>
      </c>
      <c r="I876" s="4"/>
      <c r="J876" s="4" t="s">
        <v>27</v>
      </c>
      <c r="K876" s="5">
        <v>42392</v>
      </c>
      <c r="L876" s="5">
        <f>K876/_xlfn.XLOOKUP(C876,'Utility target list'!$K$2:$K$8,'Utility target list'!$L$2:$L$8,1,0,1)</f>
        <v>47102.222222222219</v>
      </c>
      <c r="M876" s="8">
        <v>266287</v>
      </c>
      <c r="N876" s="8">
        <v>150282</v>
      </c>
      <c r="O876" s="8">
        <f>SUMIFS(EIAwtransport!$J$2:$J$675,EIAwtransport!$E$2:$E$675,Program_data!$E876,EIAwtransport!$H$2:$H$675,Program_data!$F876,EIAwtransport!$I$2:$I$675,Program_data!O$2)</f>
        <v>0</v>
      </c>
      <c r="P876" s="5">
        <f>SUMIFS(EIAwtransport!$J$2:$J$675,EIAwtransport!$E$2:$E$675,Program_data!$E876,EIAwtransport!$H$2:$H$675,Program_data!$F876,EIAwtransport!$I$2:$I$675,Program_data!P$2)</f>
        <v>0</v>
      </c>
      <c r="Q876" s="5">
        <f>SUMIFS(EIAwtransport!$J$2:$J$675,EIAwtransport!$E$2:$E$675,Program_data!$E876,EIAwtransport!$H$2:$H$675,Program_data!$F876,EIAwtransport!$I$2:$I$675,Program_data!Q$2)</f>
        <v>0</v>
      </c>
      <c r="R876" s="8">
        <f>SUMIFS(EIAwtransport!$J$2:$J$675,EIAwtransport!$E$2:$E$675,Program_data!$E876,EIAwtransport!$I$2:$I$675,Program_data!R$2)</f>
        <v>934881707</v>
      </c>
      <c r="S876" s="5">
        <f>SUMIFS(EIAwtransport!$J$2:$J$675,EIAwtransport!$E$2:$E$675,Program_data!$E876,EIAwtransport!$I$2:$I$675,Program_data!S$2)</f>
        <v>155630500</v>
      </c>
      <c r="T876" s="5">
        <f>SUMIFS(EIAwtransport!$J$2:$J$675,EIAwtransport!$E$2:$E$675,Program_data!$E876,EIAwtransport!$I$2:$I$675,Program_data!T$2)</f>
        <v>814853</v>
      </c>
      <c r="U876" s="24">
        <f t="shared" si="291"/>
        <v>2.6292352025418488E-5</v>
      </c>
      <c r="V876" s="24">
        <f t="shared" si="292"/>
        <v>2.9213724472687211E-5</v>
      </c>
      <c r="W876" s="24">
        <f t="shared" si="293"/>
        <v>2.8483496682645004E-4</v>
      </c>
      <c r="X876" s="25">
        <f t="shared" si="294"/>
        <v>1.6515643385055232E-4</v>
      </c>
      <c r="Y876" s="8">
        <f t="shared" si="284"/>
        <v>0.23938492241859796</v>
      </c>
      <c r="Z876" s="27">
        <f t="shared" si="285"/>
        <v>7.3526776456918741E-2</v>
      </c>
      <c r="AA876" s="27"/>
      <c r="AB876" s="45"/>
      <c r="AC876" s="90"/>
      <c r="AE876" s="20">
        <f t="shared" si="286"/>
        <v>202880.7</v>
      </c>
      <c r="AF876" s="20"/>
      <c r="AG876">
        <f t="shared" si="276"/>
        <v>4471508.16</v>
      </c>
    </row>
    <row r="877" spans="1:37" x14ac:dyDescent="0.25">
      <c r="B877" s="4">
        <v>2024</v>
      </c>
      <c r="C877" s="4" t="s">
        <v>28</v>
      </c>
      <c r="D877" s="1" t="s">
        <v>169</v>
      </c>
      <c r="E877" s="4" t="str">
        <f t="shared" si="280"/>
        <v>Ameren-IL</v>
      </c>
      <c r="F877" s="4" t="s">
        <v>143</v>
      </c>
      <c r="G877" s="4">
        <v>1</v>
      </c>
      <c r="H877" s="11" t="s">
        <v>186</v>
      </c>
      <c r="I877" s="4"/>
      <c r="J877" s="4" t="s">
        <v>21</v>
      </c>
      <c r="K877" s="5">
        <v>51116</v>
      </c>
      <c r="L877" s="5">
        <f>K877/_xlfn.XLOOKUP(C877,'Utility target list'!$K$2:$K$8,'Utility target list'!$L$2:$L$8,1,0,1)</f>
        <v>56795.555555555555</v>
      </c>
      <c r="M877" s="8">
        <v>407996</v>
      </c>
      <c r="N877" s="8">
        <v>160747</v>
      </c>
      <c r="O877" s="8">
        <f>SUMIFS(EIAwtransport!$J$2:$J$675,EIAwtransport!$E$2:$E$675,Program_data!$E877,EIAwtransport!$H$2:$H$675,Program_data!$F877,EIAwtransport!$I$2:$I$675,Program_data!O$2)</f>
        <v>0</v>
      </c>
      <c r="P877" s="5">
        <f>SUMIFS(EIAwtransport!$J$2:$J$675,EIAwtransport!$E$2:$E$675,Program_data!$E877,EIAwtransport!$H$2:$H$675,Program_data!$F877,EIAwtransport!$I$2:$I$675,Program_data!P$2)</f>
        <v>0</v>
      </c>
      <c r="Q877" s="5">
        <f>SUMIFS(EIAwtransport!$J$2:$J$675,EIAwtransport!$E$2:$E$675,Program_data!$E877,EIAwtransport!$H$2:$H$675,Program_data!$F877,EIAwtransport!$I$2:$I$675,Program_data!Q$2)</f>
        <v>0</v>
      </c>
      <c r="R877" s="8">
        <f>SUMIFS(EIAwtransport!$J$2:$J$675,EIAwtransport!$E$2:$E$675,Program_data!$E877,EIAwtransport!$I$2:$I$675,Program_data!R$2)</f>
        <v>934881707</v>
      </c>
      <c r="S877" s="5">
        <f>SUMIFS(EIAwtransport!$J$2:$J$675,EIAwtransport!$E$2:$E$675,Program_data!$E877,EIAwtransport!$I$2:$I$675,Program_data!S$2)</f>
        <v>155630500</v>
      </c>
      <c r="T877" s="5">
        <f>SUMIFS(EIAwtransport!$J$2:$J$675,EIAwtransport!$E$2:$E$675,Program_data!$E877,EIAwtransport!$I$2:$I$675,Program_data!T$2)</f>
        <v>814853</v>
      </c>
      <c r="U877" s="24">
        <f t="shared" si="291"/>
        <v>3.1703148380149359E-5</v>
      </c>
      <c r="V877" s="24">
        <f t="shared" si="292"/>
        <v>3.522572042238817E-5</v>
      </c>
      <c r="W877" s="24">
        <f t="shared" si="293"/>
        <v>4.3641457196680393E-4</v>
      </c>
      <c r="X877" s="25">
        <f t="shared" si="294"/>
        <v>2.530471423137064E-4</v>
      </c>
      <c r="Y877" s="8">
        <f t="shared" si="284"/>
        <v>0.36677754004926372</v>
      </c>
      <c r="Z877" s="27">
        <f t="shared" si="285"/>
        <v>0.11265525800101778</v>
      </c>
      <c r="AA877" s="27"/>
      <c r="AB877" s="40"/>
      <c r="AC877" s="56">
        <f t="shared" ref="AC877:AC895" si="295">IFERROR(K877/SUMIFS($M$3:$M$1234,$E$3:$E$1234,E877,$B$3:$B$1234,B877),"")</f>
        <v>2.3936211560221798E-3</v>
      </c>
      <c r="AE877" s="20">
        <f t="shared" si="286"/>
        <v>217008.45</v>
      </c>
      <c r="AF877" s="20">
        <f t="shared" ref="AF877:AF908" si="296">R877*1.35</f>
        <v>1262090304.45</v>
      </c>
      <c r="AG877">
        <f t="shared" si="276"/>
        <v>5391715.6800000006</v>
      </c>
      <c r="AH877">
        <f t="shared" si="277"/>
        <v>5990795.2000000002</v>
      </c>
      <c r="AI877">
        <f t="shared" si="278"/>
        <v>16415905140</v>
      </c>
    </row>
    <row r="878" spans="1:37" x14ac:dyDescent="0.25">
      <c r="B878" s="4">
        <v>2024</v>
      </c>
      <c r="C878" s="4" t="s">
        <v>28</v>
      </c>
      <c r="D878" s="1" t="s">
        <v>169</v>
      </c>
      <c r="E878" s="4" t="str">
        <f t="shared" si="280"/>
        <v>Ameren-IL</v>
      </c>
      <c r="F878" s="4" t="s">
        <v>146</v>
      </c>
      <c r="G878" s="4"/>
      <c r="H878" s="11" t="s">
        <v>170</v>
      </c>
      <c r="I878" s="4"/>
      <c r="J878" s="4" t="s">
        <v>21</v>
      </c>
      <c r="K878" s="5">
        <v>172423</v>
      </c>
      <c r="L878" s="5">
        <f>K878/_xlfn.XLOOKUP(C878,'Utility target list'!$K$2:$K$8,'Utility target list'!$L$2:$L$8,1,0,1)</f>
        <v>191581.11111111109</v>
      </c>
      <c r="M878" s="10">
        <v>1297816</v>
      </c>
      <c r="N878" s="10">
        <v>498929</v>
      </c>
      <c r="O878" s="8">
        <f>SUMIFS(EIAwtransport!$J$2:$J$675,EIAwtransport!$E$2:$E$675,Program_data!$E878,EIAwtransport!$H$2:$H$675,Program_data!$F878,EIAwtransport!$I$2:$I$675,Program_data!O$2)</f>
        <v>278274544</v>
      </c>
      <c r="P878" s="5">
        <f>SUMIFS(EIAwtransport!$J$2:$J$675,EIAwtransport!$E$2:$E$675,Program_data!$E878,EIAwtransport!$H$2:$H$675,Program_data!$F878,EIAwtransport!$I$2:$I$675,Program_data!P$2)</f>
        <v>103403271</v>
      </c>
      <c r="Q878" s="5">
        <f>SUMIFS(EIAwtransport!$J$2:$J$675,EIAwtransport!$E$2:$E$675,Program_data!$E878,EIAwtransport!$H$2:$H$675,Program_data!$F878,EIAwtransport!$I$2:$I$675,Program_data!Q$2)</f>
        <v>68751</v>
      </c>
      <c r="R878" s="8">
        <f>SUMIFS(EIAwtransport!$J$2:$J$675,EIAwtransport!$E$2:$E$675,Program_data!$E878,EIAwtransport!$I$2:$I$675,Program_data!R$2)</f>
        <v>934881707</v>
      </c>
      <c r="S878" s="5">
        <f>SUMIFS(EIAwtransport!$J$2:$J$675,EIAwtransport!$E$2:$E$675,Program_data!$E878,EIAwtransport!$I$2:$I$675,Program_data!S$2)</f>
        <v>155630500</v>
      </c>
      <c r="T878" s="5">
        <f>SUMIFS(EIAwtransport!$J$2:$J$675,EIAwtransport!$E$2:$E$675,Program_data!$E878,EIAwtransport!$I$2:$I$675,Program_data!T$2)</f>
        <v>814853</v>
      </c>
      <c r="U878" s="24">
        <f t="shared" si="291"/>
        <v>1.0694013524435582E-4</v>
      </c>
      <c r="V878" s="24">
        <f t="shared" si="292"/>
        <v>1.1882237249372867E-4</v>
      </c>
      <c r="W878" s="24">
        <f t="shared" si="293"/>
        <v>1.3882141347750212E-3</v>
      </c>
      <c r="X878" s="25">
        <f t="shared" si="294"/>
        <v>8.0493100434564347E-4</v>
      </c>
      <c r="Y878" s="8">
        <f t="shared" si="284"/>
        <v>0.82756896801292157</v>
      </c>
      <c r="Z878" s="27">
        <f t="shared" si="285"/>
        <v>0.35835105324034766</v>
      </c>
      <c r="AA878" s="27"/>
      <c r="AB878" s="40"/>
      <c r="AC878" s="56">
        <f t="shared" si="295"/>
        <v>8.074093054715006E-3</v>
      </c>
      <c r="AE878" s="20">
        <f t="shared" si="286"/>
        <v>673554.15</v>
      </c>
      <c r="AF878" s="20">
        <f t="shared" si="296"/>
        <v>1262090304.45</v>
      </c>
      <c r="AG878">
        <f t="shared" si="276"/>
        <v>18187178.039999999</v>
      </c>
      <c r="AH878">
        <f t="shared" si="277"/>
        <v>20207975.599999998</v>
      </c>
      <c r="AI878">
        <f t="shared" si="278"/>
        <v>16415905140</v>
      </c>
    </row>
    <row r="879" spans="1:37" x14ac:dyDescent="0.25">
      <c r="B879" s="4">
        <v>2024</v>
      </c>
      <c r="C879" s="4" t="s">
        <v>28</v>
      </c>
      <c r="D879" s="1" t="s">
        <v>169</v>
      </c>
      <c r="E879" s="4" t="str">
        <f t="shared" si="280"/>
        <v>Ameren-IL</v>
      </c>
      <c r="F879" s="4" t="s">
        <v>146</v>
      </c>
      <c r="G879" s="4"/>
      <c r="H879" s="11" t="s">
        <v>567</v>
      </c>
      <c r="I879" s="4"/>
      <c r="J879" s="4" t="s">
        <v>75</v>
      </c>
      <c r="K879" s="5">
        <v>88327</v>
      </c>
      <c r="L879" s="5">
        <f>K879/_xlfn.XLOOKUP(C879,'Utility target list'!$K$2:$K$8,'Utility target list'!$L$2:$L$8,1,0,1)</f>
        <v>98141.111111111109</v>
      </c>
      <c r="M879" s="10">
        <v>307931</v>
      </c>
      <c r="N879" s="10">
        <v>244563</v>
      </c>
      <c r="O879" s="8">
        <f>SUMIFS(EIAwtransport!$J$2:$J$675,EIAwtransport!$E$2:$E$675,Program_data!$E879,EIAwtransport!$H$2:$H$675,Program_data!$F879,EIAwtransport!$I$2:$I$675,Program_data!O$2)</f>
        <v>278274544</v>
      </c>
      <c r="P879" s="5">
        <f>SUMIFS(EIAwtransport!$J$2:$J$675,EIAwtransport!$E$2:$E$675,Program_data!$E879,EIAwtransport!$H$2:$H$675,Program_data!$F879,EIAwtransport!$I$2:$I$675,Program_data!P$2)</f>
        <v>103403271</v>
      </c>
      <c r="Q879" s="5">
        <f>SUMIFS(EIAwtransport!$J$2:$J$675,EIAwtransport!$E$2:$E$675,Program_data!$E879,EIAwtransport!$H$2:$H$675,Program_data!$F879,EIAwtransport!$I$2:$I$675,Program_data!Q$2)</f>
        <v>68751</v>
      </c>
      <c r="R879" s="8">
        <f>SUMIFS(EIAwtransport!$J$2:$J$675,EIAwtransport!$E$2:$E$675,Program_data!$E879,EIAwtransport!$I$2:$I$675,Program_data!R$2)</f>
        <v>934881707</v>
      </c>
      <c r="S879" s="5">
        <f>SUMIFS(EIAwtransport!$J$2:$J$675,EIAwtransport!$E$2:$E$675,Program_data!$E879,EIAwtransport!$I$2:$I$675,Program_data!S$2)</f>
        <v>155630500</v>
      </c>
      <c r="T879" s="5">
        <f>SUMIFS(EIAwtransport!$J$2:$J$675,EIAwtransport!$E$2:$E$675,Program_data!$E879,EIAwtransport!$I$2:$I$675,Program_data!T$2)</f>
        <v>814853</v>
      </c>
      <c r="U879" s="24">
        <f t="shared" si="291"/>
        <v>5.4782142322823616E-5</v>
      </c>
      <c r="V879" s="24">
        <f t="shared" si="292"/>
        <v>6.0869047025359575E-5</v>
      </c>
      <c r="W879" s="24">
        <f t="shared" si="293"/>
        <v>3.2937963989918993E-4</v>
      </c>
      <c r="X879" s="25">
        <f t="shared" si="294"/>
        <v>1.9098486156678477E-4</v>
      </c>
      <c r="Y879" s="8">
        <f t="shared" si="284"/>
        <v>0.19635613976803104</v>
      </c>
      <c r="Z879" s="27">
        <f t="shared" si="285"/>
        <v>8.5025456748378428E-2</v>
      </c>
      <c r="AA879" s="27"/>
      <c r="AB879" s="40"/>
      <c r="AC879" s="56">
        <f t="shared" si="295"/>
        <v>4.1361095517640474E-3</v>
      </c>
      <c r="AE879" s="20">
        <f t="shared" si="286"/>
        <v>330160.05000000005</v>
      </c>
      <c r="AF879" s="20">
        <f t="shared" si="296"/>
        <v>1262090304.45</v>
      </c>
      <c r="AG879">
        <f t="shared" si="276"/>
        <v>9316731.9600000009</v>
      </c>
      <c r="AH879">
        <f t="shared" si="277"/>
        <v>10351924.4</v>
      </c>
      <c r="AI879">
        <f t="shared" si="278"/>
        <v>16415905140</v>
      </c>
    </row>
    <row r="880" spans="1:37" x14ac:dyDescent="0.25">
      <c r="B880" s="4">
        <v>2024</v>
      </c>
      <c r="C880" s="4" t="s">
        <v>28</v>
      </c>
      <c r="D880" s="1" t="s">
        <v>169</v>
      </c>
      <c r="E880" s="4" t="str">
        <f t="shared" si="280"/>
        <v>Ameren-IL</v>
      </c>
      <c r="F880" s="4" t="s">
        <v>146</v>
      </c>
      <c r="G880" s="4"/>
      <c r="H880" s="11" t="s">
        <v>524</v>
      </c>
      <c r="I880" s="4"/>
      <c r="J880" s="4" t="s">
        <v>21</v>
      </c>
      <c r="K880" s="5">
        <v>133909</v>
      </c>
      <c r="L880" s="5">
        <f>K880/_xlfn.XLOOKUP(C880,'Utility target list'!$K$2:$K$8,'Utility target list'!$L$2:$L$8,1,0,1)</f>
        <v>148787.77777777778</v>
      </c>
      <c r="M880" s="10">
        <v>375982</v>
      </c>
      <c r="N880" s="10">
        <v>179737</v>
      </c>
      <c r="O880" s="8">
        <f>SUMIFS(EIAwtransport!$J$2:$J$675,EIAwtransport!$E$2:$E$675,Program_data!$E880,EIAwtransport!$H$2:$H$675,Program_data!$F880,EIAwtransport!$I$2:$I$675,Program_data!O$2)</f>
        <v>278274544</v>
      </c>
      <c r="P880" s="5">
        <f>SUMIFS(EIAwtransport!$J$2:$J$675,EIAwtransport!$E$2:$E$675,Program_data!$E880,EIAwtransport!$H$2:$H$675,Program_data!$F880,EIAwtransport!$I$2:$I$675,Program_data!P$2)</f>
        <v>103403271</v>
      </c>
      <c r="Q880" s="5">
        <f>SUMIFS(EIAwtransport!$J$2:$J$675,EIAwtransport!$E$2:$E$675,Program_data!$E880,EIAwtransport!$H$2:$H$675,Program_data!$F880,EIAwtransport!$I$2:$I$675,Program_data!Q$2)</f>
        <v>68751</v>
      </c>
      <c r="R880" s="8">
        <f>SUMIFS(EIAwtransport!$J$2:$J$675,EIAwtransport!$E$2:$E$675,Program_data!$E880,EIAwtransport!$I$2:$I$675,Program_data!R$2)</f>
        <v>934881707</v>
      </c>
      <c r="S880" s="5">
        <f>SUMIFS(EIAwtransport!$J$2:$J$675,EIAwtransport!$E$2:$E$675,Program_data!$E880,EIAwtransport!$I$2:$I$675,Program_data!S$2)</f>
        <v>155630500</v>
      </c>
      <c r="T880" s="5">
        <f>SUMIFS(EIAwtransport!$J$2:$J$675,EIAwtransport!$E$2:$E$675,Program_data!$E880,EIAwtransport!$I$2:$I$675,Program_data!T$2)</f>
        <v>814853</v>
      </c>
      <c r="U880" s="24">
        <f t="shared" si="291"/>
        <v>8.305299507859418E-5</v>
      </c>
      <c r="V880" s="24">
        <f t="shared" si="292"/>
        <v>9.2281105642882428E-5</v>
      </c>
      <c r="W880" s="24">
        <f t="shared" si="293"/>
        <v>4.0217066735267717E-4</v>
      </c>
      <c r="X880" s="25">
        <f t="shared" si="294"/>
        <v>2.3319142996841135E-4</v>
      </c>
      <c r="Y880" s="8">
        <f t="shared" si="284"/>
        <v>0.23974973010922526</v>
      </c>
      <c r="Z880" s="27">
        <f t="shared" si="285"/>
        <v>0.10381559920621443</v>
      </c>
      <c r="AA880" s="27"/>
      <c r="AB880" s="40"/>
      <c r="AC880" s="56">
        <f t="shared" si="295"/>
        <v>6.2705887663701007E-3</v>
      </c>
      <c r="AE880" s="20">
        <f t="shared" si="286"/>
        <v>242644.95</v>
      </c>
      <c r="AF880" s="20">
        <f t="shared" si="296"/>
        <v>1262090304.45</v>
      </c>
      <c r="AG880">
        <f t="shared" si="276"/>
        <v>14124721.32</v>
      </c>
      <c r="AH880">
        <f t="shared" si="277"/>
        <v>15694134.800000001</v>
      </c>
      <c r="AI880">
        <f t="shared" si="278"/>
        <v>16415905140</v>
      </c>
    </row>
    <row r="881" spans="2:35" x14ac:dyDescent="0.25">
      <c r="B881" s="4">
        <v>2024</v>
      </c>
      <c r="C881" s="4" t="s">
        <v>28</v>
      </c>
      <c r="D881" s="1" t="s">
        <v>169</v>
      </c>
      <c r="E881" s="4" t="str">
        <f t="shared" si="280"/>
        <v>Ameren-IL</v>
      </c>
      <c r="F881" s="4" t="s">
        <v>146</v>
      </c>
      <c r="G881" s="4"/>
      <c r="H881" s="11" t="s">
        <v>61</v>
      </c>
      <c r="I881" s="4"/>
      <c r="J881" s="4" t="s">
        <v>61</v>
      </c>
      <c r="K881" s="5">
        <v>972315</v>
      </c>
      <c r="L881" s="5">
        <f>K881/_xlfn.XLOOKUP(C881,'Utility target list'!$K$2:$K$8,'Utility target list'!$L$2:$L$8,1,0,1)</f>
        <v>1080350</v>
      </c>
      <c r="M881" s="10">
        <v>2311497</v>
      </c>
      <c r="N881" s="10">
        <v>1453339</v>
      </c>
      <c r="O881" s="8">
        <f>SUMIFS(EIAwtransport!$J$2:$J$675,EIAwtransport!$E$2:$E$675,Program_data!$E881,EIAwtransport!$H$2:$H$675,Program_data!$F881,EIAwtransport!$I$2:$I$675,Program_data!O$2)</f>
        <v>278274544</v>
      </c>
      <c r="P881" s="5">
        <f>SUMIFS(EIAwtransport!$J$2:$J$675,EIAwtransport!$E$2:$E$675,Program_data!$E881,EIAwtransport!$H$2:$H$675,Program_data!$F881,EIAwtransport!$I$2:$I$675,Program_data!P$2)</f>
        <v>103403271</v>
      </c>
      <c r="Q881" s="5">
        <f>SUMIFS(EIAwtransport!$J$2:$J$675,EIAwtransport!$E$2:$E$675,Program_data!$E881,EIAwtransport!$H$2:$H$675,Program_data!$F881,EIAwtransport!$I$2:$I$675,Program_data!Q$2)</f>
        <v>68751</v>
      </c>
      <c r="R881" s="8">
        <f>SUMIFS(EIAwtransport!$J$2:$J$675,EIAwtransport!$E$2:$E$675,Program_data!$E881,EIAwtransport!$I$2:$I$675,Program_data!R$2)</f>
        <v>934881707</v>
      </c>
      <c r="S881" s="5">
        <f>SUMIFS(EIAwtransport!$J$2:$J$675,EIAwtransport!$E$2:$E$675,Program_data!$E881,EIAwtransport!$I$2:$I$675,Program_data!S$2)</f>
        <v>155630500</v>
      </c>
      <c r="T881" s="5">
        <f>SUMIFS(EIAwtransport!$J$2:$J$675,EIAwtransport!$E$2:$E$675,Program_data!$E881,EIAwtransport!$I$2:$I$675,Program_data!T$2)</f>
        <v>814853</v>
      </c>
      <c r="U881" s="24">
        <f t="shared" si="291"/>
        <v>6.0304888327030522E-4</v>
      </c>
      <c r="V881" s="24">
        <f t="shared" si="292"/>
        <v>6.7005431474478352E-4</v>
      </c>
      <c r="W881" s="24">
        <f t="shared" si="293"/>
        <v>2.4725021173186779E-3</v>
      </c>
      <c r="X881" s="25">
        <f t="shared" si="294"/>
        <v>1.4336358942653982E-3</v>
      </c>
      <c r="Y881" s="8">
        <f t="shared" si="284"/>
        <v>1.4739556199453268</v>
      </c>
      <c r="Z881" s="27">
        <f t="shared" si="285"/>
        <v>0.6382471664025593</v>
      </c>
      <c r="AA881" s="27"/>
      <c r="AB881" s="40"/>
      <c r="AC881" s="56">
        <f t="shared" si="295"/>
        <v>4.553082702710904E-2</v>
      </c>
      <c r="AE881" s="20">
        <f t="shared" si="286"/>
        <v>1962007.6500000001</v>
      </c>
      <c r="AF881" s="20">
        <f t="shared" si="296"/>
        <v>1262090304.45</v>
      </c>
      <c r="AG881">
        <f t="shared" si="276"/>
        <v>102559786.2</v>
      </c>
      <c r="AH881">
        <f t="shared" si="277"/>
        <v>113955318</v>
      </c>
      <c r="AI881">
        <f t="shared" si="278"/>
        <v>16415905140</v>
      </c>
    </row>
    <row r="882" spans="2:35" x14ac:dyDescent="0.25">
      <c r="B882" s="4">
        <v>2024</v>
      </c>
      <c r="C882" s="4" t="s">
        <v>28</v>
      </c>
      <c r="D882" s="1" t="s">
        <v>169</v>
      </c>
      <c r="E882" s="4" t="str">
        <f t="shared" si="280"/>
        <v>Ameren-IL</v>
      </c>
      <c r="F882" s="4" t="s">
        <v>146</v>
      </c>
      <c r="G882" s="4"/>
      <c r="H882" s="11" t="s">
        <v>177</v>
      </c>
      <c r="I882" s="4"/>
      <c r="J882" s="4" t="s">
        <v>71</v>
      </c>
      <c r="K882" s="5">
        <v>52000</v>
      </c>
      <c r="L882" s="5">
        <f>K882/_xlfn.XLOOKUP(C882,'Utility target list'!$K$2:$K$8,'Utility target list'!$L$2:$L$8,1,0,1)</f>
        <v>57777.777777777774</v>
      </c>
      <c r="M882" s="10">
        <v>553695</v>
      </c>
      <c r="N882" s="10">
        <v>78000</v>
      </c>
      <c r="O882" s="8">
        <f>SUMIFS(EIAwtransport!$J$2:$J$675,EIAwtransport!$E$2:$E$675,Program_data!$E882,EIAwtransport!$H$2:$H$675,Program_data!$F882,EIAwtransport!$I$2:$I$675,Program_data!O$2)</f>
        <v>278274544</v>
      </c>
      <c r="P882" s="5">
        <f>SUMIFS(EIAwtransport!$J$2:$J$675,EIAwtransport!$E$2:$E$675,Program_data!$E882,EIAwtransport!$H$2:$H$675,Program_data!$F882,EIAwtransport!$I$2:$I$675,Program_data!P$2)</f>
        <v>103403271</v>
      </c>
      <c r="Q882" s="5">
        <f>SUMIFS(EIAwtransport!$J$2:$J$675,EIAwtransport!$E$2:$E$675,Program_data!$E882,EIAwtransport!$H$2:$H$675,Program_data!$F882,EIAwtransport!$I$2:$I$675,Program_data!Q$2)</f>
        <v>68751</v>
      </c>
      <c r="R882" s="8">
        <f>SUMIFS(EIAwtransport!$J$2:$J$675,EIAwtransport!$E$2:$E$675,Program_data!$E882,EIAwtransport!$I$2:$I$675,Program_data!R$2)</f>
        <v>934881707</v>
      </c>
      <c r="S882" s="5">
        <f>SUMIFS(EIAwtransport!$J$2:$J$675,EIAwtransport!$E$2:$E$675,Program_data!$E882,EIAwtransport!$I$2:$I$675,Program_data!S$2)</f>
        <v>155630500</v>
      </c>
      <c r="T882" s="5">
        <f>SUMIFS(EIAwtransport!$J$2:$J$675,EIAwtransport!$E$2:$E$675,Program_data!$E882,EIAwtransport!$I$2:$I$675,Program_data!T$2)</f>
        <v>814853</v>
      </c>
      <c r="U882" s="24">
        <f t="shared" si="291"/>
        <v>3.2251422563732811E-5</v>
      </c>
      <c r="V882" s="24">
        <f t="shared" si="292"/>
        <v>3.5834913959703122E-5</v>
      </c>
      <c r="W882" s="24">
        <f t="shared" si="293"/>
        <v>5.922620967488885E-4</v>
      </c>
      <c r="X882" s="25">
        <f t="shared" si="294"/>
        <v>3.4341252723896231E-4</v>
      </c>
      <c r="Y882" s="8">
        <f t="shared" si="284"/>
        <v>0.35307069703556948</v>
      </c>
      <c r="Z882" s="27">
        <f t="shared" si="285"/>
        <v>0.15288545250167535</v>
      </c>
      <c r="AA882" s="27"/>
      <c r="AB882" s="40"/>
      <c r="AC882" s="56">
        <f t="shared" si="295"/>
        <v>2.4350164354243944E-3</v>
      </c>
      <c r="AE882" s="20">
        <f t="shared" si="286"/>
        <v>105300</v>
      </c>
      <c r="AF882" s="20">
        <f t="shared" si="296"/>
        <v>1262090304.45</v>
      </c>
      <c r="AG882">
        <f t="shared" si="276"/>
        <v>5484960</v>
      </c>
      <c r="AH882">
        <f t="shared" si="277"/>
        <v>6094400</v>
      </c>
      <c r="AI882">
        <f t="shared" si="278"/>
        <v>16415905140</v>
      </c>
    </row>
    <row r="883" spans="2:35" x14ac:dyDescent="0.25">
      <c r="B883" s="4">
        <v>2024</v>
      </c>
      <c r="C883" s="4" t="s">
        <v>28</v>
      </c>
      <c r="D883" s="1" t="s">
        <v>169</v>
      </c>
      <c r="E883" s="4" t="str">
        <f t="shared" si="280"/>
        <v>Ameren-IL</v>
      </c>
      <c r="F883" s="4" t="s">
        <v>146</v>
      </c>
      <c r="G883" s="4"/>
      <c r="H883" s="11" t="s">
        <v>568</v>
      </c>
      <c r="I883" s="4"/>
      <c r="J883" s="4" t="s">
        <v>155</v>
      </c>
      <c r="K883" s="5">
        <v>0</v>
      </c>
      <c r="L883" s="5">
        <v>0</v>
      </c>
      <c r="M883" s="5">
        <v>0</v>
      </c>
      <c r="N883" s="5">
        <v>0</v>
      </c>
      <c r="O883" s="8">
        <f>SUMIFS(EIAwtransport!$J$2:$J$675,EIAwtransport!$E$2:$E$675,Program_data!$E883,EIAwtransport!$H$2:$H$675,Program_data!$F883,EIAwtransport!$I$2:$I$675,Program_data!O$2)</f>
        <v>278274544</v>
      </c>
      <c r="P883" s="5">
        <f>SUMIFS(EIAwtransport!$J$2:$J$675,EIAwtransport!$E$2:$E$675,Program_data!$E883,EIAwtransport!$H$2:$H$675,Program_data!$F883,EIAwtransport!$I$2:$I$675,Program_data!P$2)</f>
        <v>103403271</v>
      </c>
      <c r="Q883" s="5">
        <f>SUMIFS(EIAwtransport!$J$2:$J$675,EIAwtransport!$E$2:$E$675,Program_data!$E883,EIAwtransport!$H$2:$H$675,Program_data!$F883,EIAwtransport!$I$2:$I$675,Program_data!Q$2)</f>
        <v>68751</v>
      </c>
      <c r="R883" s="8">
        <f>SUMIFS(EIAwtransport!$J$2:$J$675,EIAwtransport!$E$2:$E$675,Program_data!$E883,EIAwtransport!$I$2:$I$675,Program_data!R$2)</f>
        <v>934881707</v>
      </c>
      <c r="S883" s="5">
        <f>SUMIFS(EIAwtransport!$J$2:$J$675,EIAwtransport!$E$2:$E$675,Program_data!$E883,EIAwtransport!$I$2:$I$675,Program_data!S$2)</f>
        <v>155630500</v>
      </c>
      <c r="T883" s="5">
        <f>SUMIFS(EIAwtransport!$J$2:$J$675,EIAwtransport!$E$2:$E$675,Program_data!$E883,EIAwtransport!$I$2:$I$675,Program_data!T$2)</f>
        <v>814853</v>
      </c>
      <c r="U883" s="24">
        <f t="shared" si="291"/>
        <v>0</v>
      </c>
      <c r="V883" s="24">
        <f t="shared" si="292"/>
        <v>0</v>
      </c>
      <c r="W883" s="24">
        <f t="shared" si="293"/>
        <v>0</v>
      </c>
      <c r="X883" s="25">
        <f t="shared" si="294"/>
        <v>0</v>
      </c>
      <c r="Y883" s="8">
        <f t="shared" si="284"/>
        <v>0</v>
      </c>
      <c r="Z883" s="27">
        <f t="shared" si="285"/>
        <v>0</v>
      </c>
      <c r="AA883" s="27"/>
      <c r="AB883" s="40"/>
      <c r="AC883" s="56">
        <f t="shared" si="295"/>
        <v>0</v>
      </c>
      <c r="AE883" s="20">
        <f t="shared" si="286"/>
        <v>0</v>
      </c>
      <c r="AF883" s="20">
        <f t="shared" si="296"/>
        <v>1262090304.45</v>
      </c>
      <c r="AG883">
        <f t="shared" si="276"/>
        <v>0</v>
      </c>
      <c r="AH883">
        <f t="shared" si="277"/>
        <v>0</v>
      </c>
      <c r="AI883">
        <f t="shared" si="278"/>
        <v>16415905140</v>
      </c>
    </row>
    <row r="884" spans="2:35" x14ac:dyDescent="0.25">
      <c r="B884" s="4">
        <v>2024</v>
      </c>
      <c r="C884" s="4" t="s">
        <v>28</v>
      </c>
      <c r="D884" s="1" t="s">
        <v>169</v>
      </c>
      <c r="E884" s="4" t="str">
        <f t="shared" si="280"/>
        <v>Ameren-IL</v>
      </c>
      <c r="F884" s="4" t="s">
        <v>146</v>
      </c>
      <c r="G884" s="4"/>
      <c r="H884" s="11" t="s">
        <v>179</v>
      </c>
      <c r="I884" s="4"/>
      <c r="J884" s="4" t="s">
        <v>155</v>
      </c>
      <c r="K884" s="5">
        <v>0</v>
      </c>
      <c r="L884" s="5">
        <v>0</v>
      </c>
      <c r="M884" s="10">
        <v>10500</v>
      </c>
      <c r="N884" s="10">
        <v>0</v>
      </c>
      <c r="O884" s="8">
        <f>SUMIFS(EIAwtransport!$J$2:$J$675,EIAwtransport!$E$2:$E$675,Program_data!$E884,EIAwtransport!$H$2:$H$675,Program_data!$F884,EIAwtransport!$I$2:$I$675,Program_data!O$2)</f>
        <v>278274544</v>
      </c>
      <c r="P884" s="5">
        <f>SUMIFS(EIAwtransport!$J$2:$J$675,EIAwtransport!$E$2:$E$675,Program_data!$E884,EIAwtransport!$H$2:$H$675,Program_data!$F884,EIAwtransport!$I$2:$I$675,Program_data!P$2)</f>
        <v>103403271</v>
      </c>
      <c r="Q884" s="5">
        <f>SUMIFS(EIAwtransport!$J$2:$J$675,EIAwtransport!$E$2:$E$675,Program_data!$E884,EIAwtransport!$H$2:$H$675,Program_data!$F884,EIAwtransport!$I$2:$I$675,Program_data!Q$2)</f>
        <v>68751</v>
      </c>
      <c r="R884" s="8">
        <f>SUMIFS(EIAwtransport!$J$2:$J$675,EIAwtransport!$E$2:$E$675,Program_data!$E884,EIAwtransport!$I$2:$I$675,Program_data!R$2)</f>
        <v>934881707</v>
      </c>
      <c r="S884" s="5">
        <f>SUMIFS(EIAwtransport!$J$2:$J$675,EIAwtransport!$E$2:$E$675,Program_data!$E884,EIAwtransport!$I$2:$I$675,Program_data!S$2)</f>
        <v>155630500</v>
      </c>
      <c r="T884" s="5">
        <f>SUMIFS(EIAwtransport!$J$2:$J$675,EIAwtransport!$E$2:$E$675,Program_data!$E884,EIAwtransport!$I$2:$I$675,Program_data!T$2)</f>
        <v>814853</v>
      </c>
      <c r="U884" s="24">
        <f t="shared" si="291"/>
        <v>0</v>
      </c>
      <c r="V884" s="24">
        <f t="shared" si="292"/>
        <v>0</v>
      </c>
      <c r="W884" s="24">
        <f t="shared" si="293"/>
        <v>1.1231367478238614E-5</v>
      </c>
      <c r="X884" s="25">
        <f t="shared" si="294"/>
        <v>6.5123064792152791E-6</v>
      </c>
      <c r="Y884" s="8">
        <f t="shared" si="284"/>
        <v>6.695459267057639E-3</v>
      </c>
      <c r="Z884" s="27">
        <f t="shared" si="285"/>
        <v>2.8992446225224919E-3</v>
      </c>
      <c r="AA884" s="27"/>
      <c r="AB884" s="40"/>
      <c r="AC884" s="56">
        <f t="shared" si="295"/>
        <v>0</v>
      </c>
      <c r="AE884" s="20">
        <f t="shared" si="286"/>
        <v>0</v>
      </c>
      <c r="AF884" s="20">
        <f t="shared" si="296"/>
        <v>1262090304.45</v>
      </c>
      <c r="AG884">
        <f t="shared" si="276"/>
        <v>0</v>
      </c>
      <c r="AH884">
        <f t="shared" si="277"/>
        <v>0</v>
      </c>
      <c r="AI884">
        <f t="shared" si="278"/>
        <v>16415905140</v>
      </c>
    </row>
    <row r="885" spans="2:35" x14ac:dyDescent="0.25">
      <c r="B885" s="4">
        <v>2024</v>
      </c>
      <c r="C885" s="4" t="s">
        <v>28</v>
      </c>
      <c r="D885" s="1" t="s">
        <v>169</v>
      </c>
      <c r="E885" s="4" t="str">
        <f t="shared" si="280"/>
        <v>Ameren-IL</v>
      </c>
      <c r="F885" s="4" t="s">
        <v>146</v>
      </c>
      <c r="G885" s="4"/>
      <c r="H885" s="11" t="s">
        <v>569</v>
      </c>
      <c r="I885" s="4"/>
      <c r="J885" s="4" t="s">
        <v>21</v>
      </c>
      <c r="K885" s="5">
        <v>149253</v>
      </c>
      <c r="L885" s="5">
        <f>K885/_xlfn.XLOOKUP(C885,'Utility target list'!$K$2:$K$8,'Utility target list'!$L$2:$L$8,1,0,1)</f>
        <v>165836.66666666666</v>
      </c>
      <c r="M885" s="39"/>
      <c r="N885" s="39"/>
      <c r="O885" s="8">
        <f>SUMIFS(EIAwtransport!$J$2:$J$675,EIAwtransport!$E$2:$E$675,Program_data!$E885,EIAwtransport!$H$2:$H$675,Program_data!$F885,EIAwtransport!$I$2:$I$675,Program_data!O$2)</f>
        <v>278274544</v>
      </c>
      <c r="P885" s="5">
        <f>SUMIFS(EIAwtransport!$J$2:$J$675,EIAwtransport!$E$2:$E$675,Program_data!$E885,EIAwtransport!$H$2:$H$675,Program_data!$F885,EIAwtransport!$I$2:$I$675,Program_data!P$2)</f>
        <v>103403271</v>
      </c>
      <c r="Q885" s="5">
        <f>SUMIFS(EIAwtransport!$J$2:$J$675,EIAwtransport!$E$2:$E$675,Program_data!$E885,EIAwtransport!$H$2:$H$675,Program_data!$F885,EIAwtransport!$I$2:$I$675,Program_data!Q$2)</f>
        <v>68751</v>
      </c>
      <c r="R885" s="8">
        <f>SUMIFS(EIAwtransport!$J$2:$J$675,EIAwtransport!$E$2:$E$675,Program_data!$E885,EIAwtransport!$I$2:$I$675,Program_data!R$2)</f>
        <v>934881707</v>
      </c>
      <c r="S885" s="5">
        <f>SUMIFS(EIAwtransport!$J$2:$J$675,EIAwtransport!$E$2:$E$675,Program_data!$E885,EIAwtransport!$I$2:$I$675,Program_data!S$2)</f>
        <v>155630500</v>
      </c>
      <c r="T885" s="5">
        <f>SUMIFS(EIAwtransport!$J$2:$J$675,EIAwtransport!$E$2:$E$675,Program_data!$E885,EIAwtransport!$I$2:$I$675,Program_data!T$2)</f>
        <v>814853</v>
      </c>
      <c r="U885" s="24">
        <f t="shared" si="291"/>
        <v>9.2569645613554114E-5</v>
      </c>
      <c r="V885" s="24">
        <f t="shared" si="292"/>
        <v>1.0285516179283789E-4</v>
      </c>
      <c r="W885" s="24">
        <f t="shared" si="293"/>
        <v>0</v>
      </c>
      <c r="X885" s="25">
        <f t="shared" si="294"/>
        <v>0</v>
      </c>
      <c r="Y885" s="8">
        <f t="shared" si="284"/>
        <v>0</v>
      </c>
      <c r="Z885" s="27">
        <f t="shared" si="285"/>
        <v>0</v>
      </c>
      <c r="AA885" s="27"/>
      <c r="AB885" s="40"/>
      <c r="AC885" s="56">
        <f t="shared" si="295"/>
        <v>6.9891059237768682E-3</v>
      </c>
      <c r="AE885" s="20">
        <f t="shared" si="286"/>
        <v>0</v>
      </c>
      <c r="AF885" s="20">
        <f t="shared" si="296"/>
        <v>1262090304.45</v>
      </c>
      <c r="AG885">
        <f t="shared" si="276"/>
        <v>15743206.440000001</v>
      </c>
      <c r="AH885">
        <f t="shared" si="277"/>
        <v>17492451.600000001</v>
      </c>
      <c r="AI885">
        <f t="shared" si="278"/>
        <v>16415905140</v>
      </c>
    </row>
    <row r="886" spans="2:35" x14ac:dyDescent="0.25">
      <c r="B886" s="4">
        <v>2024</v>
      </c>
      <c r="C886" s="4" t="s">
        <v>241</v>
      </c>
      <c r="D886" s="1" t="s">
        <v>570</v>
      </c>
      <c r="E886" s="4" t="str">
        <f t="shared" si="280"/>
        <v>CtPt-MN</v>
      </c>
      <c r="F886" s="4" t="s">
        <v>135</v>
      </c>
      <c r="G886" s="4"/>
      <c r="H886" s="11" t="s">
        <v>571</v>
      </c>
      <c r="I886" s="4"/>
      <c r="J886" s="4" t="s">
        <v>48</v>
      </c>
      <c r="K886" s="5">
        <v>2904280</v>
      </c>
      <c r="L886" s="5">
        <f t="shared" ref="L886:L921" si="297">K886</f>
        <v>2904280</v>
      </c>
      <c r="M886" s="8">
        <v>10612750</v>
      </c>
      <c r="N886" s="8">
        <v>8745750</v>
      </c>
      <c r="O886" s="8">
        <f>SUMIFS(EIAwtransport!$J$2:$J$675,EIAwtransport!$E$2:$E$675,Program_data!$E886,EIAwtransport!$H$2:$H$675,Program_data!$F886,EIAwtransport!$I$2:$I$675,Program_data!O$2)</f>
        <v>671522278</v>
      </c>
      <c r="P886" s="5">
        <f>SUMIFS(EIAwtransport!$J$2:$J$675,EIAwtransport!$E$2:$E$675,Program_data!$E886,EIAwtransport!$H$2:$H$675,Program_data!$F886,EIAwtransport!$I$2:$I$675,Program_data!P$2)</f>
        <v>68242994</v>
      </c>
      <c r="Q886" s="5">
        <f>SUMIFS(EIAwtransport!$J$2:$J$675,EIAwtransport!$E$2:$E$675,Program_data!$E886,EIAwtransport!$H$2:$H$675,Program_data!$F886,EIAwtransport!$I$2:$I$675,Program_data!Q$2)</f>
        <v>821309</v>
      </c>
      <c r="R886" s="8">
        <f>SUMIFS(EIAwtransport!$J$2:$J$675,EIAwtransport!$E$2:$E$675,Program_data!$E886,EIAwtransport!$I$2:$I$675,Program_data!R$2)</f>
        <v>1122230698</v>
      </c>
      <c r="S886" s="5">
        <f>SUMIFS(EIAwtransport!$J$2:$J$675,EIAwtransport!$E$2:$E$675,Program_data!$E886,EIAwtransport!$I$2:$I$675,Program_data!S$2)</f>
        <v>157605245</v>
      </c>
      <c r="T886" s="5">
        <f>SUMIFS(EIAwtransport!$J$2:$J$675,EIAwtransport!$E$2:$E$675,Program_data!$E886,EIAwtransport!$I$2:$I$675,Program_data!T$2)</f>
        <v>892595</v>
      </c>
      <c r="U886" s="24">
        <f t="shared" si="291"/>
        <v>1.7787219412393753E-3</v>
      </c>
      <c r="V886" s="24">
        <f t="shared" si="292"/>
        <v>1.7787219412393753E-3</v>
      </c>
      <c r="W886" s="24">
        <f t="shared" si="293"/>
        <v>9.4568345162128146E-3</v>
      </c>
      <c r="X886" s="25">
        <f t="shared" si="294"/>
        <v>6.4997628609804086E-3</v>
      </c>
      <c r="Y886" s="8">
        <f t="shared" si="284"/>
        <v>1.6265623443403094</v>
      </c>
      <c r="Z886" s="27">
        <f t="shared" si="285"/>
        <v>0.57292169957638528</v>
      </c>
      <c r="AA886" s="27"/>
      <c r="AB886" s="41" t="s">
        <v>572</v>
      </c>
      <c r="AC886" s="56">
        <f t="shared" si="295"/>
        <v>6.3424686286081139E-2</v>
      </c>
      <c r="AE886" s="20">
        <f t="shared" si="286"/>
        <v>11806762.5</v>
      </c>
      <c r="AF886" s="20">
        <f t="shared" si="296"/>
        <v>1515011442.3000002</v>
      </c>
      <c r="AG886">
        <f t="shared" si="276"/>
        <v>306343454.40000004</v>
      </c>
      <c r="AH886">
        <f t="shared" si="277"/>
        <v>306343454.40000004</v>
      </c>
      <c r="AI886">
        <f t="shared" si="278"/>
        <v>16624201242.6</v>
      </c>
    </row>
    <row r="887" spans="2:35" x14ac:dyDescent="0.25">
      <c r="B887" s="4">
        <v>2024</v>
      </c>
      <c r="C887" s="4" t="s">
        <v>241</v>
      </c>
      <c r="D887" s="1" t="s">
        <v>570</v>
      </c>
      <c r="E887" s="4" t="str">
        <f t="shared" si="280"/>
        <v>CtPt-MN</v>
      </c>
      <c r="F887" s="4" t="s">
        <v>135</v>
      </c>
      <c r="G887" s="4"/>
      <c r="H887" s="11" t="s">
        <v>573</v>
      </c>
      <c r="I887" s="4"/>
      <c r="J887" s="4" t="s">
        <v>21</v>
      </c>
      <c r="K887" s="5">
        <v>444830</v>
      </c>
      <c r="L887" s="5">
        <f t="shared" si="297"/>
        <v>444830</v>
      </c>
      <c r="M887" s="8">
        <v>929285</v>
      </c>
      <c r="N887" s="8">
        <v>0</v>
      </c>
      <c r="O887" s="8">
        <f>SUMIFS(EIAwtransport!$J$2:$J$675,EIAwtransport!$E$2:$E$675,Program_data!$E887,EIAwtransport!$H$2:$H$675,Program_data!$F887,EIAwtransport!$I$2:$I$675,Program_data!O$2)</f>
        <v>671522278</v>
      </c>
      <c r="P887" s="5">
        <f>SUMIFS(EIAwtransport!$J$2:$J$675,EIAwtransport!$E$2:$E$675,Program_data!$E887,EIAwtransport!$H$2:$H$675,Program_data!$F887,EIAwtransport!$I$2:$I$675,Program_data!P$2)</f>
        <v>68242994</v>
      </c>
      <c r="Q887" s="5">
        <f>SUMIFS(EIAwtransport!$J$2:$J$675,EIAwtransport!$E$2:$E$675,Program_data!$E887,EIAwtransport!$H$2:$H$675,Program_data!$F887,EIAwtransport!$I$2:$I$675,Program_data!Q$2)</f>
        <v>821309</v>
      </c>
      <c r="R887" s="8">
        <f>SUMIFS(EIAwtransport!$J$2:$J$675,EIAwtransport!$E$2:$E$675,Program_data!$E887,EIAwtransport!$I$2:$I$675,Program_data!R$2)</f>
        <v>1122230698</v>
      </c>
      <c r="S887" s="5">
        <f>SUMIFS(EIAwtransport!$J$2:$J$675,EIAwtransport!$E$2:$E$675,Program_data!$E887,EIAwtransport!$I$2:$I$675,Program_data!S$2)</f>
        <v>157605245</v>
      </c>
      <c r="T887" s="5">
        <f>SUMIFS(EIAwtransport!$J$2:$J$675,EIAwtransport!$E$2:$E$675,Program_data!$E887,EIAwtransport!$I$2:$I$675,Program_data!T$2)</f>
        <v>892595</v>
      </c>
      <c r="U887" s="24">
        <f t="shared" si="291"/>
        <v>2.7243546804079196E-4</v>
      </c>
      <c r="V887" s="24">
        <f t="shared" si="292"/>
        <v>2.7243546804079196E-4</v>
      </c>
      <c r="W887" s="24">
        <f t="shared" si="293"/>
        <v>8.2806948843596861E-4</v>
      </c>
      <c r="X887" s="25">
        <f t="shared" si="294"/>
        <v>5.691392080531605E-4</v>
      </c>
      <c r="Y887" s="8">
        <f t="shared" si="284"/>
        <v>0.14242679683967721</v>
      </c>
      <c r="Z887" s="27">
        <f t="shared" si="285"/>
        <v>5.0166784442377446E-2</v>
      </c>
      <c r="AA887" s="27"/>
      <c r="AB887" s="40"/>
      <c r="AC887" s="56">
        <f t="shared" si="295"/>
        <v>9.7143537126714603E-3</v>
      </c>
      <c r="AE887" s="20">
        <f t="shared" si="286"/>
        <v>0</v>
      </c>
      <c r="AF887" s="20">
        <f t="shared" si="296"/>
        <v>1515011442.3000002</v>
      </c>
      <c r="AG887">
        <f t="shared" si="276"/>
        <v>46920668.399999999</v>
      </c>
      <c r="AH887">
        <f t="shared" si="277"/>
        <v>46920668.399999999</v>
      </c>
      <c r="AI887">
        <f t="shared" si="278"/>
        <v>16624201242.6</v>
      </c>
    </row>
    <row r="888" spans="2:35" x14ac:dyDescent="0.25">
      <c r="B888" s="4">
        <v>2024</v>
      </c>
      <c r="C888" s="4" t="s">
        <v>241</v>
      </c>
      <c r="D888" s="1" t="s">
        <v>570</v>
      </c>
      <c r="E888" s="4" t="str">
        <f t="shared" si="280"/>
        <v>CtPt-MN</v>
      </c>
      <c r="F888" s="4" t="s">
        <v>135</v>
      </c>
      <c r="G888" s="4"/>
      <c r="H888" s="11" t="s">
        <v>574</v>
      </c>
      <c r="I888" s="4"/>
      <c r="J888" s="4" t="s">
        <v>27</v>
      </c>
      <c r="K888" s="5">
        <v>317520</v>
      </c>
      <c r="L888" s="5">
        <f t="shared" si="297"/>
        <v>317520</v>
      </c>
      <c r="M888" s="8">
        <v>1840375</v>
      </c>
      <c r="N888" s="8">
        <v>1556100</v>
      </c>
      <c r="O888" s="8">
        <f>SUMIFS(EIAwtransport!$J$2:$J$675,EIAwtransport!$E$2:$E$675,Program_data!$E888,EIAwtransport!$H$2:$H$675,Program_data!$F888,EIAwtransport!$I$2:$I$675,Program_data!O$2)</f>
        <v>671522278</v>
      </c>
      <c r="P888" s="5">
        <f>SUMIFS(EIAwtransport!$J$2:$J$675,EIAwtransport!$E$2:$E$675,Program_data!$E888,EIAwtransport!$H$2:$H$675,Program_data!$F888,EIAwtransport!$I$2:$I$675,Program_data!P$2)</f>
        <v>68242994</v>
      </c>
      <c r="Q888" s="5">
        <f>SUMIFS(EIAwtransport!$J$2:$J$675,EIAwtransport!$E$2:$E$675,Program_data!$E888,EIAwtransport!$H$2:$H$675,Program_data!$F888,EIAwtransport!$I$2:$I$675,Program_data!Q$2)</f>
        <v>821309</v>
      </c>
      <c r="R888" s="8">
        <f>SUMIFS(EIAwtransport!$J$2:$J$675,EIAwtransport!$E$2:$E$675,Program_data!$E888,EIAwtransport!$I$2:$I$675,Program_data!R$2)</f>
        <v>1122230698</v>
      </c>
      <c r="S888" s="5">
        <f>SUMIFS(EIAwtransport!$J$2:$J$675,EIAwtransport!$E$2:$E$675,Program_data!$E888,EIAwtransport!$I$2:$I$675,Program_data!S$2)</f>
        <v>157605245</v>
      </c>
      <c r="T888" s="5">
        <f>SUMIFS(EIAwtransport!$J$2:$J$675,EIAwtransport!$E$2:$E$675,Program_data!$E888,EIAwtransport!$I$2:$I$675,Program_data!T$2)</f>
        <v>892595</v>
      </c>
      <c r="U888" s="24">
        <f t="shared" si="291"/>
        <v>1.9446464899469971E-4</v>
      </c>
      <c r="V888" s="24">
        <f t="shared" si="292"/>
        <v>1.9446464899469971E-4</v>
      </c>
      <c r="W888" s="24">
        <f t="shared" si="293"/>
        <v>1.6399257329886372E-3</v>
      </c>
      <c r="X888" s="25">
        <f t="shared" si="294"/>
        <v>1.1271349155757763E-3</v>
      </c>
      <c r="Y888" s="8">
        <f t="shared" si="284"/>
        <v>0.2820649383491835</v>
      </c>
      <c r="Z888" s="27">
        <f t="shared" si="285"/>
        <v>9.9351324855281628E-2</v>
      </c>
      <c r="AA888" s="27"/>
      <c r="AB888" s="40"/>
      <c r="AC888" s="56">
        <f t="shared" si="295"/>
        <v>6.9341132361743635E-3</v>
      </c>
      <c r="AE888" s="20">
        <f t="shared" si="286"/>
        <v>2100735</v>
      </c>
      <c r="AF888" s="20">
        <f t="shared" si="296"/>
        <v>1515011442.3000002</v>
      </c>
      <c r="AG888">
        <f t="shared" si="276"/>
        <v>33492009.600000001</v>
      </c>
      <c r="AH888">
        <f t="shared" si="277"/>
        <v>33492009.600000001</v>
      </c>
      <c r="AI888">
        <f t="shared" si="278"/>
        <v>16624201242.6</v>
      </c>
    </row>
    <row r="889" spans="2:35" x14ac:dyDescent="0.25">
      <c r="B889" s="4">
        <v>2024</v>
      </c>
      <c r="C889" s="4" t="s">
        <v>241</v>
      </c>
      <c r="D889" s="1" t="s">
        <v>570</v>
      </c>
      <c r="E889" s="4" t="str">
        <f t="shared" si="280"/>
        <v>CtPt-MN</v>
      </c>
      <c r="F889" s="4" t="s">
        <v>135</v>
      </c>
      <c r="G889" s="4"/>
      <c r="H889" s="11" t="s">
        <v>575</v>
      </c>
      <c r="I889" s="4"/>
      <c r="J889" s="4" t="s">
        <v>157</v>
      </c>
      <c r="K889" s="5">
        <v>1014810</v>
      </c>
      <c r="L889" s="5">
        <f t="shared" si="297"/>
        <v>1014810</v>
      </c>
      <c r="M889" s="8">
        <v>1652238</v>
      </c>
      <c r="N889" s="8">
        <v>0</v>
      </c>
      <c r="O889" s="8">
        <f>SUMIFS(EIAwtransport!$J$2:$J$675,EIAwtransport!$E$2:$E$675,Program_data!$E889,EIAwtransport!$H$2:$H$675,Program_data!$F889,EIAwtransport!$I$2:$I$675,Program_data!O$2)</f>
        <v>671522278</v>
      </c>
      <c r="P889" s="5">
        <f>SUMIFS(EIAwtransport!$J$2:$J$675,EIAwtransport!$E$2:$E$675,Program_data!$E889,EIAwtransport!$H$2:$H$675,Program_data!$F889,EIAwtransport!$I$2:$I$675,Program_data!P$2)</f>
        <v>68242994</v>
      </c>
      <c r="Q889" s="5">
        <f>SUMIFS(EIAwtransport!$J$2:$J$675,EIAwtransport!$E$2:$E$675,Program_data!$E889,EIAwtransport!$H$2:$H$675,Program_data!$F889,EIAwtransport!$I$2:$I$675,Program_data!Q$2)</f>
        <v>821309</v>
      </c>
      <c r="R889" s="8">
        <f>SUMIFS(EIAwtransport!$J$2:$J$675,EIAwtransport!$E$2:$E$675,Program_data!$E889,EIAwtransport!$I$2:$I$675,Program_data!R$2)</f>
        <v>1122230698</v>
      </c>
      <c r="S889" s="5">
        <f>SUMIFS(EIAwtransport!$J$2:$J$675,EIAwtransport!$E$2:$E$675,Program_data!$E889,EIAwtransport!$I$2:$I$675,Program_data!S$2)</f>
        <v>157605245</v>
      </c>
      <c r="T889" s="5">
        <f>SUMIFS(EIAwtransport!$J$2:$J$675,EIAwtransport!$E$2:$E$675,Program_data!$E889,EIAwtransport!$I$2:$I$675,Program_data!T$2)</f>
        <v>892595</v>
      </c>
      <c r="U889" s="24">
        <f t="shared" si="291"/>
        <v>6.2151886635900477E-4</v>
      </c>
      <c r="V889" s="24">
        <f t="shared" si="292"/>
        <v>6.2151886635900477E-4</v>
      </c>
      <c r="W889" s="24">
        <f t="shared" si="293"/>
        <v>1.4722801674776499E-3</v>
      </c>
      <c r="X889" s="25">
        <f t="shared" si="294"/>
        <v>1.0119106913759909E-3</v>
      </c>
      <c r="Y889" s="8">
        <f t="shared" si="284"/>
        <v>0.25323013494976743</v>
      </c>
      <c r="Z889" s="27">
        <f t="shared" si="285"/>
        <v>8.9194883801530025E-2</v>
      </c>
      <c r="AA889" s="27"/>
      <c r="AB889" s="40"/>
      <c r="AC889" s="56">
        <f t="shared" si="295"/>
        <v>2.2161777063498696E-2</v>
      </c>
      <c r="AE889" s="20">
        <f t="shared" si="286"/>
        <v>0</v>
      </c>
      <c r="AF889" s="20">
        <f t="shared" si="296"/>
        <v>1515011442.3000002</v>
      </c>
      <c r="AG889">
        <f t="shared" si="276"/>
        <v>107042158.8</v>
      </c>
      <c r="AH889">
        <f t="shared" si="277"/>
        <v>107042158.8</v>
      </c>
      <c r="AI889">
        <f t="shared" si="278"/>
        <v>16624201242.6</v>
      </c>
    </row>
    <row r="890" spans="2:35" x14ac:dyDescent="0.25">
      <c r="B890" s="4">
        <v>2024</v>
      </c>
      <c r="C890" s="4" t="s">
        <v>241</v>
      </c>
      <c r="D890" s="1" t="s">
        <v>570</v>
      </c>
      <c r="E890" s="4" t="str">
        <f t="shared" si="280"/>
        <v>CtPt-MN</v>
      </c>
      <c r="F890" s="4" t="s">
        <v>135</v>
      </c>
      <c r="G890" s="4"/>
      <c r="H890" s="11" t="s">
        <v>278</v>
      </c>
      <c r="I890" s="4"/>
      <c r="J890" s="4" t="s">
        <v>21</v>
      </c>
      <c r="K890" s="5">
        <v>349600</v>
      </c>
      <c r="L890" s="5">
        <f t="shared" si="297"/>
        <v>349600</v>
      </c>
      <c r="M890" s="8">
        <v>2965151</v>
      </c>
      <c r="N890" s="8">
        <v>0</v>
      </c>
      <c r="O890" s="8">
        <f>SUMIFS(EIAwtransport!$J$2:$J$675,EIAwtransport!$E$2:$E$675,Program_data!$E890,EIAwtransport!$H$2:$H$675,Program_data!$F890,EIAwtransport!$I$2:$I$675,Program_data!O$2)</f>
        <v>671522278</v>
      </c>
      <c r="P890" s="5">
        <f>SUMIFS(EIAwtransport!$J$2:$J$675,EIAwtransport!$E$2:$E$675,Program_data!$E890,EIAwtransport!$H$2:$H$675,Program_data!$F890,EIAwtransport!$I$2:$I$675,Program_data!P$2)</f>
        <v>68242994</v>
      </c>
      <c r="Q890" s="5">
        <f>SUMIFS(EIAwtransport!$J$2:$J$675,EIAwtransport!$E$2:$E$675,Program_data!$E890,EIAwtransport!$H$2:$H$675,Program_data!$F890,EIAwtransport!$I$2:$I$675,Program_data!Q$2)</f>
        <v>821309</v>
      </c>
      <c r="R890" s="8">
        <f>SUMIFS(EIAwtransport!$J$2:$J$675,EIAwtransport!$E$2:$E$675,Program_data!$E890,EIAwtransport!$I$2:$I$675,Program_data!R$2)</f>
        <v>1122230698</v>
      </c>
      <c r="S890" s="5">
        <f>SUMIFS(EIAwtransport!$J$2:$J$675,EIAwtransport!$E$2:$E$675,Program_data!$E890,EIAwtransport!$I$2:$I$675,Program_data!S$2)</f>
        <v>157605245</v>
      </c>
      <c r="T890" s="5">
        <f>SUMIFS(EIAwtransport!$J$2:$J$675,EIAwtransport!$E$2:$E$675,Program_data!$E890,EIAwtransport!$I$2:$I$675,Program_data!T$2)</f>
        <v>892595</v>
      </c>
      <c r="U890" s="24">
        <f t="shared" si="291"/>
        <v>2.1411199700348645E-4</v>
      </c>
      <c r="V890" s="24">
        <f t="shared" si="292"/>
        <v>2.1411199700348645E-4</v>
      </c>
      <c r="W890" s="24">
        <f t="shared" si="293"/>
        <v>2.6421938067497062E-3</v>
      </c>
      <c r="X890" s="25">
        <f t="shared" si="294"/>
        <v>1.8160022941272451E-3</v>
      </c>
      <c r="Y890" s="8">
        <f t="shared" si="284"/>
        <v>0.45445364885472783</v>
      </c>
      <c r="Z890" s="27">
        <f t="shared" si="285"/>
        <v>0.16007155076870919</v>
      </c>
      <c r="AA890" s="27"/>
      <c r="AB890" s="40"/>
      <c r="AC890" s="56">
        <f t="shared" si="295"/>
        <v>7.6346875389473341E-3</v>
      </c>
      <c r="AE890" s="20">
        <f t="shared" si="286"/>
        <v>0</v>
      </c>
      <c r="AF890" s="20">
        <f t="shared" si="296"/>
        <v>1515011442.3000002</v>
      </c>
      <c r="AG890">
        <f t="shared" si="276"/>
        <v>36875808</v>
      </c>
      <c r="AH890">
        <f t="shared" si="277"/>
        <v>36875808</v>
      </c>
      <c r="AI890">
        <f t="shared" si="278"/>
        <v>16624201242.6</v>
      </c>
    </row>
    <row r="891" spans="2:35" x14ac:dyDescent="0.25">
      <c r="B891" s="4">
        <v>2024</v>
      </c>
      <c r="C891" s="4" t="s">
        <v>241</v>
      </c>
      <c r="D891" s="1" t="s">
        <v>570</v>
      </c>
      <c r="E891" s="4" t="str">
        <f t="shared" si="280"/>
        <v>CtPt-MN</v>
      </c>
      <c r="F891" s="4" t="s">
        <v>135</v>
      </c>
      <c r="G891" s="4"/>
      <c r="H891" s="11" t="s">
        <v>576</v>
      </c>
      <c r="I891" s="4"/>
      <c r="J891" s="4" t="s">
        <v>32</v>
      </c>
      <c r="K891" s="5">
        <v>1053700</v>
      </c>
      <c r="L891" s="5">
        <f t="shared" si="297"/>
        <v>1053700</v>
      </c>
      <c r="M891" s="8">
        <v>7031750</v>
      </c>
      <c r="N891" s="8">
        <v>5512500</v>
      </c>
      <c r="O891" s="8">
        <f>SUMIFS(EIAwtransport!$J$2:$J$675,EIAwtransport!$E$2:$E$675,Program_data!$E891,EIAwtransport!$H$2:$H$675,Program_data!$F891,EIAwtransport!$I$2:$I$675,Program_data!O$2)</f>
        <v>671522278</v>
      </c>
      <c r="P891" s="5">
        <f>SUMIFS(EIAwtransport!$J$2:$J$675,EIAwtransport!$E$2:$E$675,Program_data!$E891,EIAwtransport!$H$2:$H$675,Program_data!$F891,EIAwtransport!$I$2:$I$675,Program_data!P$2)</f>
        <v>68242994</v>
      </c>
      <c r="Q891" s="5">
        <f>SUMIFS(EIAwtransport!$J$2:$J$675,EIAwtransport!$E$2:$E$675,Program_data!$E891,EIAwtransport!$H$2:$H$675,Program_data!$F891,EIAwtransport!$I$2:$I$675,Program_data!Q$2)</f>
        <v>821309</v>
      </c>
      <c r="R891" s="8">
        <f>SUMIFS(EIAwtransport!$J$2:$J$675,EIAwtransport!$E$2:$E$675,Program_data!$E891,EIAwtransport!$I$2:$I$675,Program_data!R$2)</f>
        <v>1122230698</v>
      </c>
      <c r="S891" s="5">
        <f>SUMIFS(EIAwtransport!$J$2:$J$675,EIAwtransport!$E$2:$E$675,Program_data!$E891,EIAwtransport!$I$2:$I$675,Program_data!S$2)</f>
        <v>157605245</v>
      </c>
      <c r="T891" s="5">
        <f>SUMIFS(EIAwtransport!$J$2:$J$675,EIAwtransport!$E$2:$E$675,Program_data!$E891,EIAwtransport!$I$2:$I$675,Program_data!T$2)</f>
        <v>892595</v>
      </c>
      <c r="U891" s="24">
        <f t="shared" si="291"/>
        <v>6.4533698868013065E-4</v>
      </c>
      <c r="V891" s="24">
        <f t="shared" si="292"/>
        <v>6.4533698868013065E-4</v>
      </c>
      <c r="W891" s="24">
        <f t="shared" si="293"/>
        <v>6.2658685175265095E-3</v>
      </c>
      <c r="X891" s="25">
        <f t="shared" si="294"/>
        <v>4.3065847681043072E-3</v>
      </c>
      <c r="Y891" s="8">
        <f t="shared" si="284"/>
        <v>1.0777206440192195</v>
      </c>
      <c r="Z891" s="27">
        <f t="shared" si="285"/>
        <v>0.37960398209665236</v>
      </c>
      <c r="AA891" s="27"/>
      <c r="AB891" s="40"/>
      <c r="AC891" s="56">
        <f t="shared" si="295"/>
        <v>2.3011070537153337E-2</v>
      </c>
      <c r="AE891" s="20">
        <f t="shared" si="286"/>
        <v>7441875.0000000009</v>
      </c>
      <c r="AF891" s="20">
        <f t="shared" si="296"/>
        <v>1515011442.3000002</v>
      </c>
      <c r="AG891">
        <f t="shared" si="276"/>
        <v>111144276</v>
      </c>
      <c r="AH891">
        <f t="shared" si="277"/>
        <v>111144276</v>
      </c>
      <c r="AI891">
        <f t="shared" si="278"/>
        <v>16624201242.6</v>
      </c>
    </row>
    <row r="892" spans="2:35" x14ac:dyDescent="0.25">
      <c r="B892" s="4">
        <v>2024</v>
      </c>
      <c r="C892" s="4" t="s">
        <v>241</v>
      </c>
      <c r="D892" s="1" t="s">
        <v>570</v>
      </c>
      <c r="E892" s="4" t="str">
        <f t="shared" si="280"/>
        <v>CtPt-MN</v>
      </c>
      <c r="F892" s="4" t="s">
        <v>135</v>
      </c>
      <c r="G892" s="4"/>
      <c r="H892" s="11" t="s">
        <v>577</v>
      </c>
      <c r="I892" s="4"/>
      <c r="J892" s="4" t="s">
        <v>32</v>
      </c>
      <c r="K892" s="5">
        <v>148430</v>
      </c>
      <c r="L892" s="5">
        <f t="shared" si="297"/>
        <v>148430</v>
      </c>
      <c r="M892" s="8">
        <v>650620</v>
      </c>
      <c r="N892" s="8">
        <v>385375</v>
      </c>
      <c r="O892" s="8">
        <f>SUMIFS(EIAwtransport!$J$2:$J$675,EIAwtransport!$E$2:$E$675,Program_data!$E892,EIAwtransport!$H$2:$H$675,Program_data!$F892,EIAwtransport!$I$2:$I$675,Program_data!O$2)</f>
        <v>671522278</v>
      </c>
      <c r="P892" s="5">
        <f>SUMIFS(EIAwtransport!$J$2:$J$675,EIAwtransport!$E$2:$E$675,Program_data!$E892,EIAwtransport!$H$2:$H$675,Program_data!$F892,EIAwtransport!$I$2:$I$675,Program_data!P$2)</f>
        <v>68242994</v>
      </c>
      <c r="Q892" s="5">
        <f>SUMIFS(EIAwtransport!$J$2:$J$675,EIAwtransport!$E$2:$E$675,Program_data!$E892,EIAwtransport!$H$2:$H$675,Program_data!$F892,EIAwtransport!$I$2:$I$675,Program_data!Q$2)</f>
        <v>821309</v>
      </c>
      <c r="R892" s="8">
        <f>SUMIFS(EIAwtransport!$J$2:$J$675,EIAwtransport!$E$2:$E$675,Program_data!$E892,EIAwtransport!$I$2:$I$675,Program_data!R$2)</f>
        <v>1122230698</v>
      </c>
      <c r="S892" s="5">
        <f>SUMIFS(EIAwtransport!$J$2:$J$675,EIAwtransport!$E$2:$E$675,Program_data!$E892,EIAwtransport!$I$2:$I$675,Program_data!S$2)</f>
        <v>157605245</v>
      </c>
      <c r="T892" s="5">
        <f>SUMIFS(EIAwtransport!$J$2:$J$675,EIAwtransport!$E$2:$E$675,Program_data!$E892,EIAwtransport!$I$2:$I$675,Program_data!T$2)</f>
        <v>892595</v>
      </c>
      <c r="U892" s="24">
        <f t="shared" si="291"/>
        <v>9.0905731450879559E-5</v>
      </c>
      <c r="V892" s="24">
        <f t="shared" si="292"/>
        <v>9.0905731450879559E-5</v>
      </c>
      <c r="W892" s="24">
        <f t="shared" si="293"/>
        <v>5.7975601733183026E-4</v>
      </c>
      <c r="X892" s="25">
        <f t="shared" si="294"/>
        <v>3.984712456819461E-4</v>
      </c>
      <c r="Y892" s="8">
        <f t="shared" si="284"/>
        <v>9.9717226211367666E-2</v>
      </c>
      <c r="Z892" s="27">
        <f t="shared" si="285"/>
        <v>3.5123254215767619E-2</v>
      </c>
      <c r="AA892" s="27"/>
      <c r="AB892" s="40"/>
      <c r="AC892" s="56">
        <f t="shared" si="295"/>
        <v>3.2414664513900253E-3</v>
      </c>
      <c r="AE892" s="20">
        <f t="shared" si="286"/>
        <v>520256.25000000006</v>
      </c>
      <c r="AF892" s="20">
        <f t="shared" si="296"/>
        <v>1515011442.3000002</v>
      </c>
      <c r="AG892">
        <f t="shared" si="276"/>
        <v>15656396.4</v>
      </c>
      <c r="AH892">
        <f t="shared" si="277"/>
        <v>15656396.4</v>
      </c>
      <c r="AI892">
        <f t="shared" si="278"/>
        <v>16624201242.6</v>
      </c>
    </row>
    <row r="893" spans="2:35" x14ac:dyDescent="0.25">
      <c r="B893" s="4">
        <v>2024</v>
      </c>
      <c r="C893" s="4" t="s">
        <v>241</v>
      </c>
      <c r="D893" s="1" t="s">
        <v>570</v>
      </c>
      <c r="E893" s="4" t="str">
        <f t="shared" si="280"/>
        <v>CtPt-MN</v>
      </c>
      <c r="F893" s="4" t="s">
        <v>135</v>
      </c>
      <c r="G893" s="4"/>
      <c r="H893" s="11" t="s">
        <v>578</v>
      </c>
      <c r="I893" s="4"/>
      <c r="J893" s="4" t="s">
        <v>42</v>
      </c>
      <c r="K893" s="5">
        <v>217330</v>
      </c>
      <c r="L893" s="5">
        <f t="shared" si="297"/>
        <v>217330</v>
      </c>
      <c r="M893" s="8">
        <v>426313</v>
      </c>
      <c r="N893" s="8">
        <v>0</v>
      </c>
      <c r="O893" s="8">
        <f>SUMIFS(EIAwtransport!$J$2:$J$675,EIAwtransport!$E$2:$E$675,Program_data!$E893,EIAwtransport!$H$2:$H$675,Program_data!$F893,EIAwtransport!$I$2:$I$675,Program_data!O$2)</f>
        <v>671522278</v>
      </c>
      <c r="P893" s="5">
        <f>SUMIFS(EIAwtransport!$J$2:$J$675,EIAwtransport!$E$2:$E$675,Program_data!$E893,EIAwtransport!$H$2:$H$675,Program_data!$F893,EIAwtransport!$I$2:$I$675,Program_data!P$2)</f>
        <v>68242994</v>
      </c>
      <c r="Q893" s="5">
        <f>SUMIFS(EIAwtransport!$J$2:$J$675,EIAwtransport!$E$2:$E$675,Program_data!$E893,EIAwtransport!$H$2:$H$675,Program_data!$F893,EIAwtransport!$I$2:$I$675,Program_data!Q$2)</f>
        <v>821309</v>
      </c>
      <c r="R893" s="8">
        <f>SUMIFS(EIAwtransport!$J$2:$J$675,EIAwtransport!$E$2:$E$675,Program_data!$E893,EIAwtransport!$I$2:$I$675,Program_data!R$2)</f>
        <v>1122230698</v>
      </c>
      <c r="S893" s="5">
        <f>SUMIFS(EIAwtransport!$J$2:$J$675,EIAwtransport!$E$2:$E$675,Program_data!$E893,EIAwtransport!$I$2:$I$675,Program_data!S$2)</f>
        <v>157605245</v>
      </c>
      <c r="T893" s="5">
        <f>SUMIFS(EIAwtransport!$J$2:$J$675,EIAwtransport!$E$2:$E$675,Program_data!$E893,EIAwtransport!$I$2:$I$675,Program_data!T$2)</f>
        <v>892595</v>
      </c>
      <c r="U893" s="24">
        <f t="shared" si="291"/>
        <v>1.3310343337748202E-4</v>
      </c>
      <c r="V893" s="24">
        <f t="shared" si="292"/>
        <v>1.3310343337748202E-4</v>
      </c>
      <c r="W893" s="24">
        <f t="shared" si="293"/>
        <v>3.7988000217759147E-4</v>
      </c>
      <c r="X893" s="25">
        <f t="shared" si="294"/>
        <v>2.6109475909195457E-4</v>
      </c>
      <c r="Y893" s="8">
        <f t="shared" si="284"/>
        <v>6.5338830435349021E-2</v>
      </c>
      <c r="Z893" s="27">
        <f t="shared" si="285"/>
        <v>2.3014201645332976E-2</v>
      </c>
      <c r="AA893" s="27"/>
      <c r="AB893" s="40"/>
      <c r="AC893" s="56">
        <f t="shared" si="295"/>
        <v>4.7461288410738673E-3</v>
      </c>
      <c r="AE893" s="20">
        <f t="shared" si="286"/>
        <v>0</v>
      </c>
      <c r="AF893" s="20">
        <f t="shared" si="296"/>
        <v>1515011442.3000002</v>
      </c>
      <c r="AG893">
        <f t="shared" si="276"/>
        <v>22923968.400000002</v>
      </c>
      <c r="AH893">
        <f t="shared" si="277"/>
        <v>22923968.400000002</v>
      </c>
      <c r="AI893">
        <f t="shared" si="278"/>
        <v>16624201242.6</v>
      </c>
    </row>
    <row r="894" spans="2:35" x14ac:dyDescent="0.25">
      <c r="B894" s="4">
        <v>2024</v>
      </c>
      <c r="C894" s="4" t="s">
        <v>241</v>
      </c>
      <c r="D894" s="1" t="s">
        <v>570</v>
      </c>
      <c r="E894" s="4" t="str">
        <f t="shared" si="280"/>
        <v>CtPt-MN</v>
      </c>
      <c r="F894" s="4" t="s">
        <v>135</v>
      </c>
      <c r="G894" s="4"/>
      <c r="H894" s="11" t="s">
        <v>579</v>
      </c>
      <c r="I894" s="4"/>
      <c r="J894" s="4" t="s">
        <v>155</v>
      </c>
      <c r="K894" s="5">
        <v>0</v>
      </c>
      <c r="L894" s="5">
        <f t="shared" si="297"/>
        <v>0</v>
      </c>
      <c r="M894" s="8">
        <v>150982</v>
      </c>
      <c r="N894" s="8">
        <v>0</v>
      </c>
      <c r="O894" s="8">
        <f>SUMIFS(EIAwtransport!$J$2:$J$675,EIAwtransport!$E$2:$E$675,Program_data!$E894,EIAwtransport!$H$2:$H$675,Program_data!$F894,EIAwtransport!$I$2:$I$675,Program_data!O$2)</f>
        <v>671522278</v>
      </c>
      <c r="P894" s="5">
        <f>SUMIFS(EIAwtransport!$J$2:$J$675,EIAwtransport!$E$2:$E$675,Program_data!$E894,EIAwtransport!$H$2:$H$675,Program_data!$F894,EIAwtransport!$I$2:$I$675,Program_data!P$2)</f>
        <v>68242994</v>
      </c>
      <c r="Q894" s="5">
        <f>SUMIFS(EIAwtransport!$J$2:$J$675,EIAwtransport!$E$2:$E$675,Program_data!$E894,EIAwtransport!$H$2:$H$675,Program_data!$F894,EIAwtransport!$I$2:$I$675,Program_data!Q$2)</f>
        <v>821309</v>
      </c>
      <c r="R894" s="8">
        <f>SUMIFS(EIAwtransport!$J$2:$J$675,EIAwtransport!$E$2:$E$675,Program_data!$E894,EIAwtransport!$I$2:$I$675,Program_data!R$2)</f>
        <v>1122230698</v>
      </c>
      <c r="S894" s="5">
        <f>SUMIFS(EIAwtransport!$J$2:$J$675,EIAwtransport!$E$2:$E$675,Program_data!$E894,EIAwtransport!$I$2:$I$675,Program_data!S$2)</f>
        <v>157605245</v>
      </c>
      <c r="T894" s="5">
        <f>SUMIFS(EIAwtransport!$J$2:$J$675,EIAwtransport!$E$2:$E$675,Program_data!$E894,EIAwtransport!$I$2:$I$675,Program_data!T$2)</f>
        <v>892595</v>
      </c>
      <c r="U894" s="24">
        <f t="shared" si="291"/>
        <v>0</v>
      </c>
      <c r="V894" s="24">
        <f t="shared" si="292"/>
        <v>0</v>
      </c>
      <c r="W894" s="24">
        <f t="shared" si="293"/>
        <v>1.345373997245618E-4</v>
      </c>
      <c r="X894" s="25">
        <f t="shared" si="294"/>
        <v>9.2468700033124685E-5</v>
      </c>
      <c r="Y894" s="8">
        <f t="shared" si="284"/>
        <v>2.3140245070616815E-2</v>
      </c>
      <c r="Z894" s="27">
        <f t="shared" si="285"/>
        <v>8.1506550182979722E-3</v>
      </c>
      <c r="AA894" s="27"/>
      <c r="AB894" s="40"/>
      <c r="AC894" s="56">
        <f t="shared" si="295"/>
        <v>0</v>
      </c>
      <c r="AE894" s="20">
        <f t="shared" si="286"/>
        <v>0</v>
      </c>
      <c r="AF894" s="20">
        <f t="shared" si="296"/>
        <v>1515011442.3000002</v>
      </c>
      <c r="AG894">
        <f t="shared" si="276"/>
        <v>0</v>
      </c>
      <c r="AH894">
        <f t="shared" si="277"/>
        <v>0</v>
      </c>
      <c r="AI894">
        <f t="shared" si="278"/>
        <v>16624201242.6</v>
      </c>
    </row>
    <row r="895" spans="2:35" x14ac:dyDescent="0.25">
      <c r="B895" s="4">
        <v>2024</v>
      </c>
      <c r="C895" s="4" t="s">
        <v>241</v>
      </c>
      <c r="D895" s="1" t="s">
        <v>570</v>
      </c>
      <c r="E895" s="4" t="str">
        <f t="shared" si="280"/>
        <v>CtPt-MN</v>
      </c>
      <c r="F895" s="4" t="s">
        <v>143</v>
      </c>
      <c r="G895" s="4">
        <v>1</v>
      </c>
      <c r="H895" s="11" t="s">
        <v>580</v>
      </c>
      <c r="I895" s="4"/>
      <c r="J895" s="4" t="s">
        <v>27</v>
      </c>
      <c r="K895" s="5">
        <v>162850</v>
      </c>
      <c r="L895" s="5">
        <f t="shared" si="297"/>
        <v>162850</v>
      </c>
      <c r="M895" s="8">
        <v>3962192</v>
      </c>
      <c r="N895" s="8">
        <v>0</v>
      </c>
      <c r="O895" s="8">
        <f>SUMIFS(EIAwtransport!$J$2:$J$675,EIAwtransport!$E$2:$E$675,Program_data!$E895,EIAwtransport!$H$2:$H$675,Program_data!$F895,EIAwtransport!$I$2:$I$675,Program_data!O$2)</f>
        <v>0</v>
      </c>
      <c r="P895" s="5">
        <f>SUMIFS(EIAwtransport!$J$2:$J$675,EIAwtransport!$E$2:$E$675,Program_data!$E895,EIAwtransport!$H$2:$H$675,Program_data!$F895,EIAwtransport!$I$2:$I$675,Program_data!P$2)</f>
        <v>0</v>
      </c>
      <c r="Q895" s="5">
        <f>SUMIFS(EIAwtransport!$J$2:$J$675,EIAwtransport!$E$2:$E$675,Program_data!$E895,EIAwtransport!$H$2:$H$675,Program_data!$F895,EIAwtransport!$I$2:$I$675,Program_data!Q$2)</f>
        <v>0</v>
      </c>
      <c r="R895" s="8">
        <f>SUMIFS(EIAwtransport!$J$2:$J$675,EIAwtransport!$E$2:$E$675,Program_data!$E895,EIAwtransport!$I$2:$I$675,Program_data!R$2)</f>
        <v>1122230698</v>
      </c>
      <c r="S895" s="5">
        <f>SUMIFS(EIAwtransport!$J$2:$J$675,EIAwtransport!$E$2:$E$675,Program_data!$E895,EIAwtransport!$I$2:$I$675,Program_data!S$2)</f>
        <v>157605245</v>
      </c>
      <c r="T895" s="5">
        <f>SUMIFS(EIAwtransport!$J$2:$J$675,EIAwtransport!$E$2:$E$675,Program_data!$E895,EIAwtransport!$I$2:$I$675,Program_data!T$2)</f>
        <v>892595</v>
      </c>
      <c r="U895" s="24">
        <f t="shared" si="291"/>
        <v>9.9737238878769356E-5</v>
      </c>
      <c r="V895" s="24">
        <f t="shared" si="292"/>
        <v>9.9737238878769356E-5</v>
      </c>
      <c r="W895" s="24">
        <f t="shared" si="293"/>
        <v>3.530639472847498E-3</v>
      </c>
      <c r="X895" s="25">
        <f t="shared" si="294"/>
        <v>2.4266385630184149E-3</v>
      </c>
      <c r="Y895" s="8">
        <f t="shared" si="284"/>
        <v>10.48143484471721</v>
      </c>
      <c r="Z895" s="27">
        <f t="shared" si="285"/>
        <v>0.21389609429110809</v>
      </c>
      <c r="AA895" s="27"/>
      <c r="AB895" s="40"/>
      <c r="AC895" s="56">
        <f t="shared" si="295"/>
        <v>3.5563754740205187E-3</v>
      </c>
      <c r="AE895" s="20">
        <f t="shared" si="286"/>
        <v>0</v>
      </c>
      <c r="AF895" s="20">
        <f t="shared" si="296"/>
        <v>1515011442.3000002</v>
      </c>
      <c r="AG895">
        <f t="shared" si="276"/>
        <v>17177418</v>
      </c>
      <c r="AH895">
        <f t="shared" si="277"/>
        <v>17177418</v>
      </c>
      <c r="AI895">
        <f t="shared" si="278"/>
        <v>16624201242.6</v>
      </c>
    </row>
    <row r="896" spans="2:35" x14ac:dyDescent="0.25">
      <c r="B896" s="4">
        <v>2024</v>
      </c>
      <c r="C896" s="4" t="s">
        <v>241</v>
      </c>
      <c r="D896" s="1" t="s">
        <v>570</v>
      </c>
      <c r="E896" s="4" t="str">
        <f t="shared" ref="E896" si="298">D896&amp;"-"&amp;C896</f>
        <v>CtPt-MN</v>
      </c>
      <c r="F896" s="4" t="s">
        <v>143</v>
      </c>
      <c r="G896" s="4">
        <v>1</v>
      </c>
      <c r="H896" s="11" t="s">
        <v>581</v>
      </c>
      <c r="I896" s="4"/>
      <c r="J896" s="4" t="s">
        <v>27</v>
      </c>
      <c r="K896" s="5">
        <f>28460/2</f>
        <v>14230</v>
      </c>
      <c r="L896" s="5">
        <f>28460/2</f>
        <v>14230</v>
      </c>
      <c r="M896" s="8">
        <f>1089758/2</f>
        <v>544879</v>
      </c>
      <c r="N896" s="8"/>
      <c r="O896" s="8">
        <f>SUMIFS(EIAwtransport!$J$2:$J$675,EIAwtransport!$E$2:$E$675,Program_data!$E896,EIAwtransport!$H$2:$H$675,Program_data!$F896,EIAwtransport!$I$2:$I$675,Program_data!O$2)</f>
        <v>0</v>
      </c>
      <c r="P896" s="5">
        <f>SUMIFS(EIAwtransport!$J$2:$J$675,EIAwtransport!$E$2:$E$675,Program_data!$E896,EIAwtransport!$H$2:$H$675,Program_data!$F896,EIAwtransport!$I$2:$I$675,Program_data!P$2)</f>
        <v>0</v>
      </c>
      <c r="Q896" s="5">
        <f>SUMIFS(EIAwtransport!$J$2:$J$675,EIAwtransport!$E$2:$E$675,Program_data!$E896,EIAwtransport!$H$2:$H$675,Program_data!$F896,EIAwtransport!$I$2:$I$675,Program_data!Q$2)</f>
        <v>0</v>
      </c>
      <c r="R896" s="8">
        <f>SUMIFS(EIAwtransport!$J$2:$J$675,EIAwtransport!$E$2:$E$675,Program_data!$E896,EIAwtransport!$I$2:$I$675,Program_data!R$2)</f>
        <v>1122230698</v>
      </c>
      <c r="S896" s="5">
        <f>SUMIFS(EIAwtransport!$J$2:$J$675,EIAwtransport!$E$2:$E$675,Program_data!$E896,EIAwtransport!$I$2:$I$675,Program_data!S$2)</f>
        <v>157605245</v>
      </c>
      <c r="T896" s="5">
        <f>SUMIFS(EIAwtransport!$J$2:$J$675,EIAwtransport!$E$2:$E$675,Program_data!$E896,EIAwtransport!$I$2:$I$675,Program_data!T$2)</f>
        <v>892595</v>
      </c>
      <c r="U896" s="24">
        <f t="shared" si="291"/>
        <v>8.7151422121270372E-6</v>
      </c>
      <c r="V896" s="24">
        <f t="shared" si="292"/>
        <v>8.7151422121270372E-6</v>
      </c>
      <c r="W896" s="24">
        <f t="shared" si="293"/>
        <v>4.8553207550913031E-4</v>
      </c>
      <c r="X896" s="25">
        <f t="shared" si="294"/>
        <v>3.3371032841894365E-4</v>
      </c>
      <c r="Y896" s="8">
        <f t="shared" si="284"/>
        <v>1.4414025712925242</v>
      </c>
      <c r="Z896" s="27">
        <f t="shared" si="285"/>
        <v>2.9414902145389391E-2</v>
      </c>
      <c r="AA896" s="27"/>
      <c r="AB896" s="41" t="s">
        <v>572</v>
      </c>
      <c r="AC896" s="56"/>
      <c r="AE896" s="20">
        <f t="shared" si="286"/>
        <v>0</v>
      </c>
      <c r="AF896" s="20">
        <f t="shared" si="296"/>
        <v>1515011442.3000002</v>
      </c>
      <c r="AG896">
        <f t="shared" si="276"/>
        <v>1500980.4000000001</v>
      </c>
      <c r="AH896">
        <f t="shared" si="277"/>
        <v>1500980.4000000001</v>
      </c>
      <c r="AI896">
        <f t="shared" si="278"/>
        <v>16624201242.6</v>
      </c>
    </row>
    <row r="897" spans="2:37" x14ac:dyDescent="0.25">
      <c r="B897" s="4">
        <v>2024</v>
      </c>
      <c r="C897" s="4" t="s">
        <v>241</v>
      </c>
      <c r="D897" s="1" t="s">
        <v>570</v>
      </c>
      <c r="E897" s="4" t="str">
        <f t="shared" si="280"/>
        <v>CtPt-MN</v>
      </c>
      <c r="F897" s="4" t="s">
        <v>143</v>
      </c>
      <c r="G897" s="4">
        <v>1</v>
      </c>
      <c r="H897" s="11" t="s">
        <v>581</v>
      </c>
      <c r="I897" s="4"/>
      <c r="J897" s="4" t="s">
        <v>48</v>
      </c>
      <c r="K897" s="5">
        <f>28460/2</f>
        <v>14230</v>
      </c>
      <c r="L897" s="5">
        <f>28460/2</f>
        <v>14230</v>
      </c>
      <c r="M897" s="8">
        <f>1089758/2</f>
        <v>544879</v>
      </c>
      <c r="N897" s="8">
        <v>0</v>
      </c>
      <c r="O897" s="8">
        <f>SUMIFS(EIAwtransport!$J$2:$J$675,EIAwtransport!$E$2:$E$675,Program_data!$E897,EIAwtransport!$H$2:$H$675,Program_data!$F897,EIAwtransport!$I$2:$I$675,Program_data!O$2)</f>
        <v>0</v>
      </c>
      <c r="P897" s="5">
        <f>SUMIFS(EIAwtransport!$J$2:$J$675,EIAwtransport!$E$2:$E$675,Program_data!$E897,EIAwtransport!$H$2:$H$675,Program_data!$F897,EIAwtransport!$I$2:$I$675,Program_data!P$2)</f>
        <v>0</v>
      </c>
      <c r="Q897" s="5">
        <f>SUMIFS(EIAwtransport!$J$2:$J$675,EIAwtransport!$E$2:$E$675,Program_data!$E897,EIAwtransport!$H$2:$H$675,Program_data!$F897,EIAwtransport!$I$2:$I$675,Program_data!Q$2)</f>
        <v>0</v>
      </c>
      <c r="R897" s="8">
        <f>SUMIFS(EIAwtransport!$J$2:$J$675,EIAwtransport!$E$2:$E$675,Program_data!$E897,EIAwtransport!$I$2:$I$675,Program_data!R$2)</f>
        <v>1122230698</v>
      </c>
      <c r="S897" s="5">
        <f>SUMIFS(EIAwtransport!$J$2:$J$675,EIAwtransport!$E$2:$E$675,Program_data!$E897,EIAwtransport!$I$2:$I$675,Program_data!S$2)</f>
        <v>157605245</v>
      </c>
      <c r="T897" s="5">
        <f>SUMIFS(EIAwtransport!$J$2:$J$675,EIAwtransport!$E$2:$E$675,Program_data!$E897,EIAwtransport!$I$2:$I$675,Program_data!T$2)</f>
        <v>892595</v>
      </c>
      <c r="U897" s="24">
        <f t="shared" si="291"/>
        <v>8.7151422121270372E-6</v>
      </c>
      <c r="V897" s="24">
        <f t="shared" si="292"/>
        <v>8.7151422121270372E-6</v>
      </c>
      <c r="W897" s="24">
        <f t="shared" si="293"/>
        <v>4.8553207550913031E-4</v>
      </c>
      <c r="X897" s="25">
        <f t="shared" si="294"/>
        <v>3.3371032841894365E-4</v>
      </c>
      <c r="Y897" s="8">
        <f t="shared" si="284"/>
        <v>1.4414025712925242</v>
      </c>
      <c r="Z897" s="27">
        <f t="shared" si="285"/>
        <v>2.9414902145389391E-2</v>
      </c>
      <c r="AA897" s="27"/>
      <c r="AB897" s="40"/>
      <c r="AC897" s="56">
        <f>IFERROR(K897/SUMIFS($M$3:$M$1234,$E$3:$E$1234,E897,$B$3:$B$1234,B897),"")</f>
        <v>3.1075973592454393E-4</v>
      </c>
      <c r="AE897" s="20">
        <f t="shared" si="286"/>
        <v>0</v>
      </c>
      <c r="AF897" s="20">
        <f t="shared" si="296"/>
        <v>1515011442.3000002</v>
      </c>
      <c r="AG897">
        <f t="shared" si="276"/>
        <v>1500980.4000000001</v>
      </c>
      <c r="AH897">
        <f t="shared" si="277"/>
        <v>1500980.4000000001</v>
      </c>
      <c r="AI897">
        <f t="shared" si="278"/>
        <v>16624201242.6</v>
      </c>
    </row>
    <row r="898" spans="2:37" x14ac:dyDescent="0.25">
      <c r="B898" s="4">
        <v>2024</v>
      </c>
      <c r="C898" s="4" t="s">
        <v>241</v>
      </c>
      <c r="D898" s="1" t="s">
        <v>570</v>
      </c>
      <c r="E898" s="4" t="str">
        <f t="shared" ref="E898" si="299">D898&amp;"-"&amp;C898</f>
        <v>CtPt-MN</v>
      </c>
      <c r="F898" s="4" t="s">
        <v>143</v>
      </c>
      <c r="G898" s="4">
        <v>1</v>
      </c>
      <c r="H898" s="11" t="s">
        <v>582</v>
      </c>
      <c r="I898" s="4"/>
      <c r="J898" s="4" t="s">
        <v>27</v>
      </c>
      <c r="K898" s="5">
        <f>67460*0.75</f>
        <v>50595</v>
      </c>
      <c r="L898" s="5">
        <f>67460*0.75</f>
        <v>50595</v>
      </c>
      <c r="M898" s="8">
        <f>1413092*(2/3)</f>
        <v>942061.33333333326</v>
      </c>
      <c r="N898" s="8"/>
      <c r="O898" s="8">
        <f>SUMIFS(EIAwtransport!$J$2:$J$675,EIAwtransport!$E$2:$E$675,Program_data!$E898,EIAwtransport!$H$2:$H$675,Program_data!$F898,EIAwtransport!$I$2:$I$675,Program_data!O$2)</f>
        <v>0</v>
      </c>
      <c r="P898" s="5">
        <f>SUMIFS(EIAwtransport!$J$2:$J$675,EIAwtransport!$E$2:$E$675,Program_data!$E898,EIAwtransport!$H$2:$H$675,Program_data!$F898,EIAwtransport!$I$2:$I$675,Program_data!P$2)</f>
        <v>0</v>
      </c>
      <c r="Q898" s="5">
        <f>SUMIFS(EIAwtransport!$J$2:$J$675,EIAwtransport!$E$2:$E$675,Program_data!$E898,EIAwtransport!$H$2:$H$675,Program_data!$F898,EIAwtransport!$I$2:$I$675,Program_data!Q$2)</f>
        <v>0</v>
      </c>
      <c r="R898" s="8">
        <f>SUMIFS(EIAwtransport!$J$2:$J$675,EIAwtransport!$E$2:$E$675,Program_data!$E898,EIAwtransport!$I$2:$I$675,Program_data!R$2)</f>
        <v>1122230698</v>
      </c>
      <c r="S898" s="5">
        <f>SUMIFS(EIAwtransport!$J$2:$J$675,EIAwtransport!$E$2:$E$675,Program_data!$E898,EIAwtransport!$I$2:$I$675,Program_data!S$2)</f>
        <v>157605245</v>
      </c>
      <c r="T898" s="5">
        <f>SUMIFS(EIAwtransport!$J$2:$J$675,EIAwtransport!$E$2:$E$675,Program_data!$E898,EIAwtransport!$I$2:$I$675,Program_data!T$2)</f>
        <v>892595</v>
      </c>
      <c r="U898" s="24">
        <f t="shared" si="291"/>
        <v>3.0986832060616124E-5</v>
      </c>
      <c r="V898" s="24">
        <f t="shared" si="292"/>
        <v>3.0986832060616124E-5</v>
      </c>
      <c r="W898" s="24">
        <f t="shared" si="293"/>
        <v>8.3945425393570298E-4</v>
      </c>
      <c r="X898" s="25">
        <f t="shared" si="294"/>
        <v>5.7696405428995167E-4</v>
      </c>
      <c r="Y898" s="8">
        <f t="shared" si="284"/>
        <v>2.4920938927393612</v>
      </c>
      <c r="Z898" s="27">
        <f t="shared" si="285"/>
        <v>5.0856505636948851E-2</v>
      </c>
      <c r="AA898" s="27"/>
      <c r="AB898" s="41" t="s">
        <v>572</v>
      </c>
      <c r="AC898" s="56">
        <f>IFERROR(K898/SUMIFS($M$3:$M$1234,$E$3:$E$1234,E898,$B$3:$B$1234,B898),"")</f>
        <v>1.1049113730922208E-3</v>
      </c>
      <c r="AE898" s="20">
        <f t="shared" si="286"/>
        <v>0</v>
      </c>
      <c r="AF898" s="20">
        <f t="shared" si="296"/>
        <v>1515011442.3000002</v>
      </c>
      <c r="AG898">
        <f t="shared" ref="AG898:AG961" si="300">K898*105.48</f>
        <v>5336760.6000000006</v>
      </c>
      <c r="AH898">
        <f t="shared" ref="AH898:AH961" si="301">L898*105.48</f>
        <v>5336760.6000000006</v>
      </c>
      <c r="AI898">
        <f t="shared" ref="AI898:AI961" si="302">S898*105.48</f>
        <v>16624201242.6</v>
      </c>
    </row>
    <row r="899" spans="2:37" x14ac:dyDescent="0.25">
      <c r="B899" s="4">
        <v>2024</v>
      </c>
      <c r="C899" s="4" t="s">
        <v>241</v>
      </c>
      <c r="D899" s="1" t="s">
        <v>570</v>
      </c>
      <c r="E899" s="4" t="str">
        <f t="shared" si="280"/>
        <v>CtPt-MN</v>
      </c>
      <c r="F899" s="4" t="s">
        <v>143</v>
      </c>
      <c r="G899" s="4">
        <v>1</v>
      </c>
      <c r="H899" s="11" t="s">
        <v>582</v>
      </c>
      <c r="I899" s="4"/>
      <c r="J899" s="4" t="s">
        <v>48</v>
      </c>
      <c r="K899" s="5">
        <f>67460*0.25</f>
        <v>16865</v>
      </c>
      <c r="L899" s="5">
        <f t="shared" si="297"/>
        <v>16865</v>
      </c>
      <c r="M899" s="8">
        <f>1413092*(1/3)</f>
        <v>471030.66666666663</v>
      </c>
      <c r="N899" s="8">
        <v>0</v>
      </c>
      <c r="O899" s="8">
        <f>SUMIFS(EIAwtransport!$J$2:$J$675,EIAwtransport!$E$2:$E$675,Program_data!$E899,EIAwtransport!$H$2:$H$675,Program_data!$F899,EIAwtransport!$I$2:$I$675,Program_data!O$2)</f>
        <v>0</v>
      </c>
      <c r="P899" s="5">
        <f>SUMIFS(EIAwtransport!$J$2:$J$675,EIAwtransport!$E$2:$E$675,Program_data!$E899,EIAwtransport!$H$2:$H$675,Program_data!$F899,EIAwtransport!$I$2:$I$675,Program_data!P$2)</f>
        <v>0</v>
      </c>
      <c r="Q899" s="5">
        <f>SUMIFS(EIAwtransport!$J$2:$J$675,EIAwtransport!$E$2:$E$675,Program_data!$E899,EIAwtransport!$H$2:$H$675,Program_data!$F899,EIAwtransport!$I$2:$I$675,Program_data!Q$2)</f>
        <v>0</v>
      </c>
      <c r="R899" s="8">
        <f>SUMIFS(EIAwtransport!$J$2:$J$675,EIAwtransport!$E$2:$E$675,Program_data!$E899,EIAwtransport!$I$2:$I$675,Program_data!R$2)</f>
        <v>1122230698</v>
      </c>
      <c r="S899" s="5">
        <f>SUMIFS(EIAwtransport!$J$2:$J$675,EIAwtransport!$E$2:$E$675,Program_data!$E899,EIAwtransport!$I$2:$I$675,Program_data!S$2)</f>
        <v>157605245</v>
      </c>
      <c r="T899" s="5">
        <f>SUMIFS(EIAwtransport!$J$2:$J$675,EIAwtransport!$E$2:$E$675,Program_data!$E899,EIAwtransport!$I$2:$I$675,Program_data!T$2)</f>
        <v>892595</v>
      </c>
      <c r="U899" s="24">
        <f t="shared" si="291"/>
        <v>1.0328944020205375E-5</v>
      </c>
      <c r="V899" s="24">
        <f t="shared" si="292"/>
        <v>1.0328944020205375E-5</v>
      </c>
      <c r="W899" s="24">
        <f t="shared" si="293"/>
        <v>4.1972712696785149E-4</v>
      </c>
      <c r="X899" s="25">
        <f t="shared" si="294"/>
        <v>2.8848202714497584E-4</v>
      </c>
      <c r="Y899" s="8">
        <f t="shared" si="284"/>
        <v>1.2460469463696806</v>
      </c>
      <c r="Z899" s="27">
        <f t="shared" si="285"/>
        <v>2.5428252818474426E-2</v>
      </c>
      <c r="AA899" s="27"/>
      <c r="AB899" s="40"/>
      <c r="AC899" s="56">
        <f>IFERROR(K899/SUMIFS($M$3:$M$1234,$E$3:$E$1234,E899,$B$3:$B$1234,B899),"")</f>
        <v>3.6830379103074026E-4</v>
      </c>
      <c r="AE899" s="20">
        <f t="shared" si="286"/>
        <v>0</v>
      </c>
      <c r="AF899" s="20">
        <f t="shared" si="296"/>
        <v>1515011442.3000002</v>
      </c>
      <c r="AG899">
        <f t="shared" si="300"/>
        <v>1778920.2</v>
      </c>
      <c r="AH899">
        <f t="shared" si="301"/>
        <v>1778920.2</v>
      </c>
      <c r="AI899">
        <f t="shared" si="302"/>
        <v>16624201242.6</v>
      </c>
    </row>
    <row r="900" spans="2:37" x14ac:dyDescent="0.25">
      <c r="B900" s="4">
        <v>2024</v>
      </c>
      <c r="C900" s="4" t="s">
        <v>241</v>
      </c>
      <c r="D900" s="1" t="s">
        <v>570</v>
      </c>
      <c r="E900" s="4" t="str">
        <f t="shared" si="280"/>
        <v>CtPt-MN</v>
      </c>
      <c r="F900" s="4" t="s">
        <v>143</v>
      </c>
      <c r="G900" s="4">
        <v>1</v>
      </c>
      <c r="H900" s="11" t="s">
        <v>583</v>
      </c>
      <c r="I900" s="4"/>
      <c r="J900" s="4" t="s">
        <v>48</v>
      </c>
      <c r="K900" s="5">
        <v>18280</v>
      </c>
      <c r="L900" s="5">
        <f t="shared" si="297"/>
        <v>18280</v>
      </c>
      <c r="M900" s="8">
        <v>163563</v>
      </c>
      <c r="N900" s="8">
        <v>0</v>
      </c>
      <c r="O900" s="8">
        <f>SUMIFS(EIAwtransport!$J$2:$J$675,EIAwtransport!$E$2:$E$675,Program_data!$E900,EIAwtransport!$H$2:$H$675,Program_data!$F900,EIAwtransport!$I$2:$I$675,Program_data!O$2)</f>
        <v>0</v>
      </c>
      <c r="P900" s="5">
        <f>SUMIFS(EIAwtransport!$J$2:$J$675,EIAwtransport!$E$2:$E$675,Program_data!$E900,EIAwtransport!$H$2:$H$675,Program_data!$F900,EIAwtransport!$I$2:$I$675,Program_data!P$2)</f>
        <v>0</v>
      </c>
      <c r="Q900" s="5">
        <f>SUMIFS(EIAwtransport!$J$2:$J$675,EIAwtransport!$E$2:$E$675,Program_data!$E900,EIAwtransport!$H$2:$H$675,Program_data!$F900,EIAwtransport!$I$2:$I$675,Program_data!Q$2)</f>
        <v>0</v>
      </c>
      <c r="R900" s="8">
        <f>SUMIFS(EIAwtransport!$J$2:$J$675,EIAwtransport!$E$2:$E$675,Program_data!$E900,EIAwtransport!$I$2:$I$675,Program_data!R$2)</f>
        <v>1122230698</v>
      </c>
      <c r="S900" s="5">
        <f>SUMIFS(EIAwtransport!$J$2:$J$675,EIAwtransport!$E$2:$E$675,Program_data!$E900,EIAwtransport!$I$2:$I$675,Program_data!S$2)</f>
        <v>157605245</v>
      </c>
      <c r="T900" s="5">
        <f>SUMIFS(EIAwtransport!$J$2:$J$675,EIAwtransport!$E$2:$E$675,Program_data!$E900,EIAwtransport!$I$2:$I$675,Program_data!T$2)</f>
        <v>892595</v>
      </c>
      <c r="U900" s="24">
        <f t="shared" si="291"/>
        <v>1.1195558653385962E-5</v>
      </c>
      <c r="V900" s="24">
        <f t="shared" si="292"/>
        <v>1.1195558653385962E-5</v>
      </c>
      <c r="W900" s="24">
        <f t="shared" si="293"/>
        <v>1.4574810713295958E-4</v>
      </c>
      <c r="X900" s="25">
        <f t="shared" si="294"/>
        <v>1.0017391466213174E-4</v>
      </c>
      <c r="Y900" s="8">
        <f t="shared" ref="Y900:Y963" si="303">IFERROR(M900/SUMIFS($K$3:$K$1492,$E$3:$E$1492,E900,$B$3:$B$1492,B900,$F$3:$F$1492,F900,$A$3:$A$1492,""),"")</f>
        <v>0.43268345590180413</v>
      </c>
      <c r="Z900" s="27">
        <f t="shared" ref="Z900:Z963" si="304">IFERROR(M900/SUMIFS($K$3:$K$1492,$E$3:$E$1492,E900,$B$3:$B$1492,B900,$A$3:$A$1492,""),"")</f>
        <v>8.8298312829202912E-3</v>
      </c>
      <c r="AA900" s="27"/>
      <c r="AB900" s="40"/>
      <c r="AC900" s="56">
        <f>IFERROR(K900/SUMIFS($M$3:$M$1234,$E$3:$E$1234,E900,$B$3:$B$1234,B900),"")</f>
        <v>3.992050578145231E-4</v>
      </c>
      <c r="AE900" s="20">
        <f t="shared" si="286"/>
        <v>0</v>
      </c>
      <c r="AF900" s="20">
        <f t="shared" si="296"/>
        <v>1515011442.3000002</v>
      </c>
      <c r="AG900">
        <f t="shared" si="300"/>
        <v>1928174.4000000001</v>
      </c>
      <c r="AH900">
        <f t="shared" si="301"/>
        <v>1928174.4000000001</v>
      </c>
      <c r="AI900">
        <f t="shared" si="302"/>
        <v>16624201242.6</v>
      </c>
    </row>
    <row r="901" spans="2:37" x14ac:dyDescent="0.25">
      <c r="B901" s="4">
        <v>2024</v>
      </c>
      <c r="C901" s="4" t="s">
        <v>241</v>
      </c>
      <c r="D901" s="1" t="s">
        <v>570</v>
      </c>
      <c r="E901" s="4" t="str">
        <f t="shared" ref="E901" si="305">D901&amp;"-"&amp;C901</f>
        <v>CtPt-MN</v>
      </c>
      <c r="F901" s="4" t="s">
        <v>143</v>
      </c>
      <c r="G901" s="4">
        <v>1</v>
      </c>
      <c r="H901" s="11" t="s">
        <v>584</v>
      </c>
      <c r="I901" s="4"/>
      <c r="J901" s="4" t="s">
        <v>27</v>
      </c>
      <c r="K901" s="5">
        <f>27080/2</f>
        <v>13540</v>
      </c>
      <c r="L901" s="5">
        <f>27080/2</f>
        <v>13540</v>
      </c>
      <c r="M901" s="8">
        <f>703373/2</f>
        <v>351686.5</v>
      </c>
      <c r="N901" s="8">
        <f>525400/2</f>
        <v>262700</v>
      </c>
      <c r="O901" s="8">
        <f>SUMIFS(EIAwtransport!$J$2:$J$675,EIAwtransport!$E$2:$E$675,Program_data!$E901,EIAwtransport!$H$2:$H$675,Program_data!$F901,EIAwtransport!$I$2:$I$675,Program_data!O$2)</f>
        <v>0</v>
      </c>
      <c r="P901" s="5">
        <f>SUMIFS(EIAwtransport!$J$2:$J$675,EIAwtransport!$E$2:$E$675,Program_data!$E901,EIAwtransport!$H$2:$H$675,Program_data!$F901,EIAwtransport!$I$2:$I$675,Program_data!P$2)</f>
        <v>0</v>
      </c>
      <c r="Q901" s="5">
        <f>SUMIFS(EIAwtransport!$J$2:$J$675,EIAwtransport!$E$2:$E$675,Program_data!$E901,EIAwtransport!$H$2:$H$675,Program_data!$F901,EIAwtransport!$I$2:$I$675,Program_data!Q$2)</f>
        <v>0</v>
      </c>
      <c r="R901" s="8">
        <f>SUMIFS(EIAwtransport!$J$2:$J$675,EIAwtransport!$E$2:$E$675,Program_data!$E901,EIAwtransport!$I$2:$I$675,Program_data!R$2)</f>
        <v>1122230698</v>
      </c>
      <c r="S901" s="5">
        <f>SUMIFS(EIAwtransport!$J$2:$J$675,EIAwtransport!$E$2:$E$675,Program_data!$E901,EIAwtransport!$I$2:$I$675,Program_data!S$2)</f>
        <v>157605245</v>
      </c>
      <c r="T901" s="5">
        <f>SUMIFS(EIAwtransport!$J$2:$J$675,EIAwtransport!$E$2:$E$675,Program_data!$E901,EIAwtransport!$I$2:$I$675,Program_data!T$2)</f>
        <v>892595</v>
      </c>
      <c r="U901" s="24">
        <f t="shared" si="291"/>
        <v>8.292552744356997E-6</v>
      </c>
      <c r="V901" s="24">
        <f t="shared" si="292"/>
        <v>8.292552744356997E-6</v>
      </c>
      <c r="W901" s="24">
        <f t="shared" si="293"/>
        <v>3.1338164303183232E-4</v>
      </c>
      <c r="X901" s="25">
        <f t="shared" si="294"/>
        <v>2.153898708071128E-4</v>
      </c>
      <c r="Y901" s="8">
        <f t="shared" si="303"/>
        <v>0.93033834188667264</v>
      </c>
      <c r="Z901" s="27">
        <f t="shared" si="304"/>
        <v>1.8985543548851187E-2</v>
      </c>
      <c r="AA901" s="27"/>
      <c r="AB901" s="41" t="s">
        <v>572</v>
      </c>
      <c r="AC901" s="56"/>
      <c r="AE901" s="20">
        <f t="shared" si="286"/>
        <v>354645</v>
      </c>
      <c r="AF901" s="20">
        <f t="shared" si="296"/>
        <v>1515011442.3000002</v>
      </c>
      <c r="AG901">
        <f t="shared" si="300"/>
        <v>1428199.2</v>
      </c>
      <c r="AH901">
        <f t="shared" si="301"/>
        <v>1428199.2</v>
      </c>
      <c r="AI901">
        <f t="shared" si="302"/>
        <v>16624201242.6</v>
      </c>
    </row>
    <row r="902" spans="2:37" x14ac:dyDescent="0.25">
      <c r="B902" s="4">
        <v>2024</v>
      </c>
      <c r="C902" s="4" t="s">
        <v>241</v>
      </c>
      <c r="D902" s="1" t="s">
        <v>570</v>
      </c>
      <c r="E902" s="4" t="str">
        <f t="shared" si="280"/>
        <v>CtPt-MN</v>
      </c>
      <c r="F902" s="4" t="s">
        <v>143</v>
      </c>
      <c r="G902" s="4">
        <v>1</v>
      </c>
      <c r="H902" s="11" t="s">
        <v>584</v>
      </c>
      <c r="I902" s="4"/>
      <c r="J902" s="4" t="s">
        <v>48</v>
      </c>
      <c r="K902" s="5">
        <f>27080/2</f>
        <v>13540</v>
      </c>
      <c r="L902" s="5">
        <f>27080/2</f>
        <v>13540</v>
      </c>
      <c r="M902" s="8">
        <f>703373/2</f>
        <v>351686.5</v>
      </c>
      <c r="N902" s="8">
        <f>525400/2</f>
        <v>262700</v>
      </c>
      <c r="O902" s="8">
        <f>SUMIFS(EIAwtransport!$J$2:$J$675,EIAwtransport!$E$2:$E$675,Program_data!$E902,EIAwtransport!$H$2:$H$675,Program_data!$F902,EIAwtransport!$I$2:$I$675,Program_data!O$2)</f>
        <v>0</v>
      </c>
      <c r="P902" s="5">
        <f>SUMIFS(EIAwtransport!$J$2:$J$675,EIAwtransport!$E$2:$E$675,Program_data!$E902,EIAwtransport!$H$2:$H$675,Program_data!$F902,EIAwtransport!$I$2:$I$675,Program_data!P$2)</f>
        <v>0</v>
      </c>
      <c r="Q902" s="5">
        <f>SUMIFS(EIAwtransport!$J$2:$J$675,EIAwtransport!$E$2:$E$675,Program_data!$E902,EIAwtransport!$H$2:$H$675,Program_data!$F902,EIAwtransport!$I$2:$I$675,Program_data!Q$2)</f>
        <v>0</v>
      </c>
      <c r="R902" s="8">
        <f>SUMIFS(EIAwtransport!$J$2:$J$675,EIAwtransport!$E$2:$E$675,Program_data!$E902,EIAwtransport!$I$2:$I$675,Program_data!R$2)</f>
        <v>1122230698</v>
      </c>
      <c r="S902" s="5">
        <f>SUMIFS(EIAwtransport!$J$2:$J$675,EIAwtransport!$E$2:$E$675,Program_data!$E902,EIAwtransport!$I$2:$I$675,Program_data!S$2)</f>
        <v>157605245</v>
      </c>
      <c r="T902" s="5">
        <f>SUMIFS(EIAwtransport!$J$2:$J$675,EIAwtransport!$E$2:$E$675,Program_data!$E902,EIAwtransport!$I$2:$I$675,Program_data!T$2)</f>
        <v>892595</v>
      </c>
      <c r="U902" s="24">
        <f t="shared" si="291"/>
        <v>8.292552744356997E-6</v>
      </c>
      <c r="V902" s="24">
        <f t="shared" si="292"/>
        <v>8.292552744356997E-6</v>
      </c>
      <c r="W902" s="24">
        <f t="shared" si="293"/>
        <v>3.1338164303183232E-4</v>
      </c>
      <c r="X902" s="25">
        <f t="shared" si="294"/>
        <v>2.153898708071128E-4</v>
      </c>
      <c r="Y902" s="8">
        <f t="shared" si="303"/>
        <v>0.93033834188667264</v>
      </c>
      <c r="Z902" s="27">
        <f t="shared" si="304"/>
        <v>1.8985543548851187E-2</v>
      </c>
      <c r="AA902" s="27"/>
      <c r="AB902" s="40"/>
      <c r="AC902" s="56">
        <f>IFERROR(K902/SUMIFS($M$3:$M$1234,$E$3:$E$1234,E902,$B$3:$B$1234,B902),"")</f>
        <v>2.9569127367662157E-4</v>
      </c>
      <c r="AE902" s="20">
        <f t="shared" si="286"/>
        <v>354645</v>
      </c>
      <c r="AF902" s="20">
        <f t="shared" si="296"/>
        <v>1515011442.3000002</v>
      </c>
      <c r="AG902">
        <f t="shared" si="300"/>
        <v>1428199.2</v>
      </c>
      <c r="AH902">
        <f t="shared" si="301"/>
        <v>1428199.2</v>
      </c>
      <c r="AI902">
        <f t="shared" si="302"/>
        <v>16624201242.6</v>
      </c>
    </row>
    <row r="903" spans="2:37" x14ac:dyDescent="0.25">
      <c r="B903" s="4">
        <v>2024</v>
      </c>
      <c r="C903" s="4" t="s">
        <v>241</v>
      </c>
      <c r="D903" s="1" t="s">
        <v>570</v>
      </c>
      <c r="E903" s="4" t="str">
        <f t="shared" si="280"/>
        <v>CtPt-MN</v>
      </c>
      <c r="F903" s="4" t="s">
        <v>143</v>
      </c>
      <c r="G903" s="4">
        <v>1</v>
      </c>
      <c r="H903" s="11" t="s">
        <v>585</v>
      </c>
      <c r="I903" s="4"/>
      <c r="J903" s="4" t="s">
        <v>21</v>
      </c>
      <c r="K903" s="5">
        <v>73890</v>
      </c>
      <c r="L903" s="5">
        <f t="shared" si="297"/>
        <v>73890</v>
      </c>
      <c r="M903" s="8">
        <v>650234</v>
      </c>
      <c r="N903" s="8">
        <v>181741</v>
      </c>
      <c r="O903" s="8">
        <f>SUMIFS(EIAwtransport!$J$2:$J$675,EIAwtransport!$E$2:$E$675,Program_data!$E903,EIAwtransport!$H$2:$H$675,Program_data!$F903,EIAwtransport!$I$2:$I$675,Program_data!O$2)</f>
        <v>0</v>
      </c>
      <c r="P903" s="5">
        <f>SUMIFS(EIAwtransport!$J$2:$J$675,EIAwtransport!$E$2:$E$675,Program_data!$E903,EIAwtransport!$H$2:$H$675,Program_data!$F903,EIAwtransport!$I$2:$I$675,Program_data!P$2)</f>
        <v>0</v>
      </c>
      <c r="Q903" s="5">
        <f>SUMIFS(EIAwtransport!$J$2:$J$675,EIAwtransport!$E$2:$E$675,Program_data!$E903,EIAwtransport!$H$2:$H$675,Program_data!$F903,EIAwtransport!$I$2:$I$675,Program_data!Q$2)</f>
        <v>0</v>
      </c>
      <c r="R903" s="8">
        <f>SUMIFS(EIAwtransport!$J$2:$J$675,EIAwtransport!$E$2:$E$675,Program_data!$E903,EIAwtransport!$I$2:$I$675,Program_data!R$2)</f>
        <v>1122230698</v>
      </c>
      <c r="S903" s="5">
        <f>SUMIFS(EIAwtransport!$J$2:$J$675,EIAwtransport!$E$2:$E$675,Program_data!$E903,EIAwtransport!$I$2:$I$675,Program_data!S$2)</f>
        <v>157605245</v>
      </c>
      <c r="T903" s="5">
        <f>SUMIFS(EIAwtransport!$J$2:$J$675,EIAwtransport!$E$2:$E$675,Program_data!$E903,EIAwtransport!$I$2:$I$675,Program_data!T$2)</f>
        <v>892595</v>
      </c>
      <c r="U903" s="24">
        <f t="shared" si="291"/>
        <v>4.525381996163505E-5</v>
      </c>
      <c r="V903" s="24">
        <f t="shared" si="292"/>
        <v>4.525381996163505E-5</v>
      </c>
      <c r="W903" s="24">
        <f t="shared" si="293"/>
        <v>5.7941205953359156E-4</v>
      </c>
      <c r="X903" s="25">
        <f t="shared" si="294"/>
        <v>3.9823484055939647E-4</v>
      </c>
      <c r="Y903" s="8">
        <f t="shared" si="303"/>
        <v>1.7201047563620973</v>
      </c>
      <c r="Z903" s="27">
        <f t="shared" si="304"/>
        <v>3.5102416282523509E-2</v>
      </c>
      <c r="AA903" s="27"/>
      <c r="AB903" s="40"/>
      <c r="AC903" s="56">
        <f>IFERROR(K903/SUMIFS($M$3:$M$1234,$E$3:$E$1234,E903,$B$3:$B$1234,B903),"")</f>
        <v>1.6136357615927303E-3</v>
      </c>
      <c r="AE903" s="20">
        <f t="shared" si="286"/>
        <v>245350.35</v>
      </c>
      <c r="AF903" s="20">
        <f t="shared" si="296"/>
        <v>1515011442.3000002</v>
      </c>
      <c r="AG903">
        <f t="shared" si="300"/>
        <v>7793917.2000000002</v>
      </c>
      <c r="AH903">
        <f t="shared" si="301"/>
        <v>7793917.2000000002</v>
      </c>
      <c r="AI903">
        <f t="shared" si="302"/>
        <v>16624201242.6</v>
      </c>
    </row>
    <row r="904" spans="2:37" x14ac:dyDescent="0.25">
      <c r="B904" s="4">
        <v>2024</v>
      </c>
      <c r="C904" s="4" t="s">
        <v>241</v>
      </c>
      <c r="D904" s="1" t="s">
        <v>570</v>
      </c>
      <c r="E904" s="4" t="str">
        <f t="shared" si="280"/>
        <v>CtPt-MN</v>
      </c>
      <c r="F904" s="4" t="s">
        <v>143</v>
      </c>
      <c r="G904" s="4">
        <v>1</v>
      </c>
      <c r="H904" s="11" t="s">
        <v>586</v>
      </c>
      <c r="I904" s="4"/>
      <c r="J904" s="4" t="s">
        <v>155</v>
      </c>
      <c r="K904" s="5">
        <v>0</v>
      </c>
      <c r="L904" s="5">
        <f t="shared" si="297"/>
        <v>0</v>
      </c>
      <c r="M904" s="8">
        <v>323125</v>
      </c>
      <c r="N904" s="8">
        <v>0</v>
      </c>
      <c r="O904" s="8">
        <f>SUMIFS(EIAwtransport!$J$2:$J$675,EIAwtransport!$E$2:$E$675,Program_data!$E904,EIAwtransport!$H$2:$H$675,Program_data!$F904,EIAwtransport!$I$2:$I$675,Program_data!O$2)</f>
        <v>0</v>
      </c>
      <c r="P904" s="5">
        <f>SUMIFS(EIAwtransport!$J$2:$J$675,EIAwtransport!$E$2:$E$675,Program_data!$E904,EIAwtransport!$H$2:$H$675,Program_data!$F904,EIAwtransport!$I$2:$I$675,Program_data!P$2)</f>
        <v>0</v>
      </c>
      <c r="Q904" s="5">
        <f>SUMIFS(EIAwtransport!$J$2:$J$675,EIAwtransport!$E$2:$E$675,Program_data!$E904,EIAwtransport!$H$2:$H$675,Program_data!$F904,EIAwtransport!$I$2:$I$675,Program_data!Q$2)</f>
        <v>0</v>
      </c>
      <c r="R904" s="8">
        <f>SUMIFS(EIAwtransport!$J$2:$J$675,EIAwtransport!$E$2:$E$675,Program_data!$E904,EIAwtransport!$I$2:$I$675,Program_data!R$2)</f>
        <v>1122230698</v>
      </c>
      <c r="S904" s="5">
        <f>SUMIFS(EIAwtransport!$J$2:$J$675,EIAwtransport!$E$2:$E$675,Program_data!$E904,EIAwtransport!$I$2:$I$675,Program_data!S$2)</f>
        <v>157605245</v>
      </c>
      <c r="T904" s="5">
        <f>SUMIFS(EIAwtransport!$J$2:$J$675,EIAwtransport!$E$2:$E$675,Program_data!$E904,EIAwtransport!$I$2:$I$675,Program_data!T$2)</f>
        <v>892595</v>
      </c>
      <c r="U904" s="24">
        <f t="shared" si="291"/>
        <v>0</v>
      </c>
      <c r="V904" s="24">
        <f t="shared" si="292"/>
        <v>0</v>
      </c>
      <c r="W904" s="24">
        <f t="shared" si="293"/>
        <v>2.8793099366811295E-4</v>
      </c>
      <c r="X904" s="25">
        <f t="shared" si="294"/>
        <v>1.9789742285970124E-4</v>
      </c>
      <c r="Y904" s="8">
        <f t="shared" si="303"/>
        <v>0.8547828157240358</v>
      </c>
      <c r="Z904" s="27">
        <f t="shared" si="304"/>
        <v>1.7443671449494193E-2</v>
      </c>
      <c r="AA904" s="27"/>
      <c r="AB904" s="40"/>
      <c r="AC904" s="56">
        <f>IFERROR(K904/SUMIFS($M$3:$M$1234,$E$3:$E$1234,E904,$B$3:$B$1234,B904),"")</f>
        <v>0</v>
      </c>
      <c r="AE904" s="20">
        <f t="shared" si="286"/>
        <v>0</v>
      </c>
      <c r="AF904" s="20">
        <f t="shared" si="296"/>
        <v>1515011442.3000002</v>
      </c>
      <c r="AG904">
        <f t="shared" si="300"/>
        <v>0</v>
      </c>
      <c r="AH904">
        <f t="shared" si="301"/>
        <v>0</v>
      </c>
      <c r="AI904">
        <f t="shared" si="302"/>
        <v>16624201242.6</v>
      </c>
    </row>
    <row r="905" spans="2:37" x14ac:dyDescent="0.25">
      <c r="B905" s="4">
        <v>2024</v>
      </c>
      <c r="C905" s="4" t="s">
        <v>241</v>
      </c>
      <c r="D905" s="1" t="s">
        <v>570</v>
      </c>
      <c r="E905" s="4" t="str">
        <f t="shared" si="280"/>
        <v>CtPt-MN</v>
      </c>
      <c r="F905" s="4" t="s">
        <v>146</v>
      </c>
      <c r="G905" s="4"/>
      <c r="H905" s="11" t="s">
        <v>587</v>
      </c>
      <c r="I905" s="4"/>
      <c r="J905" s="4" t="s">
        <v>21</v>
      </c>
      <c r="K905" s="5">
        <v>490050</v>
      </c>
      <c r="L905" s="5">
        <f t="shared" si="297"/>
        <v>490050</v>
      </c>
      <c r="M905" s="8">
        <v>791191</v>
      </c>
      <c r="N905" s="8">
        <v>502531</v>
      </c>
      <c r="O905" s="8">
        <f>SUMIFS(EIAwtransport!$J$2:$J$675,EIAwtransport!$E$2:$E$675,Program_data!$E905,EIAwtransport!$H$2:$H$675,Program_data!$F905,EIAwtransport!$I$2:$I$675,Program_data!O$2)</f>
        <v>450708420</v>
      </c>
      <c r="P905" s="5">
        <f>SUMIFS(EIAwtransport!$J$2:$J$675,EIAwtransport!$E$2:$E$675,Program_data!$E905,EIAwtransport!$H$2:$H$675,Program_data!$F905,EIAwtransport!$I$2:$I$675,Program_data!P$2)</f>
        <v>89362251</v>
      </c>
      <c r="Q905" s="5">
        <f>SUMIFS(EIAwtransport!$J$2:$J$675,EIAwtransport!$E$2:$E$675,Program_data!$E905,EIAwtransport!$H$2:$H$675,Program_data!$F905,EIAwtransport!$I$2:$I$675,Program_data!Q$2)</f>
        <v>71286</v>
      </c>
      <c r="R905" s="8">
        <f>SUMIFS(EIAwtransport!$J$2:$J$675,EIAwtransport!$E$2:$E$675,Program_data!$E905,EIAwtransport!$I$2:$I$675,Program_data!R$2)</f>
        <v>1122230698</v>
      </c>
      <c r="S905" s="5">
        <f>SUMIFS(EIAwtransport!$J$2:$J$675,EIAwtransport!$E$2:$E$675,Program_data!$E905,EIAwtransport!$I$2:$I$675,Program_data!S$2)</f>
        <v>157605245</v>
      </c>
      <c r="T905" s="5">
        <f>SUMIFS(EIAwtransport!$J$2:$J$675,EIAwtransport!$E$2:$E$675,Program_data!$E905,EIAwtransport!$I$2:$I$675,Program_data!T$2)</f>
        <v>892595</v>
      </c>
      <c r="U905" s="24">
        <f t="shared" si="291"/>
        <v>3.0013038939232992E-4</v>
      </c>
      <c r="V905" s="24">
        <f t="shared" si="292"/>
        <v>3.0013038939232992E-4</v>
      </c>
      <c r="W905" s="24">
        <f t="shared" si="293"/>
        <v>7.0501635841011359E-4</v>
      </c>
      <c r="X905" s="25">
        <f t="shared" si="294"/>
        <v>4.8456374433977528E-4</v>
      </c>
      <c r="Y905" s="8">
        <f t="shared" si="303"/>
        <v>6.8081461186585937E-2</v>
      </c>
      <c r="Z905" s="27">
        <f t="shared" si="304"/>
        <v>4.2711878863587655E-2</v>
      </c>
      <c r="AA905" s="27"/>
      <c r="AB905" s="40"/>
      <c r="AC905" s="56">
        <f>IFERROR(K905/SUMIFS($M$3:$M$1234,$E$3:$E$1234,E905,$B$3:$B$1234,B905),"")</f>
        <v>1.0701883948687475E-2</v>
      </c>
      <c r="AE905" s="20">
        <f t="shared" si="286"/>
        <v>678416.85000000009</v>
      </c>
      <c r="AF905" s="20">
        <f t="shared" si="296"/>
        <v>1515011442.3000002</v>
      </c>
      <c r="AG905">
        <f t="shared" si="300"/>
        <v>51690474</v>
      </c>
      <c r="AH905">
        <f t="shared" si="301"/>
        <v>51690474</v>
      </c>
      <c r="AI905">
        <f t="shared" si="302"/>
        <v>16624201242.6</v>
      </c>
    </row>
    <row r="906" spans="2:37" x14ac:dyDescent="0.25">
      <c r="B906" s="4">
        <v>2024</v>
      </c>
      <c r="C906" s="4" t="s">
        <v>241</v>
      </c>
      <c r="D906" s="1" t="s">
        <v>570</v>
      </c>
      <c r="E906" s="4" t="str">
        <f t="shared" ref="E906" si="306">D906&amp;"-"&amp;C906</f>
        <v>CtPt-MN</v>
      </c>
      <c r="F906" s="4" t="s">
        <v>146</v>
      </c>
      <c r="G906" s="4"/>
      <c r="H906" s="11" t="s">
        <v>588</v>
      </c>
      <c r="I906" s="4"/>
      <c r="J906" s="4" t="s">
        <v>55</v>
      </c>
      <c r="K906" s="5">
        <f>7180810/2</f>
        <v>3590405</v>
      </c>
      <c r="L906" s="5">
        <f>7180810/2</f>
        <v>3590405</v>
      </c>
      <c r="M906" s="8">
        <f>3360212/2</f>
        <v>1680106</v>
      </c>
      <c r="N906" s="8">
        <f>1792797/2</f>
        <v>896398.5</v>
      </c>
      <c r="O906" s="8">
        <f>SUMIFS(EIAwtransport!$J$2:$J$675,EIAwtransport!$E$2:$E$675,Program_data!$E906,EIAwtransport!$H$2:$H$675,Program_data!$F906,EIAwtransport!$I$2:$I$675,Program_data!O$2)</f>
        <v>450708420</v>
      </c>
      <c r="P906" s="5">
        <f>SUMIFS(EIAwtransport!$J$2:$J$675,EIAwtransport!$E$2:$E$675,Program_data!$E906,EIAwtransport!$H$2:$H$675,Program_data!$F906,EIAwtransport!$I$2:$I$675,Program_data!P$2)</f>
        <v>89362251</v>
      </c>
      <c r="Q906" s="5">
        <f>SUMIFS(EIAwtransport!$J$2:$J$675,EIAwtransport!$E$2:$E$675,Program_data!$E906,EIAwtransport!$H$2:$H$675,Program_data!$F906,EIAwtransport!$I$2:$I$675,Program_data!Q$2)</f>
        <v>71286</v>
      </c>
      <c r="R906" s="8">
        <f>SUMIFS(EIAwtransport!$J$2:$J$675,EIAwtransport!$E$2:$E$675,Program_data!$E906,EIAwtransport!$I$2:$I$675,Program_data!R$2)</f>
        <v>1122230698</v>
      </c>
      <c r="S906" s="5">
        <f>SUMIFS(EIAwtransport!$J$2:$J$675,EIAwtransport!$E$2:$E$675,Program_data!$E906,EIAwtransport!$I$2:$I$675,Program_data!S$2)</f>
        <v>157605245</v>
      </c>
      <c r="T906" s="5">
        <f>SUMIFS(EIAwtransport!$J$2:$J$675,EIAwtransport!$E$2:$E$675,Program_data!$E906,EIAwtransport!$I$2:$I$675,Program_data!T$2)</f>
        <v>892595</v>
      </c>
      <c r="U906" s="24">
        <f t="shared" si="291"/>
        <v>2.198938171056358E-3</v>
      </c>
      <c r="V906" s="24">
        <f t="shared" si="292"/>
        <v>2.198938171056358E-3</v>
      </c>
      <c r="W906" s="24">
        <f t="shared" si="293"/>
        <v>1.4971128512116321E-3</v>
      </c>
      <c r="X906" s="25">
        <f t="shared" si="294"/>
        <v>1.0289784062858685E-3</v>
      </c>
      <c r="Y906" s="8">
        <f t="shared" si="303"/>
        <v>0.14457200780639587</v>
      </c>
      <c r="Z906" s="27">
        <f t="shared" si="304"/>
        <v>9.0699317800615534E-2</v>
      </c>
      <c r="AA906" s="27"/>
      <c r="AB906" s="41" t="s">
        <v>572</v>
      </c>
      <c r="AC906" s="56"/>
      <c r="AE906" s="20">
        <f t="shared" si="286"/>
        <v>1210137.9750000001</v>
      </c>
      <c r="AF906" s="20">
        <f t="shared" si="296"/>
        <v>1515011442.3000002</v>
      </c>
      <c r="AG906">
        <f t="shared" si="300"/>
        <v>378715919.40000004</v>
      </c>
      <c r="AH906">
        <f t="shared" si="301"/>
        <v>378715919.40000004</v>
      </c>
      <c r="AI906">
        <f t="shared" si="302"/>
        <v>16624201242.6</v>
      </c>
    </row>
    <row r="907" spans="2:37" x14ac:dyDescent="0.25">
      <c r="B907" s="4">
        <v>2024</v>
      </c>
      <c r="C907" s="4" t="s">
        <v>241</v>
      </c>
      <c r="D907" s="1" t="s">
        <v>570</v>
      </c>
      <c r="E907" s="4" t="str">
        <f t="shared" si="280"/>
        <v>CtPt-MN</v>
      </c>
      <c r="F907" s="4" t="s">
        <v>146</v>
      </c>
      <c r="G907" s="4"/>
      <c r="H907" s="11" t="s">
        <v>588</v>
      </c>
      <c r="I907" s="4"/>
      <c r="J907" s="4" t="s">
        <v>21</v>
      </c>
      <c r="K907" s="5">
        <f>7180810/2</f>
        <v>3590405</v>
      </c>
      <c r="L907" s="5">
        <f>7180810/2</f>
        <v>3590405</v>
      </c>
      <c r="M907" s="8">
        <f>3360212/2</f>
        <v>1680106</v>
      </c>
      <c r="N907" s="8">
        <f>1792797/2</f>
        <v>896398.5</v>
      </c>
      <c r="O907" s="8">
        <f>SUMIFS(EIAwtransport!$J$2:$J$675,EIAwtransport!$E$2:$E$675,Program_data!$E907,EIAwtransport!$H$2:$H$675,Program_data!$F907,EIAwtransport!$I$2:$I$675,Program_data!O$2)</f>
        <v>450708420</v>
      </c>
      <c r="P907" s="5">
        <f>SUMIFS(EIAwtransport!$J$2:$J$675,EIAwtransport!$E$2:$E$675,Program_data!$E907,EIAwtransport!$H$2:$H$675,Program_data!$F907,EIAwtransport!$I$2:$I$675,Program_data!P$2)</f>
        <v>89362251</v>
      </c>
      <c r="Q907" s="5">
        <f>SUMIFS(EIAwtransport!$J$2:$J$675,EIAwtransport!$E$2:$E$675,Program_data!$E907,EIAwtransport!$H$2:$H$675,Program_data!$F907,EIAwtransport!$I$2:$I$675,Program_data!Q$2)</f>
        <v>71286</v>
      </c>
      <c r="R907" s="8">
        <f>SUMIFS(EIAwtransport!$J$2:$J$675,EIAwtransport!$E$2:$E$675,Program_data!$E907,EIAwtransport!$I$2:$I$675,Program_data!R$2)</f>
        <v>1122230698</v>
      </c>
      <c r="S907" s="5">
        <f>SUMIFS(EIAwtransport!$J$2:$J$675,EIAwtransport!$E$2:$E$675,Program_data!$E907,EIAwtransport!$I$2:$I$675,Program_data!S$2)</f>
        <v>157605245</v>
      </c>
      <c r="T907" s="5">
        <f>SUMIFS(EIAwtransport!$J$2:$J$675,EIAwtransport!$E$2:$E$675,Program_data!$E907,EIAwtransport!$I$2:$I$675,Program_data!T$2)</f>
        <v>892595</v>
      </c>
      <c r="U907" s="24">
        <f t="shared" si="291"/>
        <v>2.198938171056358E-3</v>
      </c>
      <c r="V907" s="24">
        <f t="shared" si="292"/>
        <v>2.198938171056358E-3</v>
      </c>
      <c r="W907" s="24">
        <f t="shared" si="293"/>
        <v>1.4971128512116321E-3</v>
      </c>
      <c r="X907" s="25">
        <f t="shared" si="294"/>
        <v>1.0289784062858685E-3</v>
      </c>
      <c r="Y907" s="8">
        <f t="shared" si="303"/>
        <v>0.14457200780639587</v>
      </c>
      <c r="Z907" s="27">
        <f t="shared" si="304"/>
        <v>9.0699317800615534E-2</v>
      </c>
      <c r="AA907" s="27"/>
      <c r="AB907" s="40"/>
      <c r="AC907" s="56">
        <f t="shared" ref="AC907:AC970" si="307">IFERROR(K907/SUMIFS($M$3:$M$1234,$E$3:$E$1234,E907,$B$3:$B$1234,B907),"")</f>
        <v>7.8408524923553213E-2</v>
      </c>
      <c r="AE907" s="20">
        <f t="shared" si="286"/>
        <v>1210137.9750000001</v>
      </c>
      <c r="AF907" s="20">
        <f t="shared" si="296"/>
        <v>1515011442.3000002</v>
      </c>
      <c r="AG907">
        <f t="shared" si="300"/>
        <v>378715919.40000004</v>
      </c>
      <c r="AH907">
        <f t="shared" si="301"/>
        <v>378715919.40000004</v>
      </c>
      <c r="AI907">
        <f t="shared" si="302"/>
        <v>16624201242.6</v>
      </c>
    </row>
    <row r="908" spans="2:37" x14ac:dyDescent="0.25">
      <c r="B908" s="4">
        <v>2024</v>
      </c>
      <c r="C908" s="4" t="s">
        <v>241</v>
      </c>
      <c r="D908" s="1" t="s">
        <v>570</v>
      </c>
      <c r="E908" s="4" t="str">
        <f t="shared" si="280"/>
        <v>CtPt-MN</v>
      </c>
      <c r="F908" s="4" t="s">
        <v>146</v>
      </c>
      <c r="G908" s="4"/>
      <c r="H908" s="11" t="s">
        <v>589</v>
      </c>
      <c r="I908" s="4"/>
      <c r="J908" s="4" t="s">
        <v>61</v>
      </c>
      <c r="K908" s="5">
        <v>1350050</v>
      </c>
      <c r="L908" s="5">
        <f t="shared" si="297"/>
        <v>1350050</v>
      </c>
      <c r="M908" s="8">
        <v>1915416</v>
      </c>
      <c r="N908" s="8">
        <v>690026</v>
      </c>
      <c r="O908" s="8">
        <f>SUMIFS(EIAwtransport!$J$2:$J$675,EIAwtransport!$E$2:$E$675,Program_data!$E908,EIAwtransport!$H$2:$H$675,Program_data!$F908,EIAwtransport!$I$2:$I$675,Program_data!O$2)</f>
        <v>450708420</v>
      </c>
      <c r="P908" s="5">
        <f>SUMIFS(EIAwtransport!$J$2:$J$675,EIAwtransport!$E$2:$E$675,Program_data!$E908,EIAwtransport!$H$2:$H$675,Program_data!$F908,EIAwtransport!$I$2:$I$675,Program_data!P$2)</f>
        <v>89362251</v>
      </c>
      <c r="Q908" s="5">
        <f>SUMIFS(EIAwtransport!$J$2:$J$675,EIAwtransport!$E$2:$E$675,Program_data!$E908,EIAwtransport!$H$2:$H$675,Program_data!$F908,EIAwtransport!$I$2:$I$675,Program_data!Q$2)</f>
        <v>71286</v>
      </c>
      <c r="R908" s="8">
        <f>SUMIFS(EIAwtransport!$J$2:$J$675,EIAwtransport!$E$2:$E$675,Program_data!$E908,EIAwtransport!$I$2:$I$675,Program_data!R$2)</f>
        <v>1122230698</v>
      </c>
      <c r="S908" s="5">
        <f>SUMIFS(EIAwtransport!$J$2:$J$675,EIAwtransport!$E$2:$E$675,Program_data!$E908,EIAwtransport!$I$2:$I$675,Program_data!S$2)</f>
        <v>157605245</v>
      </c>
      <c r="T908" s="5">
        <f>SUMIFS(EIAwtransport!$J$2:$J$675,EIAwtransport!$E$2:$E$675,Program_data!$E908,EIAwtransport!$I$2:$I$675,Program_data!T$2)</f>
        <v>892595</v>
      </c>
      <c r="U908" s="24">
        <f t="shared" si="291"/>
        <v>8.268361028448423E-4</v>
      </c>
      <c r="V908" s="24">
        <f t="shared" si="292"/>
        <v>8.268361028448423E-4</v>
      </c>
      <c r="W908" s="24">
        <f t="shared" si="293"/>
        <v>1.7067934457804326E-3</v>
      </c>
      <c r="X908" s="25">
        <f t="shared" si="294"/>
        <v>1.1730936637655322E-3</v>
      </c>
      <c r="Y908" s="8">
        <f t="shared" si="303"/>
        <v>0.1648202773542238</v>
      </c>
      <c r="Z908" s="27">
        <f t="shared" si="304"/>
        <v>0.10340235943707349</v>
      </c>
      <c r="AA908" s="27"/>
      <c r="AB908" s="40"/>
      <c r="AC908" s="56">
        <f t="shared" si="307"/>
        <v>2.9482865880880574E-2</v>
      </c>
      <c r="AE908" s="20">
        <f t="shared" si="286"/>
        <v>931535.10000000009</v>
      </c>
      <c r="AF908" s="20">
        <f t="shared" si="296"/>
        <v>1515011442.3000002</v>
      </c>
      <c r="AG908">
        <f t="shared" si="300"/>
        <v>142403274</v>
      </c>
      <c r="AH908">
        <f t="shared" si="301"/>
        <v>142403274</v>
      </c>
      <c r="AI908">
        <f t="shared" si="302"/>
        <v>16624201242.6</v>
      </c>
    </row>
    <row r="909" spans="2:37" x14ac:dyDescent="0.25">
      <c r="B909" s="4">
        <v>2024</v>
      </c>
      <c r="C909" s="4" t="s">
        <v>241</v>
      </c>
      <c r="D909" s="1" t="s">
        <v>570</v>
      </c>
      <c r="E909" s="4" t="str">
        <f t="shared" si="280"/>
        <v>CtPt-MN</v>
      </c>
      <c r="F909" s="4" t="s">
        <v>146</v>
      </c>
      <c r="G909" s="4"/>
      <c r="H909" s="11" t="s">
        <v>590</v>
      </c>
      <c r="I909" s="4"/>
      <c r="J909" s="4" t="s">
        <v>21</v>
      </c>
      <c r="K909" s="5">
        <v>85380</v>
      </c>
      <c r="L909" s="5">
        <f t="shared" si="297"/>
        <v>85380</v>
      </c>
      <c r="M909" s="8">
        <v>701962</v>
      </c>
      <c r="N909" s="8">
        <v>29625</v>
      </c>
      <c r="O909" s="8">
        <f>SUMIFS(EIAwtransport!$J$2:$J$675,EIAwtransport!$E$2:$E$675,Program_data!$E909,EIAwtransport!$H$2:$H$675,Program_data!$F909,EIAwtransport!$I$2:$I$675,Program_data!O$2)</f>
        <v>450708420</v>
      </c>
      <c r="P909" s="5">
        <f>SUMIFS(EIAwtransport!$J$2:$J$675,EIAwtransport!$E$2:$E$675,Program_data!$E909,EIAwtransport!$H$2:$H$675,Program_data!$F909,EIAwtransport!$I$2:$I$675,Program_data!P$2)</f>
        <v>89362251</v>
      </c>
      <c r="Q909" s="5">
        <f>SUMIFS(EIAwtransport!$J$2:$J$675,EIAwtransport!$E$2:$E$675,Program_data!$E909,EIAwtransport!$H$2:$H$675,Program_data!$F909,EIAwtransport!$I$2:$I$675,Program_data!Q$2)</f>
        <v>71286</v>
      </c>
      <c r="R909" s="8">
        <f>SUMIFS(EIAwtransport!$J$2:$J$675,EIAwtransport!$E$2:$E$675,Program_data!$E909,EIAwtransport!$I$2:$I$675,Program_data!R$2)</f>
        <v>1122230698</v>
      </c>
      <c r="S909" s="5">
        <f>SUMIFS(EIAwtransport!$J$2:$J$675,EIAwtransport!$E$2:$E$675,Program_data!$E909,EIAwtransport!$I$2:$I$675,Program_data!S$2)</f>
        <v>157605245</v>
      </c>
      <c r="T909" s="5">
        <f>SUMIFS(EIAwtransport!$J$2:$J$675,EIAwtransport!$E$2:$E$675,Program_data!$E909,EIAwtransport!$I$2:$I$675,Program_data!T$2)</f>
        <v>892595</v>
      </c>
      <c r="U909" s="24">
        <f t="shared" si="291"/>
        <v>5.2290853272762223E-5</v>
      </c>
      <c r="V909" s="24">
        <f t="shared" si="292"/>
        <v>5.2290853272762223E-5</v>
      </c>
      <c r="W909" s="24">
        <f t="shared" si="293"/>
        <v>6.2550596882709759E-4</v>
      </c>
      <c r="X909" s="25">
        <f t="shared" si="294"/>
        <v>4.2991557677506109E-4</v>
      </c>
      <c r="Y909" s="8">
        <f t="shared" si="303"/>
        <v>6.0403364873283745E-2</v>
      </c>
      <c r="Z909" s="27">
        <f t="shared" si="304"/>
        <v>3.7894915274367023E-2</v>
      </c>
      <c r="AA909" s="27"/>
      <c r="AB909" s="40"/>
      <c r="AC909" s="56">
        <f t="shared" si="307"/>
        <v>1.8645584155472638E-3</v>
      </c>
      <c r="AE909" s="20">
        <f t="shared" si="286"/>
        <v>39993.75</v>
      </c>
      <c r="AF909" s="20">
        <f t="shared" ref="AF909:AF932" si="308">R909*1.35</f>
        <v>1515011442.3000002</v>
      </c>
      <c r="AG909">
        <f t="shared" si="300"/>
        <v>9005882.4000000004</v>
      </c>
      <c r="AH909">
        <f t="shared" si="301"/>
        <v>9005882.4000000004</v>
      </c>
      <c r="AI909">
        <f t="shared" si="302"/>
        <v>16624201242.6</v>
      </c>
      <c r="AK909" s="41" t="s">
        <v>572</v>
      </c>
    </row>
    <row r="910" spans="2:37" x14ac:dyDescent="0.25">
      <c r="B910" s="4">
        <v>2024</v>
      </c>
      <c r="C910" s="4" t="s">
        <v>241</v>
      </c>
      <c r="D910" s="1" t="s">
        <v>570</v>
      </c>
      <c r="E910" s="4" t="str">
        <f t="shared" ref="E910:E973" si="309">D910&amp;"-"&amp;C910</f>
        <v>CtPt-MN</v>
      </c>
      <c r="F910" s="4" t="s">
        <v>146</v>
      </c>
      <c r="G910" s="4"/>
      <c r="H910" s="11" t="s">
        <v>591</v>
      </c>
      <c r="I910" s="4"/>
      <c r="J910" s="4" t="s">
        <v>21</v>
      </c>
      <c r="K910" s="5">
        <v>1557720</v>
      </c>
      <c r="L910" s="5">
        <f t="shared" si="297"/>
        <v>1557720</v>
      </c>
      <c r="M910" s="8">
        <v>1778875</v>
      </c>
      <c r="N910" s="8">
        <v>778862</v>
      </c>
      <c r="O910" s="8">
        <f>SUMIFS(EIAwtransport!$J$2:$J$675,EIAwtransport!$E$2:$E$675,Program_data!$E910,EIAwtransport!$H$2:$H$675,Program_data!$F910,EIAwtransport!$I$2:$I$675,Program_data!O$2)</f>
        <v>450708420</v>
      </c>
      <c r="P910" s="5">
        <f>SUMIFS(EIAwtransport!$J$2:$J$675,EIAwtransport!$E$2:$E$675,Program_data!$E910,EIAwtransport!$H$2:$H$675,Program_data!$F910,EIAwtransport!$I$2:$I$675,Program_data!P$2)</f>
        <v>89362251</v>
      </c>
      <c r="Q910" s="5">
        <f>SUMIFS(EIAwtransport!$J$2:$J$675,EIAwtransport!$E$2:$E$675,Program_data!$E910,EIAwtransport!$H$2:$H$675,Program_data!$F910,EIAwtransport!$I$2:$I$675,Program_data!Q$2)</f>
        <v>71286</v>
      </c>
      <c r="R910" s="8">
        <f>SUMIFS(EIAwtransport!$J$2:$J$675,EIAwtransport!$E$2:$E$675,Program_data!$E910,EIAwtransport!$I$2:$I$675,Program_data!R$2)</f>
        <v>1122230698</v>
      </c>
      <c r="S910" s="5">
        <f>SUMIFS(EIAwtransport!$J$2:$J$675,EIAwtransport!$E$2:$E$675,Program_data!$E910,EIAwtransport!$I$2:$I$675,Program_data!S$2)</f>
        <v>157605245</v>
      </c>
      <c r="T910" s="5">
        <f>SUMIFS(EIAwtransport!$J$2:$J$675,EIAwtransport!$E$2:$E$675,Program_data!$E910,EIAwtransport!$I$2:$I$675,Program_data!T$2)</f>
        <v>892595</v>
      </c>
      <c r="U910" s="24">
        <f t="shared" si="291"/>
        <v>9.5402328367354377E-4</v>
      </c>
      <c r="V910" s="24">
        <f t="shared" si="292"/>
        <v>9.5402328367354377E-4</v>
      </c>
      <c r="W910" s="24">
        <f t="shared" si="293"/>
        <v>1.5851241666889422E-3</v>
      </c>
      <c r="X910" s="25">
        <f t="shared" si="294"/>
        <v>1.0894693325788813E-3</v>
      </c>
      <c r="Y910" s="8">
        <f t="shared" si="303"/>
        <v>0.15307101479704402</v>
      </c>
      <c r="Z910" s="27">
        <f t="shared" si="304"/>
        <v>9.6031291449807307E-2</v>
      </c>
      <c r="AA910" s="27"/>
      <c r="AB910" s="40"/>
      <c r="AC910" s="56">
        <f t="shared" si="307"/>
        <v>3.4018036250483531E-2</v>
      </c>
      <c r="AE910" s="20">
        <f t="shared" si="286"/>
        <v>1051463.7</v>
      </c>
      <c r="AF910" s="20">
        <f t="shared" si="308"/>
        <v>1515011442.3000002</v>
      </c>
      <c r="AG910">
        <f t="shared" si="300"/>
        <v>164308305.59999999</v>
      </c>
      <c r="AH910">
        <f t="shared" si="301"/>
        <v>164308305.59999999</v>
      </c>
      <c r="AI910">
        <f t="shared" si="302"/>
        <v>16624201242.6</v>
      </c>
    </row>
    <row r="911" spans="2:37" x14ac:dyDescent="0.25">
      <c r="B911" s="4">
        <v>2024</v>
      </c>
      <c r="C911" s="4" t="s">
        <v>241</v>
      </c>
      <c r="D911" s="1" t="s">
        <v>570</v>
      </c>
      <c r="E911" s="4" t="str">
        <f t="shared" si="309"/>
        <v>CtPt-MN</v>
      </c>
      <c r="F911" s="4" t="s">
        <v>146</v>
      </c>
      <c r="G911" s="4"/>
      <c r="H911" s="11" t="s">
        <v>592</v>
      </c>
      <c r="I911" s="4"/>
      <c r="J911" s="4" t="s">
        <v>155</v>
      </c>
      <c r="K911" s="5">
        <v>0</v>
      </c>
      <c r="L911" s="5">
        <f t="shared" si="297"/>
        <v>0</v>
      </c>
      <c r="M911" s="8">
        <v>40861</v>
      </c>
      <c r="N911" s="8">
        <v>0</v>
      </c>
      <c r="O911" s="8">
        <f>SUMIFS(EIAwtransport!$J$2:$J$675,EIAwtransport!$E$2:$E$675,Program_data!$E911,EIAwtransport!$H$2:$H$675,Program_data!$F911,EIAwtransport!$I$2:$I$675,Program_data!O$2)</f>
        <v>450708420</v>
      </c>
      <c r="P911" s="5">
        <f>SUMIFS(EIAwtransport!$J$2:$J$675,EIAwtransport!$E$2:$E$675,Program_data!$E911,EIAwtransport!$H$2:$H$675,Program_data!$F911,EIAwtransport!$I$2:$I$675,Program_data!P$2)</f>
        <v>89362251</v>
      </c>
      <c r="Q911" s="5">
        <f>SUMIFS(EIAwtransport!$J$2:$J$675,EIAwtransport!$E$2:$E$675,Program_data!$E911,EIAwtransport!$H$2:$H$675,Program_data!$F911,EIAwtransport!$I$2:$I$675,Program_data!Q$2)</f>
        <v>71286</v>
      </c>
      <c r="R911" s="8">
        <f>SUMIFS(EIAwtransport!$J$2:$J$675,EIAwtransport!$E$2:$E$675,Program_data!$E911,EIAwtransport!$I$2:$I$675,Program_data!R$2)</f>
        <v>1122230698</v>
      </c>
      <c r="S911" s="5">
        <f>SUMIFS(EIAwtransport!$J$2:$J$675,EIAwtransport!$E$2:$E$675,Program_data!$E911,EIAwtransport!$I$2:$I$675,Program_data!S$2)</f>
        <v>157605245</v>
      </c>
      <c r="T911" s="5">
        <f>SUMIFS(EIAwtransport!$J$2:$J$675,EIAwtransport!$E$2:$E$675,Program_data!$E911,EIAwtransport!$I$2:$I$675,Program_data!T$2)</f>
        <v>892595</v>
      </c>
      <c r="U911" s="24">
        <f t="shared" si="291"/>
        <v>0</v>
      </c>
      <c r="V911" s="24">
        <f t="shared" si="292"/>
        <v>0</v>
      </c>
      <c r="W911" s="24">
        <f t="shared" si="293"/>
        <v>3.6410517082468903E-5</v>
      </c>
      <c r="X911" s="25">
        <f t="shared" si="294"/>
        <v>2.5025258322538499E-5</v>
      </c>
      <c r="Y911" s="8">
        <f t="shared" si="303"/>
        <v>3.5160619692907124E-3</v>
      </c>
      <c r="Z911" s="27">
        <f t="shared" si="304"/>
        <v>2.2058517883103515E-3</v>
      </c>
      <c r="AA911" s="27"/>
      <c r="AB911" s="40"/>
      <c r="AC911" s="56">
        <f t="shared" si="307"/>
        <v>0</v>
      </c>
      <c r="AE911" s="20">
        <f t="shared" si="286"/>
        <v>0</v>
      </c>
      <c r="AF911" s="20">
        <f t="shared" si="308"/>
        <v>1515011442.3000002</v>
      </c>
      <c r="AG911">
        <f t="shared" si="300"/>
        <v>0</v>
      </c>
      <c r="AH911">
        <f t="shared" si="301"/>
        <v>0</v>
      </c>
      <c r="AI911">
        <f t="shared" si="302"/>
        <v>16624201242.6</v>
      </c>
    </row>
    <row r="912" spans="2:37" x14ac:dyDescent="0.25">
      <c r="B912" s="4">
        <v>2024</v>
      </c>
      <c r="C912" s="4" t="s">
        <v>241</v>
      </c>
      <c r="D912" s="1" t="s">
        <v>570</v>
      </c>
      <c r="E912" s="4" t="str">
        <f t="shared" si="309"/>
        <v>CtPt-MN</v>
      </c>
      <c r="F912" s="4" t="s">
        <v>146</v>
      </c>
      <c r="G912" s="4"/>
      <c r="H912" s="11" t="s">
        <v>593</v>
      </c>
      <c r="I912" s="4"/>
      <c r="J912" s="4" t="s">
        <v>21</v>
      </c>
      <c r="K912" s="5">
        <v>143260</v>
      </c>
      <c r="L912" s="5">
        <f t="shared" si="297"/>
        <v>143260</v>
      </c>
      <c r="M912" s="8">
        <v>324515</v>
      </c>
      <c r="N912" s="8">
        <v>82714</v>
      </c>
      <c r="O912" s="8">
        <f>SUMIFS(EIAwtransport!$J$2:$J$675,EIAwtransport!$E$2:$E$675,Program_data!$E912,EIAwtransport!$H$2:$H$675,Program_data!$F912,EIAwtransport!$I$2:$I$675,Program_data!O$2)</f>
        <v>450708420</v>
      </c>
      <c r="P912" s="5">
        <f>SUMIFS(EIAwtransport!$J$2:$J$675,EIAwtransport!$E$2:$E$675,Program_data!$E912,EIAwtransport!$H$2:$H$675,Program_data!$F912,EIAwtransport!$I$2:$I$675,Program_data!P$2)</f>
        <v>89362251</v>
      </c>
      <c r="Q912" s="5">
        <f>SUMIFS(EIAwtransport!$J$2:$J$675,EIAwtransport!$E$2:$E$675,Program_data!$E912,EIAwtransport!$H$2:$H$675,Program_data!$F912,EIAwtransport!$I$2:$I$675,Program_data!Q$2)</f>
        <v>71286</v>
      </c>
      <c r="R912" s="8">
        <f>SUMIFS(EIAwtransport!$J$2:$J$675,EIAwtransport!$E$2:$E$675,Program_data!$E912,EIAwtransport!$I$2:$I$675,Program_data!R$2)</f>
        <v>1122230698</v>
      </c>
      <c r="S912" s="5">
        <f>SUMIFS(EIAwtransport!$J$2:$J$675,EIAwtransport!$E$2:$E$675,Program_data!$E912,EIAwtransport!$I$2:$I$675,Program_data!S$2)</f>
        <v>157605245</v>
      </c>
      <c r="T912" s="5">
        <f>SUMIFS(EIAwtransport!$J$2:$J$675,EIAwtransport!$E$2:$E$675,Program_data!$E912,EIAwtransport!$I$2:$I$675,Program_data!T$2)</f>
        <v>892595</v>
      </c>
      <c r="U912" s="24">
        <f t="shared" si="291"/>
        <v>8.7739372685124333E-5</v>
      </c>
      <c r="V912" s="24">
        <f t="shared" si="292"/>
        <v>8.7739372685124333E-5</v>
      </c>
      <c r="W912" s="24">
        <f t="shared" si="293"/>
        <v>2.8916959817472398E-4</v>
      </c>
      <c r="X912" s="25">
        <f t="shared" si="294"/>
        <v>1.987487262802815E-4</v>
      </c>
      <c r="Y912" s="8">
        <f t="shared" si="303"/>
        <v>2.7924300677036187E-2</v>
      </c>
      <c r="Z912" s="27">
        <f t="shared" si="304"/>
        <v>1.7518709602886217E-2</v>
      </c>
      <c r="AA912" s="27"/>
      <c r="AB912" s="40"/>
      <c r="AC912" s="56">
        <f t="shared" si="307"/>
        <v>3.1285621762860271E-3</v>
      </c>
      <c r="AE912" s="20">
        <f t="shared" si="286"/>
        <v>111663.90000000001</v>
      </c>
      <c r="AF912" s="20">
        <f t="shared" si="308"/>
        <v>1515011442.3000002</v>
      </c>
      <c r="AG912">
        <f t="shared" si="300"/>
        <v>15111064.800000001</v>
      </c>
      <c r="AH912">
        <f t="shared" si="301"/>
        <v>15111064.800000001</v>
      </c>
      <c r="AI912">
        <f t="shared" si="302"/>
        <v>16624201242.6</v>
      </c>
    </row>
    <row r="913" spans="2:35" x14ac:dyDescent="0.25">
      <c r="B913" s="4">
        <v>2024</v>
      </c>
      <c r="C913" s="4" t="s">
        <v>241</v>
      </c>
      <c r="D913" s="1" t="s">
        <v>570</v>
      </c>
      <c r="E913" s="4" t="str">
        <f t="shared" si="309"/>
        <v>CtPt-MN</v>
      </c>
      <c r="F913" s="4" t="s">
        <v>146</v>
      </c>
      <c r="G913" s="4"/>
      <c r="H913" s="11" t="s">
        <v>594</v>
      </c>
      <c r="I913" s="4"/>
      <c r="J913" s="4" t="s">
        <v>21</v>
      </c>
      <c r="K913" s="5">
        <v>16120</v>
      </c>
      <c r="L913" s="5">
        <f t="shared" si="297"/>
        <v>16120</v>
      </c>
      <c r="M913" s="8">
        <v>143295</v>
      </c>
      <c r="N913" s="8">
        <v>10000</v>
      </c>
      <c r="O913" s="8">
        <f>SUMIFS(EIAwtransport!$J$2:$J$675,EIAwtransport!$E$2:$E$675,Program_data!$E913,EIAwtransport!$H$2:$H$675,Program_data!$F913,EIAwtransport!$I$2:$I$675,Program_data!O$2)</f>
        <v>450708420</v>
      </c>
      <c r="P913" s="5">
        <f>SUMIFS(EIAwtransport!$J$2:$J$675,EIAwtransport!$E$2:$E$675,Program_data!$E913,EIAwtransport!$H$2:$H$675,Program_data!$F913,EIAwtransport!$I$2:$I$675,Program_data!P$2)</f>
        <v>89362251</v>
      </c>
      <c r="Q913" s="5">
        <f>SUMIFS(EIAwtransport!$J$2:$J$675,EIAwtransport!$E$2:$E$675,Program_data!$E913,EIAwtransport!$H$2:$H$675,Program_data!$F913,EIAwtransport!$I$2:$I$675,Program_data!Q$2)</f>
        <v>71286</v>
      </c>
      <c r="R913" s="8">
        <f>SUMIFS(EIAwtransport!$J$2:$J$675,EIAwtransport!$E$2:$E$675,Program_data!$E913,EIAwtransport!$I$2:$I$675,Program_data!R$2)</f>
        <v>1122230698</v>
      </c>
      <c r="S913" s="5">
        <f>SUMIFS(EIAwtransport!$J$2:$J$675,EIAwtransport!$E$2:$E$675,Program_data!$E913,EIAwtransport!$I$2:$I$675,Program_data!S$2)</f>
        <v>157605245</v>
      </c>
      <c r="T913" s="5">
        <f>SUMIFS(EIAwtransport!$J$2:$J$675,EIAwtransport!$E$2:$E$675,Program_data!$E913,EIAwtransport!$I$2:$I$675,Program_data!T$2)</f>
        <v>892595</v>
      </c>
      <c r="U913" s="24">
        <f t="shared" si="291"/>
        <v>9.8726698847145341E-6</v>
      </c>
      <c r="V913" s="24">
        <f t="shared" si="292"/>
        <v>9.8726698847145341E-6</v>
      </c>
      <c r="W913" s="24">
        <f t="shared" si="293"/>
        <v>1.2768764947828935E-4</v>
      </c>
      <c r="X913" s="25">
        <f t="shared" si="294"/>
        <v>8.7760808382764848E-5</v>
      </c>
      <c r="Y913" s="8">
        <f t="shared" si="303"/>
        <v>1.2330439780952808E-2</v>
      </c>
      <c r="Z913" s="27">
        <f t="shared" si="304"/>
        <v>7.7356778347551893E-3</v>
      </c>
      <c r="AA913" s="27"/>
      <c r="AB913" s="40"/>
      <c r="AC913" s="56">
        <f t="shared" si="307"/>
        <v>3.5203421947320088E-4</v>
      </c>
      <c r="AE913" s="20">
        <f t="shared" si="286"/>
        <v>13500</v>
      </c>
      <c r="AF913" s="20">
        <f t="shared" si="308"/>
        <v>1515011442.3000002</v>
      </c>
      <c r="AG913">
        <f t="shared" si="300"/>
        <v>1700337.6</v>
      </c>
      <c r="AH913">
        <f t="shared" si="301"/>
        <v>1700337.6</v>
      </c>
      <c r="AI913">
        <f t="shared" si="302"/>
        <v>16624201242.6</v>
      </c>
    </row>
    <row r="914" spans="2:35" x14ac:dyDescent="0.25">
      <c r="B914" s="4">
        <v>2024</v>
      </c>
      <c r="C914" s="4" t="s">
        <v>241</v>
      </c>
      <c r="D914" s="1" t="s">
        <v>570</v>
      </c>
      <c r="E914" s="4" t="str">
        <f t="shared" si="309"/>
        <v>CtPt-MN</v>
      </c>
      <c r="F914" s="4" t="s">
        <v>146</v>
      </c>
      <c r="G914" s="4"/>
      <c r="H914" s="11" t="s">
        <v>595</v>
      </c>
      <c r="I914" s="4"/>
      <c r="J914" s="4" t="s">
        <v>155</v>
      </c>
      <c r="K914" s="5">
        <v>0</v>
      </c>
      <c r="L914" s="5">
        <f t="shared" si="297"/>
        <v>0</v>
      </c>
      <c r="M914" s="8">
        <v>173371</v>
      </c>
      <c r="N914" s="8">
        <v>19500</v>
      </c>
      <c r="O914" s="8">
        <f>SUMIFS(EIAwtransport!$J$2:$J$675,EIAwtransport!$E$2:$E$675,Program_data!$E914,EIAwtransport!$H$2:$H$675,Program_data!$F914,EIAwtransport!$I$2:$I$675,Program_data!O$2)</f>
        <v>450708420</v>
      </c>
      <c r="P914" s="5">
        <f>SUMIFS(EIAwtransport!$J$2:$J$675,EIAwtransport!$E$2:$E$675,Program_data!$E914,EIAwtransport!$H$2:$H$675,Program_data!$F914,EIAwtransport!$I$2:$I$675,Program_data!P$2)</f>
        <v>89362251</v>
      </c>
      <c r="Q914" s="5">
        <f>SUMIFS(EIAwtransport!$J$2:$J$675,EIAwtransport!$E$2:$E$675,Program_data!$E914,EIAwtransport!$H$2:$H$675,Program_data!$F914,EIAwtransport!$I$2:$I$675,Program_data!Q$2)</f>
        <v>71286</v>
      </c>
      <c r="R914" s="8">
        <f>SUMIFS(EIAwtransport!$J$2:$J$675,EIAwtransport!$E$2:$E$675,Program_data!$E914,EIAwtransport!$I$2:$I$675,Program_data!R$2)</f>
        <v>1122230698</v>
      </c>
      <c r="S914" s="5">
        <f>SUMIFS(EIAwtransport!$J$2:$J$675,EIAwtransport!$E$2:$E$675,Program_data!$E914,EIAwtransport!$I$2:$I$675,Program_data!S$2)</f>
        <v>157605245</v>
      </c>
      <c r="T914" s="5">
        <f>SUMIFS(EIAwtransport!$J$2:$J$675,EIAwtransport!$E$2:$E$675,Program_data!$E914,EIAwtransport!$I$2:$I$675,Program_data!T$2)</f>
        <v>892595</v>
      </c>
      <c r="U914" s="24">
        <f t="shared" si="291"/>
        <v>0</v>
      </c>
      <c r="V914" s="24">
        <f t="shared" si="292"/>
        <v>0</v>
      </c>
      <c r="W914" s="24">
        <f t="shared" si="293"/>
        <v>1.5448784310478735E-4</v>
      </c>
      <c r="X914" s="25">
        <f t="shared" si="294"/>
        <v>1.0618080958950644E-4</v>
      </c>
      <c r="Y914" s="8">
        <f t="shared" si="303"/>
        <v>1.4918459648023791E-2</v>
      </c>
      <c r="Z914" s="27">
        <f t="shared" si="304"/>
        <v>9.3593091307396757E-3</v>
      </c>
      <c r="AA914" s="27"/>
      <c r="AB914" s="40"/>
      <c r="AC914" s="56">
        <f t="shared" si="307"/>
        <v>0</v>
      </c>
      <c r="AE914" s="20">
        <f t="shared" si="286"/>
        <v>26325</v>
      </c>
      <c r="AF914" s="20">
        <f t="shared" si="308"/>
        <v>1515011442.3000002</v>
      </c>
      <c r="AG914">
        <f t="shared" si="300"/>
        <v>0</v>
      </c>
      <c r="AH914">
        <f t="shared" si="301"/>
        <v>0</v>
      </c>
      <c r="AI914">
        <f t="shared" si="302"/>
        <v>16624201242.6</v>
      </c>
    </row>
    <row r="915" spans="2:35" x14ac:dyDescent="0.25">
      <c r="B915" s="4">
        <v>2024</v>
      </c>
      <c r="C915" s="4" t="s">
        <v>241</v>
      </c>
      <c r="D915" s="1" t="s">
        <v>570</v>
      </c>
      <c r="E915" s="4" t="str">
        <f t="shared" si="309"/>
        <v>CtPt-MN</v>
      </c>
      <c r="F915" s="4" t="s">
        <v>146</v>
      </c>
      <c r="G915" s="4"/>
      <c r="H915" s="11" t="s">
        <v>596</v>
      </c>
      <c r="I915" s="4"/>
      <c r="J915" s="4" t="s">
        <v>71</v>
      </c>
      <c r="K915" s="5">
        <v>157300</v>
      </c>
      <c r="L915" s="5">
        <f t="shared" si="297"/>
        <v>157300</v>
      </c>
      <c r="M915" s="8">
        <v>237057</v>
      </c>
      <c r="N915" s="8">
        <v>125840</v>
      </c>
      <c r="O915" s="8">
        <f>SUMIFS(EIAwtransport!$J$2:$J$675,EIAwtransport!$E$2:$E$675,Program_data!$E915,EIAwtransport!$H$2:$H$675,Program_data!$F915,EIAwtransport!$I$2:$I$675,Program_data!O$2)</f>
        <v>450708420</v>
      </c>
      <c r="P915" s="5">
        <f>SUMIFS(EIAwtransport!$J$2:$J$675,EIAwtransport!$E$2:$E$675,Program_data!$E915,EIAwtransport!$H$2:$H$675,Program_data!$F915,EIAwtransport!$I$2:$I$675,Program_data!P$2)</f>
        <v>89362251</v>
      </c>
      <c r="Q915" s="5">
        <f>SUMIFS(EIAwtransport!$J$2:$J$675,EIAwtransport!$E$2:$E$675,Program_data!$E915,EIAwtransport!$H$2:$H$675,Program_data!$F915,EIAwtransport!$I$2:$I$675,Program_data!Q$2)</f>
        <v>71286</v>
      </c>
      <c r="R915" s="8">
        <f>SUMIFS(EIAwtransport!$J$2:$J$675,EIAwtransport!$E$2:$E$675,Program_data!$E915,EIAwtransport!$I$2:$I$675,Program_data!R$2)</f>
        <v>1122230698</v>
      </c>
      <c r="S915" s="5">
        <f>SUMIFS(EIAwtransport!$J$2:$J$675,EIAwtransport!$E$2:$E$675,Program_data!$E915,EIAwtransport!$I$2:$I$675,Program_data!S$2)</f>
        <v>157605245</v>
      </c>
      <c r="T915" s="5">
        <f>SUMIFS(EIAwtransport!$J$2:$J$675,EIAwtransport!$E$2:$E$675,Program_data!$E915,EIAwtransport!$I$2:$I$675,Program_data!T$2)</f>
        <v>892595</v>
      </c>
      <c r="U915" s="24">
        <f t="shared" si="291"/>
        <v>9.633814968148861E-5</v>
      </c>
      <c r="V915" s="24">
        <f t="shared" si="292"/>
        <v>9.633814968148861E-5</v>
      </c>
      <c r="W915" s="24">
        <f t="shared" si="293"/>
        <v>2.1123731548466337E-4</v>
      </c>
      <c r="X915" s="25">
        <f t="shared" si="294"/>
        <v>1.4518520501617701E-4</v>
      </c>
      <c r="Y915" s="8">
        <f t="shared" si="303"/>
        <v>2.0398597740000208E-2</v>
      </c>
      <c r="Z915" s="27">
        <f t="shared" si="304"/>
        <v>1.279735217888664E-2</v>
      </c>
      <c r="AA915" s="27"/>
      <c r="AB915" s="40"/>
      <c r="AC915" s="56">
        <f t="shared" si="307"/>
        <v>3.4351726255046214E-3</v>
      </c>
      <c r="AE915" s="20">
        <f t="shared" si="286"/>
        <v>169884</v>
      </c>
      <c r="AF915" s="20">
        <f t="shared" si="308"/>
        <v>1515011442.3000002</v>
      </c>
      <c r="AG915">
        <f t="shared" si="300"/>
        <v>16592004</v>
      </c>
      <c r="AH915">
        <f t="shared" si="301"/>
        <v>16592004</v>
      </c>
      <c r="AI915">
        <f t="shared" si="302"/>
        <v>16624201242.6</v>
      </c>
    </row>
    <row r="916" spans="2:35" x14ac:dyDescent="0.25">
      <c r="B916" s="4">
        <v>2024</v>
      </c>
      <c r="C916" s="4" t="s">
        <v>241</v>
      </c>
      <c r="D916" s="1" t="s">
        <v>570</v>
      </c>
      <c r="E916" s="4" t="str">
        <f t="shared" si="309"/>
        <v>CtPt-MN</v>
      </c>
      <c r="F916" s="4" t="s">
        <v>146</v>
      </c>
      <c r="G916" s="4"/>
      <c r="H916" s="11" t="s">
        <v>597</v>
      </c>
      <c r="I916" s="4"/>
      <c r="J916" s="4" t="s">
        <v>21</v>
      </c>
      <c r="K916" s="5">
        <v>640550</v>
      </c>
      <c r="L916" s="5">
        <f t="shared" si="297"/>
        <v>640550</v>
      </c>
      <c r="M916" s="8">
        <v>1469447</v>
      </c>
      <c r="N916" s="8">
        <v>502963</v>
      </c>
      <c r="O916" s="8">
        <f>SUMIFS(EIAwtransport!$J$2:$J$675,EIAwtransport!$E$2:$E$675,Program_data!$E916,EIAwtransport!$H$2:$H$675,Program_data!$F916,EIAwtransport!$I$2:$I$675,Program_data!O$2)</f>
        <v>450708420</v>
      </c>
      <c r="P916" s="5">
        <f>SUMIFS(EIAwtransport!$J$2:$J$675,EIAwtransport!$E$2:$E$675,Program_data!$E916,EIAwtransport!$H$2:$H$675,Program_data!$F916,EIAwtransport!$I$2:$I$675,Program_data!P$2)</f>
        <v>89362251</v>
      </c>
      <c r="Q916" s="5">
        <f>SUMIFS(EIAwtransport!$J$2:$J$675,EIAwtransport!$E$2:$E$675,Program_data!$E916,EIAwtransport!$H$2:$H$675,Program_data!$F916,EIAwtransport!$I$2:$I$675,Program_data!Q$2)</f>
        <v>71286</v>
      </c>
      <c r="R916" s="8">
        <f>SUMIFS(EIAwtransport!$J$2:$J$675,EIAwtransport!$E$2:$E$675,Program_data!$E916,EIAwtransport!$I$2:$I$675,Program_data!R$2)</f>
        <v>1122230698</v>
      </c>
      <c r="S916" s="5">
        <f>SUMIFS(EIAwtransport!$J$2:$J$675,EIAwtransport!$E$2:$E$675,Program_data!$E916,EIAwtransport!$I$2:$I$675,Program_data!S$2)</f>
        <v>157605245</v>
      </c>
      <c r="T916" s="5">
        <f>SUMIFS(EIAwtransport!$J$2:$J$675,EIAwtransport!$E$2:$E$675,Program_data!$E916,EIAwtransport!$I$2:$I$675,Program_data!T$2)</f>
        <v>892595</v>
      </c>
      <c r="U916" s="24">
        <f t="shared" si="291"/>
        <v>3.9230388924651956E-4</v>
      </c>
      <c r="V916" s="24">
        <f t="shared" si="292"/>
        <v>3.9230388924651956E-4</v>
      </c>
      <c r="W916" s="24">
        <f t="shared" si="293"/>
        <v>1.3093983283640313E-3</v>
      </c>
      <c r="X916" s="25">
        <f t="shared" si="294"/>
        <v>8.999606168786675E-4</v>
      </c>
      <c r="Y916" s="8">
        <f t="shared" si="303"/>
        <v>0.1264449404710685</v>
      </c>
      <c r="Z916" s="27">
        <f t="shared" si="304"/>
        <v>7.9327042724781111E-2</v>
      </c>
      <c r="AA916" s="27"/>
      <c r="AB916" s="40"/>
      <c r="AC916" s="56">
        <f t="shared" si="307"/>
        <v>1.3988555786821268E-2</v>
      </c>
      <c r="AE916" s="20">
        <f t="shared" si="286"/>
        <v>679000.05</v>
      </c>
      <c r="AF916" s="20">
        <f t="shared" si="308"/>
        <v>1515011442.3000002</v>
      </c>
      <c r="AG916">
        <f t="shared" si="300"/>
        <v>67565214</v>
      </c>
      <c r="AH916">
        <f t="shared" si="301"/>
        <v>67565214</v>
      </c>
      <c r="AI916">
        <f t="shared" si="302"/>
        <v>16624201242.6</v>
      </c>
    </row>
    <row r="917" spans="2:35" x14ac:dyDescent="0.25">
      <c r="B917" s="4">
        <v>2024</v>
      </c>
      <c r="C917" s="4" t="s">
        <v>241</v>
      </c>
      <c r="D917" s="1" t="s">
        <v>570</v>
      </c>
      <c r="E917" s="4" t="str">
        <f t="shared" si="309"/>
        <v>CtPt-MN</v>
      </c>
      <c r="F917" s="4" t="s">
        <v>306</v>
      </c>
      <c r="G917" s="4"/>
      <c r="H917" s="11" t="s">
        <v>598</v>
      </c>
      <c r="I917" s="4"/>
      <c r="J917" s="4" t="s">
        <v>155</v>
      </c>
      <c r="K917" s="5">
        <v>0</v>
      </c>
      <c r="L917" s="5">
        <f t="shared" si="297"/>
        <v>0</v>
      </c>
      <c r="M917" s="8">
        <v>0</v>
      </c>
      <c r="N917" s="8">
        <v>1487000</v>
      </c>
      <c r="O917" s="8">
        <f>SUMIFS(EIAwtransport!$J$2:$J$675,EIAwtransport!$E$2:$E$675,Program_data!$E917,EIAwtransport!$H$2:$H$675,Program_data!$F917,EIAwtransport!$I$2:$I$675,Program_data!O$2)</f>
        <v>0</v>
      </c>
      <c r="P917" s="5">
        <f>SUMIFS(EIAwtransport!$J$2:$J$675,EIAwtransport!$E$2:$E$675,Program_data!$E917,EIAwtransport!$H$2:$H$675,Program_data!$F917,EIAwtransport!$I$2:$I$675,Program_data!P$2)</f>
        <v>0</v>
      </c>
      <c r="Q917" s="5">
        <f>SUMIFS(EIAwtransport!$J$2:$J$675,EIAwtransport!$E$2:$E$675,Program_data!$E917,EIAwtransport!$H$2:$H$675,Program_data!$F917,EIAwtransport!$I$2:$I$675,Program_data!Q$2)</f>
        <v>0</v>
      </c>
      <c r="R917" s="8">
        <f>SUMIFS(EIAwtransport!$J$2:$J$675,EIAwtransport!$E$2:$E$675,Program_data!$E917,EIAwtransport!$I$2:$I$675,Program_data!R$2)</f>
        <v>1122230698</v>
      </c>
      <c r="S917" s="5">
        <f>SUMIFS(EIAwtransport!$J$2:$J$675,EIAwtransport!$E$2:$E$675,Program_data!$E917,EIAwtransport!$I$2:$I$675,Program_data!S$2)</f>
        <v>157605245</v>
      </c>
      <c r="T917" s="5">
        <f>SUMIFS(EIAwtransport!$J$2:$J$675,EIAwtransport!$E$2:$E$675,Program_data!$E917,EIAwtransport!$I$2:$I$675,Program_data!T$2)</f>
        <v>892595</v>
      </c>
      <c r="U917" s="24">
        <f t="shared" si="291"/>
        <v>0</v>
      </c>
      <c r="V917" s="24">
        <f t="shared" si="292"/>
        <v>0</v>
      </c>
      <c r="W917" s="24">
        <f t="shared" si="293"/>
        <v>0</v>
      </c>
      <c r="X917" s="25">
        <f t="shared" si="294"/>
        <v>0</v>
      </c>
      <c r="Y917" s="8" t="str">
        <f t="shared" si="303"/>
        <v/>
      </c>
      <c r="Z917" s="27">
        <f t="shared" si="304"/>
        <v>0</v>
      </c>
      <c r="AA917" s="27"/>
      <c r="AB917" s="40"/>
      <c r="AC917" s="56">
        <f t="shared" si="307"/>
        <v>0</v>
      </c>
      <c r="AE917" s="20">
        <f t="shared" si="286"/>
        <v>2007450.0000000002</v>
      </c>
      <c r="AF917" s="20">
        <f t="shared" si="308"/>
        <v>1515011442.3000002</v>
      </c>
      <c r="AG917">
        <f t="shared" si="300"/>
        <v>0</v>
      </c>
      <c r="AH917">
        <f t="shared" si="301"/>
        <v>0</v>
      </c>
      <c r="AI917">
        <f t="shared" si="302"/>
        <v>16624201242.6</v>
      </c>
    </row>
    <row r="918" spans="2:35" x14ac:dyDescent="0.25">
      <c r="B918" s="4">
        <v>2024</v>
      </c>
      <c r="C918" s="4" t="s">
        <v>241</v>
      </c>
      <c r="D918" s="1" t="s">
        <v>570</v>
      </c>
      <c r="E918" s="4" t="str">
        <f t="shared" si="309"/>
        <v>CtPt-MN</v>
      </c>
      <c r="F918" s="4" t="s">
        <v>306</v>
      </c>
      <c r="G918" s="4"/>
      <c r="H918" s="11" t="s">
        <v>599</v>
      </c>
      <c r="I918" s="4"/>
      <c r="J918" s="4" t="s">
        <v>155</v>
      </c>
      <c r="K918" s="5">
        <v>0</v>
      </c>
      <c r="L918" s="5">
        <f t="shared" si="297"/>
        <v>0</v>
      </c>
      <c r="M918" s="8">
        <v>0</v>
      </c>
      <c r="N918" s="8">
        <v>1002000</v>
      </c>
      <c r="O918" s="8">
        <f>SUMIFS(EIAwtransport!$J$2:$J$675,EIAwtransport!$E$2:$E$675,Program_data!$E918,EIAwtransport!$H$2:$H$675,Program_data!$F918,EIAwtransport!$I$2:$I$675,Program_data!O$2)</f>
        <v>0</v>
      </c>
      <c r="P918" s="5">
        <f>SUMIFS(EIAwtransport!$J$2:$J$675,EIAwtransport!$E$2:$E$675,Program_data!$E918,EIAwtransport!$H$2:$H$675,Program_data!$F918,EIAwtransport!$I$2:$I$675,Program_data!P$2)</f>
        <v>0</v>
      </c>
      <c r="Q918" s="5">
        <f>SUMIFS(EIAwtransport!$J$2:$J$675,EIAwtransport!$E$2:$E$675,Program_data!$E918,EIAwtransport!$H$2:$H$675,Program_data!$F918,EIAwtransport!$I$2:$I$675,Program_data!Q$2)</f>
        <v>0</v>
      </c>
      <c r="R918" s="8">
        <f>SUMIFS(EIAwtransport!$J$2:$J$675,EIAwtransport!$E$2:$E$675,Program_data!$E918,EIAwtransport!$I$2:$I$675,Program_data!R$2)</f>
        <v>1122230698</v>
      </c>
      <c r="S918" s="5">
        <f>SUMIFS(EIAwtransport!$J$2:$J$675,EIAwtransport!$E$2:$E$675,Program_data!$E918,EIAwtransport!$I$2:$I$675,Program_data!S$2)</f>
        <v>157605245</v>
      </c>
      <c r="T918" s="5">
        <f>SUMIFS(EIAwtransport!$J$2:$J$675,EIAwtransport!$E$2:$E$675,Program_data!$E918,EIAwtransport!$I$2:$I$675,Program_data!T$2)</f>
        <v>892595</v>
      </c>
      <c r="U918" s="24">
        <f t="shared" si="291"/>
        <v>0</v>
      </c>
      <c r="V918" s="24">
        <f t="shared" si="292"/>
        <v>0</v>
      </c>
      <c r="W918" s="24">
        <f t="shared" si="293"/>
        <v>0</v>
      </c>
      <c r="X918" s="25">
        <f t="shared" si="294"/>
        <v>0</v>
      </c>
      <c r="Y918" s="8" t="str">
        <f t="shared" si="303"/>
        <v/>
      </c>
      <c r="Z918" s="27">
        <f t="shared" si="304"/>
        <v>0</v>
      </c>
      <c r="AA918" s="27"/>
      <c r="AB918" s="40"/>
      <c r="AC918" s="56">
        <f t="shared" si="307"/>
        <v>0</v>
      </c>
      <c r="AE918" s="20">
        <f t="shared" si="286"/>
        <v>1352700</v>
      </c>
      <c r="AF918" s="20">
        <f t="shared" si="308"/>
        <v>1515011442.3000002</v>
      </c>
      <c r="AG918">
        <f t="shared" si="300"/>
        <v>0</v>
      </c>
      <c r="AH918">
        <f t="shared" si="301"/>
        <v>0</v>
      </c>
      <c r="AI918">
        <f t="shared" si="302"/>
        <v>16624201242.6</v>
      </c>
    </row>
    <row r="919" spans="2:35" x14ac:dyDescent="0.25">
      <c r="B919" s="4">
        <v>2024</v>
      </c>
      <c r="C919" s="4" t="s">
        <v>241</v>
      </c>
      <c r="D919" s="1" t="s">
        <v>570</v>
      </c>
      <c r="E919" s="4" t="str">
        <f t="shared" si="309"/>
        <v>CtPt-MN</v>
      </c>
      <c r="F919" s="4" t="s">
        <v>306</v>
      </c>
      <c r="G919" s="4"/>
      <c r="H919" s="11" t="s">
        <v>600</v>
      </c>
      <c r="I919" s="4"/>
      <c r="J919" s="4" t="s">
        <v>155</v>
      </c>
      <c r="K919" s="5">
        <v>0</v>
      </c>
      <c r="L919" s="5">
        <f t="shared" si="297"/>
        <v>0</v>
      </c>
      <c r="M919" s="8">
        <v>0</v>
      </c>
      <c r="N919" s="8">
        <v>250000</v>
      </c>
      <c r="O919" s="8">
        <f>SUMIFS(EIAwtransport!$J$2:$J$675,EIAwtransport!$E$2:$E$675,Program_data!$E919,EIAwtransport!$H$2:$H$675,Program_data!$F919,EIAwtransport!$I$2:$I$675,Program_data!O$2)</f>
        <v>0</v>
      </c>
      <c r="P919" s="5">
        <f>SUMIFS(EIAwtransport!$J$2:$J$675,EIAwtransport!$E$2:$E$675,Program_data!$E919,EIAwtransport!$H$2:$H$675,Program_data!$F919,EIAwtransport!$I$2:$I$675,Program_data!P$2)</f>
        <v>0</v>
      </c>
      <c r="Q919" s="5">
        <f>SUMIFS(EIAwtransport!$J$2:$J$675,EIAwtransport!$E$2:$E$675,Program_data!$E919,EIAwtransport!$H$2:$H$675,Program_data!$F919,EIAwtransport!$I$2:$I$675,Program_data!Q$2)</f>
        <v>0</v>
      </c>
      <c r="R919" s="8">
        <f>SUMIFS(EIAwtransport!$J$2:$J$675,EIAwtransport!$E$2:$E$675,Program_data!$E919,EIAwtransport!$I$2:$I$675,Program_data!R$2)</f>
        <v>1122230698</v>
      </c>
      <c r="S919" s="5">
        <f>SUMIFS(EIAwtransport!$J$2:$J$675,EIAwtransport!$E$2:$E$675,Program_data!$E919,EIAwtransport!$I$2:$I$675,Program_data!S$2)</f>
        <v>157605245</v>
      </c>
      <c r="T919" s="5">
        <f>SUMIFS(EIAwtransport!$J$2:$J$675,EIAwtransport!$E$2:$E$675,Program_data!$E919,EIAwtransport!$I$2:$I$675,Program_data!T$2)</f>
        <v>892595</v>
      </c>
      <c r="U919" s="24">
        <f t="shared" si="291"/>
        <v>0</v>
      </c>
      <c r="V919" s="24">
        <f t="shared" si="292"/>
        <v>0</v>
      </c>
      <c r="W919" s="24">
        <f t="shared" si="293"/>
        <v>0</v>
      </c>
      <c r="X919" s="25">
        <f t="shared" si="294"/>
        <v>0</v>
      </c>
      <c r="Y919" s="8" t="str">
        <f t="shared" si="303"/>
        <v/>
      </c>
      <c r="Z919" s="27">
        <f t="shared" si="304"/>
        <v>0</v>
      </c>
      <c r="AA919" s="27"/>
      <c r="AB919" s="40"/>
      <c r="AC919" s="56">
        <f t="shared" si="307"/>
        <v>0</v>
      </c>
      <c r="AE919" s="20">
        <f t="shared" si="286"/>
        <v>337500</v>
      </c>
      <c r="AF919" s="20">
        <f t="shared" si="308"/>
        <v>1515011442.3000002</v>
      </c>
      <c r="AG919">
        <f t="shared" si="300"/>
        <v>0</v>
      </c>
      <c r="AH919">
        <f t="shared" si="301"/>
        <v>0</v>
      </c>
      <c r="AI919">
        <f t="shared" si="302"/>
        <v>16624201242.6</v>
      </c>
    </row>
    <row r="920" spans="2:35" x14ac:dyDescent="0.25">
      <c r="B920" s="4">
        <v>2024</v>
      </c>
      <c r="C920" s="4" t="s">
        <v>241</v>
      </c>
      <c r="D920" s="1" t="s">
        <v>570</v>
      </c>
      <c r="E920" s="4" t="str">
        <f t="shared" si="309"/>
        <v>CtPt-MN</v>
      </c>
      <c r="F920" s="4" t="s">
        <v>135</v>
      </c>
      <c r="G920" s="4"/>
      <c r="H920" s="11" t="s">
        <v>601</v>
      </c>
      <c r="I920" s="4"/>
      <c r="J920" s="4" t="s">
        <v>155</v>
      </c>
      <c r="K920" s="5">
        <v>0</v>
      </c>
      <c r="L920" s="5">
        <f t="shared" si="297"/>
        <v>0</v>
      </c>
      <c r="M920" s="8">
        <v>0</v>
      </c>
      <c r="N920" s="8">
        <v>518224</v>
      </c>
      <c r="O920" s="8">
        <f>SUMIFS(EIAwtransport!$J$2:$J$675,EIAwtransport!$E$2:$E$675,Program_data!$E920,EIAwtransport!$H$2:$H$675,Program_data!$F920,EIAwtransport!$I$2:$I$675,Program_data!O$2)</f>
        <v>671522278</v>
      </c>
      <c r="P920" s="5">
        <f>SUMIFS(EIAwtransport!$J$2:$J$675,EIAwtransport!$E$2:$E$675,Program_data!$E920,EIAwtransport!$H$2:$H$675,Program_data!$F920,EIAwtransport!$I$2:$I$675,Program_data!P$2)</f>
        <v>68242994</v>
      </c>
      <c r="Q920" s="5">
        <f>SUMIFS(EIAwtransport!$J$2:$J$675,EIAwtransport!$E$2:$E$675,Program_data!$E920,EIAwtransport!$H$2:$H$675,Program_data!$F920,EIAwtransport!$I$2:$I$675,Program_data!Q$2)</f>
        <v>821309</v>
      </c>
      <c r="R920" s="8">
        <f>SUMIFS(EIAwtransport!$J$2:$J$675,EIAwtransport!$E$2:$E$675,Program_data!$E920,EIAwtransport!$I$2:$I$675,Program_data!R$2)</f>
        <v>1122230698</v>
      </c>
      <c r="S920" s="5">
        <f>SUMIFS(EIAwtransport!$J$2:$J$675,EIAwtransport!$E$2:$E$675,Program_data!$E920,EIAwtransport!$I$2:$I$675,Program_data!S$2)</f>
        <v>157605245</v>
      </c>
      <c r="T920" s="5">
        <f>SUMIFS(EIAwtransport!$J$2:$J$675,EIAwtransport!$E$2:$E$675,Program_data!$E920,EIAwtransport!$I$2:$I$675,Program_data!T$2)</f>
        <v>892595</v>
      </c>
      <c r="U920" s="24">
        <f t="shared" si="291"/>
        <v>0</v>
      </c>
      <c r="V920" s="24">
        <f t="shared" si="292"/>
        <v>0</v>
      </c>
      <c r="W920" s="24">
        <f t="shared" si="293"/>
        <v>0</v>
      </c>
      <c r="X920" s="25">
        <f t="shared" si="294"/>
        <v>0</v>
      </c>
      <c r="Y920" s="8">
        <f t="shared" si="303"/>
        <v>0</v>
      </c>
      <c r="Z920" s="27">
        <f t="shared" si="304"/>
        <v>0</v>
      </c>
      <c r="AA920" s="27"/>
      <c r="AB920" s="40"/>
      <c r="AC920" s="56">
        <f t="shared" si="307"/>
        <v>0</v>
      </c>
      <c r="AE920" s="20">
        <f t="shared" si="286"/>
        <v>699602.4</v>
      </c>
      <c r="AF920" s="20">
        <f t="shared" si="308"/>
        <v>1515011442.3000002</v>
      </c>
      <c r="AG920">
        <f t="shared" si="300"/>
        <v>0</v>
      </c>
      <c r="AH920">
        <f t="shared" si="301"/>
        <v>0</v>
      </c>
      <c r="AI920">
        <f t="shared" si="302"/>
        <v>16624201242.6</v>
      </c>
    </row>
    <row r="921" spans="2:35" x14ac:dyDescent="0.25">
      <c r="B921" s="4">
        <v>2024</v>
      </c>
      <c r="C921" s="4" t="s">
        <v>241</v>
      </c>
      <c r="D921" s="1" t="s">
        <v>570</v>
      </c>
      <c r="E921" s="4" t="str">
        <f t="shared" si="309"/>
        <v>CtPt-MN</v>
      </c>
      <c r="F921" s="4" t="s">
        <v>135</v>
      </c>
      <c r="G921" s="4"/>
      <c r="H921" s="11" t="s">
        <v>602</v>
      </c>
      <c r="I921" s="4"/>
      <c r="J921" s="4" t="s">
        <v>21</v>
      </c>
      <c r="K921" s="5">
        <v>67070</v>
      </c>
      <c r="L921" s="5">
        <f t="shared" si="297"/>
        <v>67070</v>
      </c>
      <c r="M921" s="8">
        <v>250000</v>
      </c>
      <c r="N921" s="8">
        <v>305750</v>
      </c>
      <c r="O921" s="8">
        <f>SUMIFS(EIAwtransport!$J$2:$J$675,EIAwtransport!$E$2:$E$675,Program_data!$E921,EIAwtransport!$H$2:$H$675,Program_data!$F921,EIAwtransport!$I$2:$I$675,Program_data!O$2)</f>
        <v>671522278</v>
      </c>
      <c r="P921" s="5">
        <f>SUMIFS(EIAwtransport!$J$2:$J$675,EIAwtransport!$E$2:$E$675,Program_data!$E921,EIAwtransport!$H$2:$H$675,Program_data!$F921,EIAwtransport!$I$2:$I$675,Program_data!P$2)</f>
        <v>68242994</v>
      </c>
      <c r="Q921" s="5">
        <f>SUMIFS(EIAwtransport!$J$2:$J$675,EIAwtransport!$E$2:$E$675,Program_data!$E921,EIAwtransport!$H$2:$H$675,Program_data!$F921,EIAwtransport!$I$2:$I$675,Program_data!Q$2)</f>
        <v>821309</v>
      </c>
      <c r="R921" s="8">
        <f>SUMIFS(EIAwtransport!$J$2:$J$675,EIAwtransport!$E$2:$E$675,Program_data!$E921,EIAwtransport!$I$2:$I$675,Program_data!R$2)</f>
        <v>1122230698</v>
      </c>
      <c r="S921" s="5">
        <f>SUMIFS(EIAwtransport!$J$2:$J$675,EIAwtransport!$E$2:$E$675,Program_data!$E921,EIAwtransport!$I$2:$I$675,Program_data!S$2)</f>
        <v>157605245</v>
      </c>
      <c r="T921" s="5">
        <f>SUMIFS(EIAwtransport!$J$2:$J$675,EIAwtransport!$E$2:$E$675,Program_data!$E921,EIAwtransport!$I$2:$I$675,Program_data!T$2)</f>
        <v>892595</v>
      </c>
      <c r="U921" s="24">
        <f t="shared" si="291"/>
        <v>4.107692116425582E-5</v>
      </c>
      <c r="V921" s="24">
        <f t="shared" si="292"/>
        <v>4.107692116425582E-5</v>
      </c>
      <c r="W921" s="24">
        <f t="shared" si="293"/>
        <v>2.2277059471420733E-4</v>
      </c>
      <c r="X921" s="25">
        <f t="shared" si="294"/>
        <v>1.5311212600363733E-4</v>
      </c>
      <c r="Y921" s="8">
        <f t="shared" si="303"/>
        <v>3.8316231521997347E-2</v>
      </c>
      <c r="Z921" s="27">
        <f t="shared" si="304"/>
        <v>1.3496070753960691E-2</v>
      </c>
      <c r="AA921" s="27"/>
      <c r="AB921" s="40"/>
      <c r="AC921" s="56">
        <f t="shared" si="307"/>
        <v>1.4646982072002222E-3</v>
      </c>
      <c r="AE921" s="20">
        <f t="shared" si="286"/>
        <v>412762.5</v>
      </c>
      <c r="AF921" s="20">
        <f t="shared" si="308"/>
        <v>1515011442.3000002</v>
      </c>
      <c r="AG921">
        <f t="shared" si="300"/>
        <v>7074543.6000000006</v>
      </c>
      <c r="AH921">
        <f t="shared" si="301"/>
        <v>7074543.6000000006</v>
      </c>
      <c r="AI921">
        <f t="shared" si="302"/>
        <v>16624201242.6</v>
      </c>
    </row>
    <row r="922" spans="2:35" x14ac:dyDescent="0.25">
      <c r="B922" s="4">
        <v>2024</v>
      </c>
      <c r="C922" s="4" t="s">
        <v>241</v>
      </c>
      <c r="D922" s="1" t="s">
        <v>570</v>
      </c>
      <c r="E922" s="4" t="str">
        <f t="shared" si="309"/>
        <v>CtPt-MN</v>
      </c>
      <c r="F922" s="4" t="s">
        <v>135</v>
      </c>
      <c r="G922" s="4"/>
      <c r="H922" s="11" t="s">
        <v>603</v>
      </c>
      <c r="I922" s="4"/>
      <c r="J922" s="4" t="s">
        <v>155</v>
      </c>
      <c r="K922" s="5">
        <v>0</v>
      </c>
      <c r="L922" s="5">
        <f t="shared" ref="L922:L953" si="310">K922</f>
        <v>0</v>
      </c>
      <c r="M922" s="8">
        <v>0</v>
      </c>
      <c r="N922" s="8">
        <v>60563</v>
      </c>
      <c r="O922" s="8">
        <f>SUMIFS(EIAwtransport!$J$2:$J$675,EIAwtransport!$E$2:$E$675,Program_data!$E922,EIAwtransport!$H$2:$H$675,Program_data!$F922,EIAwtransport!$I$2:$I$675,Program_data!O$2)</f>
        <v>671522278</v>
      </c>
      <c r="P922" s="5">
        <f>SUMIFS(EIAwtransport!$J$2:$J$675,EIAwtransport!$E$2:$E$675,Program_data!$E922,EIAwtransport!$H$2:$H$675,Program_data!$F922,EIAwtransport!$I$2:$I$675,Program_data!P$2)</f>
        <v>68242994</v>
      </c>
      <c r="Q922" s="5">
        <f>SUMIFS(EIAwtransport!$J$2:$J$675,EIAwtransport!$E$2:$E$675,Program_data!$E922,EIAwtransport!$H$2:$H$675,Program_data!$F922,EIAwtransport!$I$2:$I$675,Program_data!Q$2)</f>
        <v>821309</v>
      </c>
      <c r="R922" s="8">
        <f>SUMIFS(EIAwtransport!$J$2:$J$675,EIAwtransport!$E$2:$E$675,Program_data!$E922,EIAwtransport!$I$2:$I$675,Program_data!R$2)</f>
        <v>1122230698</v>
      </c>
      <c r="S922" s="5">
        <f>SUMIFS(EIAwtransport!$J$2:$J$675,EIAwtransport!$E$2:$E$675,Program_data!$E922,EIAwtransport!$I$2:$I$675,Program_data!S$2)</f>
        <v>157605245</v>
      </c>
      <c r="T922" s="5">
        <f>SUMIFS(EIAwtransport!$J$2:$J$675,EIAwtransport!$E$2:$E$675,Program_data!$E922,EIAwtransport!$I$2:$I$675,Program_data!T$2)</f>
        <v>892595</v>
      </c>
      <c r="U922" s="24">
        <f t="shared" si="291"/>
        <v>0</v>
      </c>
      <c r="V922" s="24">
        <f t="shared" si="292"/>
        <v>0</v>
      </c>
      <c r="W922" s="24">
        <f t="shared" si="293"/>
        <v>0</v>
      </c>
      <c r="X922" s="25">
        <f t="shared" si="294"/>
        <v>0</v>
      </c>
      <c r="Y922" s="8">
        <f t="shared" si="303"/>
        <v>0</v>
      </c>
      <c r="Z922" s="27">
        <f t="shared" si="304"/>
        <v>0</v>
      </c>
      <c r="AA922" s="27"/>
      <c r="AB922" s="40"/>
      <c r="AC922" s="56">
        <f t="shared" si="307"/>
        <v>0</v>
      </c>
      <c r="AE922" s="20">
        <f t="shared" si="286"/>
        <v>81760.05</v>
      </c>
      <c r="AF922" s="20">
        <f t="shared" si="308"/>
        <v>1515011442.3000002</v>
      </c>
      <c r="AG922">
        <f t="shared" si="300"/>
        <v>0</v>
      </c>
      <c r="AH922">
        <f t="shared" si="301"/>
        <v>0</v>
      </c>
      <c r="AI922">
        <f t="shared" si="302"/>
        <v>16624201242.6</v>
      </c>
    </row>
    <row r="923" spans="2:35" x14ac:dyDescent="0.25">
      <c r="B923" s="4">
        <v>2024</v>
      </c>
      <c r="C923" s="4" t="s">
        <v>241</v>
      </c>
      <c r="D923" s="1" t="s">
        <v>570</v>
      </c>
      <c r="E923" s="4" t="str">
        <f t="shared" si="309"/>
        <v>CtPt-MN</v>
      </c>
      <c r="F923" s="4" t="s">
        <v>135</v>
      </c>
      <c r="G923" s="4"/>
      <c r="H923" s="11" t="s">
        <v>604</v>
      </c>
      <c r="I923" s="4"/>
      <c r="J923" s="4" t="s">
        <v>21</v>
      </c>
      <c r="K923" s="5">
        <v>6070</v>
      </c>
      <c r="L923" s="5">
        <f t="shared" si="310"/>
        <v>6070</v>
      </c>
      <c r="M923" s="8">
        <v>40000</v>
      </c>
      <c r="N923" s="8">
        <v>51313</v>
      </c>
      <c r="O923" s="8">
        <f>SUMIFS(EIAwtransport!$J$2:$J$675,EIAwtransport!$E$2:$E$675,Program_data!$E923,EIAwtransport!$H$2:$H$675,Program_data!$F923,EIAwtransport!$I$2:$I$675,Program_data!O$2)</f>
        <v>671522278</v>
      </c>
      <c r="P923" s="5">
        <f>SUMIFS(EIAwtransport!$J$2:$J$675,EIAwtransport!$E$2:$E$675,Program_data!$E923,EIAwtransport!$H$2:$H$675,Program_data!$F923,EIAwtransport!$I$2:$I$675,Program_data!P$2)</f>
        <v>68242994</v>
      </c>
      <c r="Q923" s="5">
        <f>SUMIFS(EIAwtransport!$J$2:$J$675,EIAwtransport!$E$2:$E$675,Program_data!$E923,EIAwtransport!$H$2:$H$675,Program_data!$F923,EIAwtransport!$I$2:$I$675,Program_data!Q$2)</f>
        <v>821309</v>
      </c>
      <c r="R923" s="8">
        <f>SUMIFS(EIAwtransport!$J$2:$J$675,EIAwtransport!$E$2:$E$675,Program_data!$E923,EIAwtransport!$I$2:$I$675,Program_data!R$2)</f>
        <v>1122230698</v>
      </c>
      <c r="S923" s="5">
        <f>SUMIFS(EIAwtransport!$J$2:$J$675,EIAwtransport!$E$2:$E$675,Program_data!$E923,EIAwtransport!$I$2:$I$675,Program_data!S$2)</f>
        <v>157605245</v>
      </c>
      <c r="T923" s="5">
        <f>SUMIFS(EIAwtransport!$J$2:$J$675,EIAwtransport!$E$2:$E$675,Program_data!$E923,EIAwtransport!$I$2:$I$675,Program_data!T$2)</f>
        <v>892595</v>
      </c>
      <c r="U923" s="24">
        <f t="shared" si="291"/>
        <v>3.717562419368314E-6</v>
      </c>
      <c r="V923" s="24">
        <f t="shared" si="292"/>
        <v>3.717562419368314E-6</v>
      </c>
      <c r="W923" s="24">
        <f t="shared" si="293"/>
        <v>3.5643295154273171E-5</v>
      </c>
      <c r="X923" s="25">
        <f t="shared" si="294"/>
        <v>2.4497940160581977E-5</v>
      </c>
      <c r="Y923" s="8">
        <f t="shared" si="303"/>
        <v>6.1305970435195757E-3</v>
      </c>
      <c r="Z923" s="27">
        <f t="shared" si="304"/>
        <v>2.1593713206337108E-3</v>
      </c>
      <c r="AA923" s="27"/>
      <c r="AB923" s="40"/>
      <c r="AC923" s="56">
        <f t="shared" si="307"/>
        <v>1.3255879107954897E-4</v>
      </c>
      <c r="AE923" s="20">
        <f t="shared" si="286"/>
        <v>69272.55</v>
      </c>
      <c r="AF923" s="20">
        <f t="shared" si="308"/>
        <v>1515011442.3000002</v>
      </c>
      <c r="AG923">
        <f t="shared" si="300"/>
        <v>640263.6</v>
      </c>
      <c r="AH923">
        <f t="shared" si="301"/>
        <v>640263.6</v>
      </c>
      <c r="AI923">
        <f t="shared" si="302"/>
        <v>16624201242.6</v>
      </c>
    </row>
    <row r="924" spans="2:35" x14ac:dyDescent="0.25">
      <c r="B924" s="4">
        <v>2024</v>
      </c>
      <c r="C924" s="4" t="s">
        <v>241</v>
      </c>
      <c r="D924" s="1" t="s">
        <v>570</v>
      </c>
      <c r="E924" s="4" t="str">
        <f t="shared" si="309"/>
        <v>CtPt-MN</v>
      </c>
      <c r="F924" s="4" t="s">
        <v>135</v>
      </c>
      <c r="G924" s="4"/>
      <c r="H924" s="11" t="s">
        <v>605</v>
      </c>
      <c r="I924" s="4"/>
      <c r="J924" s="4" t="s">
        <v>21</v>
      </c>
      <c r="K924" s="5">
        <v>1010</v>
      </c>
      <c r="L924" s="5">
        <f t="shared" si="310"/>
        <v>1010</v>
      </c>
      <c r="M924" s="8">
        <v>0</v>
      </c>
      <c r="N924" s="8">
        <v>20063</v>
      </c>
      <c r="O924" s="8">
        <f>SUMIFS(EIAwtransport!$J$2:$J$675,EIAwtransport!$E$2:$E$675,Program_data!$E924,EIAwtransport!$H$2:$H$675,Program_data!$F924,EIAwtransport!$I$2:$I$675,Program_data!O$2)</f>
        <v>671522278</v>
      </c>
      <c r="P924" s="5">
        <f>SUMIFS(EIAwtransport!$J$2:$J$675,EIAwtransport!$E$2:$E$675,Program_data!$E924,EIAwtransport!$H$2:$H$675,Program_data!$F924,EIAwtransport!$I$2:$I$675,Program_data!P$2)</f>
        <v>68242994</v>
      </c>
      <c r="Q924" s="5">
        <f>SUMIFS(EIAwtransport!$J$2:$J$675,EIAwtransport!$E$2:$E$675,Program_data!$E924,EIAwtransport!$H$2:$H$675,Program_data!$F924,EIAwtransport!$I$2:$I$675,Program_data!Q$2)</f>
        <v>821309</v>
      </c>
      <c r="R924" s="8">
        <f>SUMIFS(EIAwtransport!$J$2:$J$675,EIAwtransport!$E$2:$E$675,Program_data!$E924,EIAwtransport!$I$2:$I$675,Program_data!R$2)</f>
        <v>1122230698</v>
      </c>
      <c r="S924" s="5">
        <f>SUMIFS(EIAwtransport!$J$2:$J$675,EIAwtransport!$E$2:$E$675,Program_data!$E924,EIAwtransport!$I$2:$I$675,Program_data!S$2)</f>
        <v>157605245</v>
      </c>
      <c r="T924" s="5">
        <f>SUMIFS(EIAwtransport!$J$2:$J$675,EIAwtransport!$E$2:$E$675,Program_data!$E924,EIAwtransport!$I$2:$I$675,Program_data!T$2)</f>
        <v>892595</v>
      </c>
      <c r="U924" s="24">
        <f t="shared" si="291"/>
        <v>6.1857298905469477E-7</v>
      </c>
      <c r="V924" s="24">
        <f t="shared" si="292"/>
        <v>6.1857298905469477E-7</v>
      </c>
      <c r="W924" s="24">
        <f t="shared" si="293"/>
        <v>0</v>
      </c>
      <c r="X924" s="25">
        <f t="shared" si="294"/>
        <v>0</v>
      </c>
      <c r="Y924" s="8">
        <f t="shared" si="303"/>
        <v>0</v>
      </c>
      <c r="Z924" s="27">
        <f t="shared" si="304"/>
        <v>0</v>
      </c>
      <c r="AA924" s="27"/>
      <c r="AB924" s="40"/>
      <c r="AC924" s="56">
        <f t="shared" si="307"/>
        <v>2.2056734594784917E-5</v>
      </c>
      <c r="AE924" s="20">
        <f t="shared" si="286"/>
        <v>27085.050000000003</v>
      </c>
      <c r="AF924" s="20">
        <f t="shared" si="308"/>
        <v>1515011442.3000002</v>
      </c>
      <c r="AG924">
        <f t="shared" si="300"/>
        <v>106534.8</v>
      </c>
      <c r="AH924">
        <f t="shared" si="301"/>
        <v>106534.8</v>
      </c>
      <c r="AI924">
        <f t="shared" si="302"/>
        <v>16624201242.6</v>
      </c>
    </row>
    <row r="925" spans="2:35" x14ac:dyDescent="0.25">
      <c r="B925" s="4">
        <v>2024</v>
      </c>
      <c r="C925" s="4" t="s">
        <v>241</v>
      </c>
      <c r="D925" s="1" t="s">
        <v>570</v>
      </c>
      <c r="E925" s="4" t="str">
        <f t="shared" si="309"/>
        <v>CtPt-MN</v>
      </c>
      <c r="F925" s="4" t="s">
        <v>306</v>
      </c>
      <c r="G925" s="4"/>
      <c r="H925" s="11" t="s">
        <v>606</v>
      </c>
      <c r="I925" s="4"/>
      <c r="J925" s="4" t="s">
        <v>155</v>
      </c>
      <c r="K925" s="5">
        <v>0</v>
      </c>
      <c r="L925" s="5">
        <f t="shared" si="310"/>
        <v>0</v>
      </c>
      <c r="M925" s="8">
        <v>0</v>
      </c>
      <c r="N925" s="8">
        <v>847138</v>
      </c>
      <c r="O925" s="8">
        <f>SUMIFS(EIAwtransport!$J$2:$J$675,EIAwtransport!$E$2:$E$675,Program_data!$E925,EIAwtransport!$H$2:$H$675,Program_data!$F925,EIAwtransport!$I$2:$I$675,Program_data!O$2)</f>
        <v>0</v>
      </c>
      <c r="P925" s="5">
        <f>SUMIFS(EIAwtransport!$J$2:$J$675,EIAwtransport!$E$2:$E$675,Program_data!$E925,EIAwtransport!$H$2:$H$675,Program_data!$F925,EIAwtransport!$I$2:$I$675,Program_data!P$2)</f>
        <v>0</v>
      </c>
      <c r="Q925" s="5">
        <f>SUMIFS(EIAwtransport!$J$2:$J$675,EIAwtransport!$E$2:$E$675,Program_data!$E925,EIAwtransport!$H$2:$H$675,Program_data!$F925,EIAwtransport!$I$2:$I$675,Program_data!Q$2)</f>
        <v>0</v>
      </c>
      <c r="R925" s="8">
        <f>SUMIFS(EIAwtransport!$J$2:$J$675,EIAwtransport!$E$2:$E$675,Program_data!$E925,EIAwtransport!$I$2:$I$675,Program_data!R$2)</f>
        <v>1122230698</v>
      </c>
      <c r="S925" s="5">
        <f>SUMIFS(EIAwtransport!$J$2:$J$675,EIAwtransport!$E$2:$E$675,Program_data!$E925,EIAwtransport!$I$2:$I$675,Program_data!S$2)</f>
        <v>157605245</v>
      </c>
      <c r="T925" s="5">
        <f>SUMIFS(EIAwtransport!$J$2:$J$675,EIAwtransport!$E$2:$E$675,Program_data!$E925,EIAwtransport!$I$2:$I$675,Program_data!T$2)</f>
        <v>892595</v>
      </c>
      <c r="U925" s="24">
        <f t="shared" si="291"/>
        <v>0</v>
      </c>
      <c r="V925" s="24">
        <f t="shared" si="292"/>
        <v>0</v>
      </c>
      <c r="W925" s="24">
        <f t="shared" si="293"/>
        <v>0</v>
      </c>
      <c r="X925" s="25">
        <f t="shared" si="294"/>
        <v>0</v>
      </c>
      <c r="Y925" s="8" t="str">
        <f t="shared" si="303"/>
        <v/>
      </c>
      <c r="Z925" s="27">
        <f t="shared" si="304"/>
        <v>0</v>
      </c>
      <c r="AA925" s="27"/>
      <c r="AB925" s="40"/>
      <c r="AC925" s="56">
        <f t="shared" si="307"/>
        <v>0</v>
      </c>
      <c r="AE925" s="20">
        <f t="shared" si="286"/>
        <v>1143636.3</v>
      </c>
      <c r="AF925" s="20">
        <f t="shared" si="308"/>
        <v>1515011442.3000002</v>
      </c>
      <c r="AG925">
        <f t="shared" si="300"/>
        <v>0</v>
      </c>
      <c r="AH925">
        <f t="shared" si="301"/>
        <v>0</v>
      </c>
      <c r="AI925">
        <f t="shared" si="302"/>
        <v>16624201242.6</v>
      </c>
    </row>
    <row r="926" spans="2:35" x14ac:dyDescent="0.25">
      <c r="B926" s="4">
        <v>2025</v>
      </c>
      <c r="C926" s="4" t="s">
        <v>241</v>
      </c>
      <c r="D926" s="1" t="s">
        <v>570</v>
      </c>
      <c r="E926" s="4" t="str">
        <f t="shared" si="309"/>
        <v>CtPt-MN</v>
      </c>
      <c r="F926" s="4" t="s">
        <v>135</v>
      </c>
      <c r="G926" s="4"/>
      <c r="H926" s="11" t="s">
        <v>571</v>
      </c>
      <c r="I926" s="4"/>
      <c r="J926" s="4" t="s">
        <v>142</v>
      </c>
      <c r="K926" s="5">
        <v>2925260</v>
      </c>
      <c r="L926" s="5">
        <f t="shared" si="310"/>
        <v>2925260</v>
      </c>
      <c r="M926" s="8">
        <v>10930884</v>
      </c>
      <c r="N926" s="8">
        <v>9041625</v>
      </c>
      <c r="O926" s="8">
        <f>SUMIFS(EIAwtransport!$J$2:$J$675,EIAwtransport!$E$2:$E$675,Program_data!$E926,EIAwtransport!$H$2:$H$675,Program_data!$F926,EIAwtransport!$I$2:$I$675,Program_data!O$2)</f>
        <v>671522278</v>
      </c>
      <c r="P926" s="5">
        <f>SUMIFS(EIAwtransport!$J$2:$J$675,EIAwtransport!$E$2:$E$675,Program_data!$E926,EIAwtransport!$H$2:$H$675,Program_data!$F926,EIAwtransport!$I$2:$I$675,Program_data!P$2)</f>
        <v>68242994</v>
      </c>
      <c r="Q926" s="5">
        <f>SUMIFS(EIAwtransport!$J$2:$J$675,EIAwtransport!$E$2:$E$675,Program_data!$E926,EIAwtransport!$H$2:$H$675,Program_data!$F926,EIAwtransport!$I$2:$I$675,Program_data!Q$2)</f>
        <v>821309</v>
      </c>
      <c r="R926" s="8">
        <f>SUMIFS(EIAwtransport!$J$2:$J$675,EIAwtransport!$E$2:$E$675,Program_data!$E926,EIAwtransport!$I$2:$I$675,Program_data!R$2)</f>
        <v>1122230698</v>
      </c>
      <c r="S926" s="5">
        <f>SUMIFS(EIAwtransport!$J$2:$J$675,EIAwtransport!$E$2:$E$675,Program_data!$E926,EIAwtransport!$I$2:$I$675,Program_data!S$2)</f>
        <v>157605245</v>
      </c>
      <c r="T926" s="5">
        <f>SUMIFS(EIAwtransport!$J$2:$J$675,EIAwtransport!$E$2:$E$675,Program_data!$E926,EIAwtransport!$I$2:$I$675,Program_data!T$2)</f>
        <v>892595</v>
      </c>
      <c r="U926" s="24">
        <f t="shared" ref="U926:U973" si="311">IFERROR(K926/10.36/S926,"")</f>
        <v>1.7915711108536007E-3</v>
      </c>
      <c r="V926" s="24">
        <f t="shared" ref="V926:V941" si="312">IFERROR(L926/10.36/S926,"")</f>
        <v>1.7915711108536007E-3</v>
      </c>
      <c r="W926" s="24">
        <f t="shared" ref="W926:W973" si="313">IFERROR(M926/R926,"")</f>
        <v>9.7403181177280543E-3</v>
      </c>
      <c r="X926" s="25">
        <f t="shared" ref="X926:X973" si="314">IFERROR(M926/S926/10.36,"")</f>
        <v>6.6946035533565727E-3</v>
      </c>
      <c r="Y926" s="8">
        <f t="shared" si="303"/>
        <v>1.6484269578199695</v>
      </c>
      <c r="Z926" s="27">
        <f t="shared" si="304"/>
        <v>0.55789598862862089</v>
      </c>
      <c r="AC926" s="56">
        <f t="shared" si="307"/>
        <v>5.4671775814881411E-2</v>
      </c>
      <c r="AE926" s="20">
        <f t="shared" si="286"/>
        <v>12206193.75</v>
      </c>
      <c r="AF926" s="20">
        <f t="shared" si="308"/>
        <v>1515011442.3000002</v>
      </c>
      <c r="AG926">
        <f t="shared" si="300"/>
        <v>308556424.80000001</v>
      </c>
      <c r="AH926">
        <f t="shared" si="301"/>
        <v>308556424.80000001</v>
      </c>
      <c r="AI926">
        <f t="shared" si="302"/>
        <v>16624201242.6</v>
      </c>
    </row>
    <row r="927" spans="2:35" x14ac:dyDescent="0.25">
      <c r="B927" s="4">
        <v>2025</v>
      </c>
      <c r="C927" s="4" t="s">
        <v>241</v>
      </c>
      <c r="D927" s="1" t="s">
        <v>570</v>
      </c>
      <c r="E927" s="4" t="str">
        <f t="shared" si="309"/>
        <v>CtPt-MN</v>
      </c>
      <c r="F927" s="4" t="s">
        <v>135</v>
      </c>
      <c r="G927" s="4"/>
      <c r="H927" s="11" t="s">
        <v>573</v>
      </c>
      <c r="I927" s="4"/>
      <c r="J927" s="4" t="s">
        <v>142</v>
      </c>
      <c r="K927" s="5">
        <v>446380</v>
      </c>
      <c r="L927" s="5">
        <f t="shared" si="310"/>
        <v>446380</v>
      </c>
      <c r="M927" s="8">
        <v>988661</v>
      </c>
      <c r="N927" s="8">
        <v>0</v>
      </c>
      <c r="O927" s="8">
        <f>SUMIFS(EIAwtransport!$J$2:$J$675,EIAwtransport!$E$2:$E$675,Program_data!$E927,EIAwtransport!$H$2:$H$675,Program_data!$F927,EIAwtransport!$I$2:$I$675,Program_data!O$2)</f>
        <v>671522278</v>
      </c>
      <c r="P927" s="5">
        <f>SUMIFS(EIAwtransport!$J$2:$J$675,EIAwtransport!$E$2:$E$675,Program_data!$E927,EIAwtransport!$H$2:$H$675,Program_data!$F927,EIAwtransport!$I$2:$I$675,Program_data!P$2)</f>
        <v>68242994</v>
      </c>
      <c r="Q927" s="5">
        <f>SUMIFS(EIAwtransport!$J$2:$J$675,EIAwtransport!$E$2:$E$675,Program_data!$E927,EIAwtransport!$H$2:$H$675,Program_data!$F927,EIAwtransport!$I$2:$I$675,Program_data!Q$2)</f>
        <v>821309</v>
      </c>
      <c r="R927" s="8">
        <f>SUMIFS(EIAwtransport!$J$2:$J$675,EIAwtransport!$E$2:$E$675,Program_data!$E927,EIAwtransport!$I$2:$I$675,Program_data!R$2)</f>
        <v>1122230698</v>
      </c>
      <c r="S927" s="5">
        <f>SUMIFS(EIAwtransport!$J$2:$J$675,EIAwtransport!$E$2:$E$675,Program_data!$E927,EIAwtransport!$I$2:$I$675,Program_data!S$2)</f>
        <v>157605245</v>
      </c>
      <c r="T927" s="5">
        <f>SUMIFS(EIAwtransport!$J$2:$J$675,EIAwtransport!$E$2:$E$675,Program_data!$E927,EIAwtransport!$I$2:$I$675,Program_data!T$2)</f>
        <v>892595</v>
      </c>
      <c r="U927" s="24">
        <f t="shared" si="311"/>
        <v>2.733847632220145E-4</v>
      </c>
      <c r="V927" s="24">
        <f t="shared" si="312"/>
        <v>2.733847632220145E-4</v>
      </c>
      <c r="W927" s="24">
        <f t="shared" si="313"/>
        <v>8.8097839576297169E-4</v>
      </c>
      <c r="X927" s="25">
        <f t="shared" si="314"/>
        <v>6.0550395042752842E-4</v>
      </c>
      <c r="Y927" s="8">
        <f t="shared" si="303"/>
        <v>0.1490945695284342</v>
      </c>
      <c r="Z927" s="27">
        <f t="shared" si="304"/>
        <v>5.0459780381308682E-2</v>
      </c>
      <c r="AC927" s="56">
        <f t="shared" si="307"/>
        <v>8.3426387016014864E-3</v>
      </c>
      <c r="AE927" s="20">
        <f t="shared" si="286"/>
        <v>0</v>
      </c>
      <c r="AF927" s="20">
        <f t="shared" si="308"/>
        <v>1515011442.3000002</v>
      </c>
      <c r="AG927">
        <f t="shared" si="300"/>
        <v>47084162.399999999</v>
      </c>
      <c r="AH927">
        <f t="shared" si="301"/>
        <v>47084162.399999999</v>
      </c>
      <c r="AI927">
        <f t="shared" si="302"/>
        <v>16624201242.6</v>
      </c>
    </row>
    <row r="928" spans="2:35" x14ac:dyDescent="0.25">
      <c r="B928" s="4">
        <v>2025</v>
      </c>
      <c r="C928" s="4" t="s">
        <v>241</v>
      </c>
      <c r="D928" s="1" t="s">
        <v>570</v>
      </c>
      <c r="E928" s="4" t="str">
        <f t="shared" si="309"/>
        <v>CtPt-MN</v>
      </c>
      <c r="F928" s="4" t="s">
        <v>135</v>
      </c>
      <c r="G928" s="4"/>
      <c r="H928" s="11" t="s">
        <v>574</v>
      </c>
      <c r="I928" s="4"/>
      <c r="J928" s="4" t="s">
        <v>142</v>
      </c>
      <c r="K928" s="5">
        <v>320150</v>
      </c>
      <c r="L928" s="5">
        <f t="shared" si="310"/>
        <v>320150</v>
      </c>
      <c r="M928" s="8">
        <v>1850681</v>
      </c>
      <c r="N928" s="8">
        <v>1556100</v>
      </c>
      <c r="O928" s="8">
        <f>SUMIFS(EIAwtransport!$J$2:$J$675,EIAwtransport!$E$2:$E$675,Program_data!$E928,EIAwtransport!$H$2:$H$675,Program_data!$F928,EIAwtransport!$I$2:$I$675,Program_data!O$2)</f>
        <v>671522278</v>
      </c>
      <c r="P928" s="5">
        <f>SUMIFS(EIAwtransport!$J$2:$J$675,EIAwtransport!$E$2:$E$675,Program_data!$E928,EIAwtransport!$H$2:$H$675,Program_data!$F928,EIAwtransport!$I$2:$I$675,Program_data!P$2)</f>
        <v>68242994</v>
      </c>
      <c r="Q928" s="5">
        <f>SUMIFS(EIAwtransport!$J$2:$J$675,EIAwtransport!$E$2:$E$675,Program_data!$E928,EIAwtransport!$H$2:$H$675,Program_data!$F928,EIAwtransport!$I$2:$I$675,Program_data!Q$2)</f>
        <v>821309</v>
      </c>
      <c r="R928" s="8">
        <f>SUMIFS(EIAwtransport!$J$2:$J$675,EIAwtransport!$E$2:$E$675,Program_data!$E928,EIAwtransport!$I$2:$I$675,Program_data!R$2)</f>
        <v>1122230698</v>
      </c>
      <c r="S928" s="5">
        <f>SUMIFS(EIAwtransport!$J$2:$J$675,EIAwtransport!$E$2:$E$675,Program_data!$E928,EIAwtransport!$I$2:$I$675,Program_data!S$2)</f>
        <v>157605245</v>
      </c>
      <c r="T928" s="5">
        <f>SUMIFS(EIAwtransport!$J$2:$J$675,EIAwtransport!$E$2:$E$675,Program_data!$E928,EIAwtransport!$I$2:$I$675,Program_data!T$2)</f>
        <v>892595</v>
      </c>
      <c r="U928" s="24">
        <f t="shared" si="311"/>
        <v>1.9607538856025798E-4</v>
      </c>
      <c r="V928" s="24">
        <f t="shared" si="312"/>
        <v>1.9607538856025798E-4</v>
      </c>
      <c r="W928" s="24">
        <f t="shared" si="313"/>
        <v>1.6491092279851357E-3</v>
      </c>
      <c r="X928" s="25">
        <f t="shared" si="314"/>
        <v>1.1334468098581501E-3</v>
      </c>
      <c r="Y928" s="8">
        <f t="shared" si="303"/>
        <v>0.27909110102396284</v>
      </c>
      <c r="Z928" s="27">
        <f t="shared" si="304"/>
        <v>9.445599332416342E-2</v>
      </c>
      <c r="AC928" s="56">
        <f t="shared" si="307"/>
        <v>5.9834575480929159E-3</v>
      </c>
      <c r="AE928" s="20">
        <f t="shared" si="286"/>
        <v>2100735</v>
      </c>
      <c r="AF928" s="20">
        <f t="shared" si="308"/>
        <v>1515011442.3000002</v>
      </c>
      <c r="AG928">
        <f t="shared" si="300"/>
        <v>33769422</v>
      </c>
      <c r="AH928">
        <f t="shared" si="301"/>
        <v>33769422</v>
      </c>
      <c r="AI928">
        <f t="shared" si="302"/>
        <v>16624201242.6</v>
      </c>
    </row>
    <row r="929" spans="2:35" x14ac:dyDescent="0.25">
      <c r="B929" s="4">
        <v>2025</v>
      </c>
      <c r="C929" s="4" t="s">
        <v>241</v>
      </c>
      <c r="D929" s="1" t="s">
        <v>570</v>
      </c>
      <c r="E929" s="4" t="str">
        <f t="shared" si="309"/>
        <v>CtPt-MN</v>
      </c>
      <c r="F929" s="4" t="s">
        <v>135</v>
      </c>
      <c r="G929" s="4"/>
      <c r="H929" s="11" t="s">
        <v>575</v>
      </c>
      <c r="I929" s="4"/>
      <c r="J929" s="4" t="s">
        <v>142</v>
      </c>
      <c r="K929" s="5">
        <v>1014810</v>
      </c>
      <c r="L929" s="5">
        <f t="shared" si="310"/>
        <v>1014810</v>
      </c>
      <c r="M929" s="8">
        <v>1652647</v>
      </c>
      <c r="N929" s="8">
        <v>0</v>
      </c>
      <c r="O929" s="8">
        <f>SUMIFS(EIAwtransport!$J$2:$J$675,EIAwtransport!$E$2:$E$675,Program_data!$E929,EIAwtransport!$H$2:$H$675,Program_data!$F929,EIAwtransport!$I$2:$I$675,Program_data!O$2)</f>
        <v>671522278</v>
      </c>
      <c r="P929" s="5">
        <f>SUMIFS(EIAwtransport!$J$2:$J$675,EIAwtransport!$E$2:$E$675,Program_data!$E929,EIAwtransport!$H$2:$H$675,Program_data!$F929,EIAwtransport!$I$2:$I$675,Program_data!P$2)</f>
        <v>68242994</v>
      </c>
      <c r="Q929" s="5">
        <f>SUMIFS(EIAwtransport!$J$2:$J$675,EIAwtransport!$E$2:$E$675,Program_data!$E929,EIAwtransport!$H$2:$H$675,Program_data!$F929,EIAwtransport!$I$2:$I$675,Program_data!Q$2)</f>
        <v>821309</v>
      </c>
      <c r="R929" s="8">
        <f>SUMIFS(EIAwtransport!$J$2:$J$675,EIAwtransport!$E$2:$E$675,Program_data!$E929,EIAwtransport!$I$2:$I$675,Program_data!R$2)</f>
        <v>1122230698</v>
      </c>
      <c r="S929" s="5">
        <f>SUMIFS(EIAwtransport!$J$2:$J$675,EIAwtransport!$E$2:$E$675,Program_data!$E929,EIAwtransport!$I$2:$I$675,Program_data!S$2)</f>
        <v>157605245</v>
      </c>
      <c r="T929" s="5">
        <f>SUMIFS(EIAwtransport!$J$2:$J$675,EIAwtransport!$E$2:$E$675,Program_data!$E929,EIAwtransport!$I$2:$I$675,Program_data!T$2)</f>
        <v>892595</v>
      </c>
      <c r="U929" s="24">
        <f t="shared" si="311"/>
        <v>6.2151886635900477E-4</v>
      </c>
      <c r="V929" s="24">
        <f t="shared" si="312"/>
        <v>6.2151886635900477E-4</v>
      </c>
      <c r="W929" s="24">
        <f t="shared" si="313"/>
        <v>1.4726446201706023E-3</v>
      </c>
      <c r="X929" s="25">
        <f t="shared" si="314"/>
        <v>1.0121611828141329E-3</v>
      </c>
      <c r="Y929" s="8">
        <f t="shared" si="303"/>
        <v>0.24922667430743015</v>
      </c>
      <c r="Z929" s="27">
        <f t="shared" si="304"/>
        <v>8.4348633826790628E-2</v>
      </c>
      <c r="AC929" s="56">
        <f t="shared" si="307"/>
        <v>1.8966336262315076E-2</v>
      </c>
      <c r="AE929" s="20">
        <f t="shared" si="286"/>
        <v>0</v>
      </c>
      <c r="AF929" s="20">
        <f t="shared" si="308"/>
        <v>1515011442.3000002</v>
      </c>
      <c r="AG929">
        <f t="shared" si="300"/>
        <v>107042158.8</v>
      </c>
      <c r="AH929">
        <f t="shared" si="301"/>
        <v>107042158.8</v>
      </c>
      <c r="AI929">
        <f t="shared" si="302"/>
        <v>16624201242.6</v>
      </c>
    </row>
    <row r="930" spans="2:35" x14ac:dyDescent="0.25">
      <c r="B930" s="4">
        <v>2025</v>
      </c>
      <c r="C930" s="4" t="s">
        <v>241</v>
      </c>
      <c r="D930" s="1" t="s">
        <v>570</v>
      </c>
      <c r="E930" s="4" t="str">
        <f t="shared" si="309"/>
        <v>CtPt-MN</v>
      </c>
      <c r="F930" s="4" t="s">
        <v>135</v>
      </c>
      <c r="G930" s="4"/>
      <c r="H930" s="11" t="s">
        <v>278</v>
      </c>
      <c r="I930" s="4"/>
      <c r="J930" s="4" t="s">
        <v>142</v>
      </c>
      <c r="K930" s="5">
        <v>349600</v>
      </c>
      <c r="L930" s="5">
        <f t="shared" si="310"/>
        <v>349600</v>
      </c>
      <c r="M930" s="8">
        <v>2977231</v>
      </c>
      <c r="N930" s="8">
        <v>0</v>
      </c>
      <c r="O930" s="8">
        <f>SUMIFS(EIAwtransport!$J$2:$J$675,EIAwtransport!$E$2:$E$675,Program_data!$E930,EIAwtransport!$H$2:$H$675,Program_data!$F930,EIAwtransport!$I$2:$I$675,Program_data!O$2)</f>
        <v>671522278</v>
      </c>
      <c r="P930" s="5">
        <f>SUMIFS(EIAwtransport!$J$2:$J$675,EIAwtransport!$E$2:$E$675,Program_data!$E930,EIAwtransport!$H$2:$H$675,Program_data!$F930,EIAwtransport!$I$2:$I$675,Program_data!P$2)</f>
        <v>68242994</v>
      </c>
      <c r="Q930" s="5">
        <f>SUMIFS(EIAwtransport!$J$2:$J$675,EIAwtransport!$E$2:$E$675,Program_data!$E930,EIAwtransport!$H$2:$H$675,Program_data!$F930,EIAwtransport!$I$2:$I$675,Program_data!Q$2)</f>
        <v>821309</v>
      </c>
      <c r="R930" s="8">
        <f>SUMIFS(EIAwtransport!$J$2:$J$675,EIAwtransport!$E$2:$E$675,Program_data!$E930,EIAwtransport!$I$2:$I$675,Program_data!R$2)</f>
        <v>1122230698</v>
      </c>
      <c r="S930" s="5">
        <f>SUMIFS(EIAwtransport!$J$2:$J$675,EIAwtransport!$E$2:$E$675,Program_data!$E930,EIAwtransport!$I$2:$I$675,Program_data!S$2)</f>
        <v>157605245</v>
      </c>
      <c r="T930" s="5">
        <f>SUMIFS(EIAwtransport!$J$2:$J$675,EIAwtransport!$E$2:$E$675,Program_data!$E930,EIAwtransport!$I$2:$I$675,Program_data!T$2)</f>
        <v>892595</v>
      </c>
      <c r="U930" s="24">
        <f t="shared" si="311"/>
        <v>2.1411199700348645E-4</v>
      </c>
      <c r="V930" s="24">
        <f t="shared" si="312"/>
        <v>2.1411199700348645E-4</v>
      </c>
      <c r="W930" s="24">
        <f t="shared" si="313"/>
        <v>2.6529580818862968E-3</v>
      </c>
      <c r="X930" s="25">
        <f t="shared" si="314"/>
        <v>1.8234006720557409E-3</v>
      </c>
      <c r="Y930" s="8">
        <f t="shared" si="303"/>
        <v>0.44897995807633728</v>
      </c>
      <c r="Z930" s="27">
        <f t="shared" si="304"/>
        <v>0.15195342225942363</v>
      </c>
      <c r="AC930" s="56">
        <f t="shared" si="307"/>
        <v>6.533864622249831E-3</v>
      </c>
      <c r="AE930" s="20">
        <f t="shared" si="286"/>
        <v>0</v>
      </c>
      <c r="AF930" s="20">
        <f t="shared" si="308"/>
        <v>1515011442.3000002</v>
      </c>
      <c r="AG930">
        <f t="shared" si="300"/>
        <v>36875808</v>
      </c>
      <c r="AH930">
        <f t="shared" si="301"/>
        <v>36875808</v>
      </c>
      <c r="AI930">
        <f t="shared" si="302"/>
        <v>16624201242.6</v>
      </c>
    </row>
    <row r="931" spans="2:35" x14ac:dyDescent="0.25">
      <c r="B931" s="4">
        <v>2025</v>
      </c>
      <c r="C931" s="4" t="s">
        <v>241</v>
      </c>
      <c r="D931" s="1" t="s">
        <v>570</v>
      </c>
      <c r="E931" s="4" t="str">
        <f t="shared" si="309"/>
        <v>CtPt-MN</v>
      </c>
      <c r="F931" s="4" t="s">
        <v>135</v>
      </c>
      <c r="G931" s="4"/>
      <c r="H931" s="11" t="s">
        <v>576</v>
      </c>
      <c r="I931" s="4"/>
      <c r="J931" s="4" t="s">
        <v>142</v>
      </c>
      <c r="K931" s="5">
        <v>1053700</v>
      </c>
      <c r="L931" s="5">
        <f t="shared" si="310"/>
        <v>1053700</v>
      </c>
      <c r="M931" s="8">
        <v>7057293</v>
      </c>
      <c r="N931" s="8">
        <v>5512500</v>
      </c>
      <c r="O931" s="8">
        <f>SUMIFS(EIAwtransport!$J$2:$J$675,EIAwtransport!$E$2:$E$675,Program_data!$E931,EIAwtransport!$H$2:$H$675,Program_data!$F931,EIAwtransport!$I$2:$I$675,Program_data!O$2)</f>
        <v>671522278</v>
      </c>
      <c r="P931" s="5">
        <f>SUMIFS(EIAwtransport!$J$2:$J$675,EIAwtransport!$E$2:$E$675,Program_data!$E931,EIAwtransport!$H$2:$H$675,Program_data!$F931,EIAwtransport!$I$2:$I$675,Program_data!P$2)</f>
        <v>68242994</v>
      </c>
      <c r="Q931" s="5">
        <f>SUMIFS(EIAwtransport!$J$2:$J$675,EIAwtransport!$E$2:$E$675,Program_data!$E931,EIAwtransport!$H$2:$H$675,Program_data!$F931,EIAwtransport!$I$2:$I$675,Program_data!Q$2)</f>
        <v>821309</v>
      </c>
      <c r="R931" s="8">
        <f>SUMIFS(EIAwtransport!$J$2:$J$675,EIAwtransport!$E$2:$E$675,Program_data!$E931,EIAwtransport!$I$2:$I$675,Program_data!R$2)</f>
        <v>1122230698</v>
      </c>
      <c r="S931" s="5">
        <f>SUMIFS(EIAwtransport!$J$2:$J$675,EIAwtransport!$E$2:$E$675,Program_data!$E931,EIAwtransport!$I$2:$I$675,Program_data!S$2)</f>
        <v>157605245</v>
      </c>
      <c r="T931" s="5">
        <f>SUMIFS(EIAwtransport!$J$2:$J$675,EIAwtransport!$E$2:$E$675,Program_data!$E931,EIAwtransport!$I$2:$I$675,Program_data!T$2)</f>
        <v>892595</v>
      </c>
      <c r="U931" s="24">
        <f t="shared" si="311"/>
        <v>6.4533698868013065E-4</v>
      </c>
      <c r="V931" s="24">
        <f t="shared" si="312"/>
        <v>6.4533698868013065E-4</v>
      </c>
      <c r="W931" s="24">
        <f t="shared" si="313"/>
        <v>6.2886294347296494E-3</v>
      </c>
      <c r="X931" s="25">
        <f t="shared" si="314"/>
        <v>4.3222285402423509E-3</v>
      </c>
      <c r="Y931" s="8">
        <f t="shared" si="303"/>
        <v>1.0642718402678288</v>
      </c>
      <c r="Z931" s="27">
        <f t="shared" si="304"/>
        <v>0.36019369113027322</v>
      </c>
      <c r="AC931" s="56">
        <f t="shared" si="307"/>
        <v>1.969317263290803E-2</v>
      </c>
      <c r="AE931" s="20">
        <f t="shared" si="286"/>
        <v>7441875.0000000009</v>
      </c>
      <c r="AF931" s="20">
        <f t="shared" si="308"/>
        <v>1515011442.3000002</v>
      </c>
      <c r="AG931">
        <f t="shared" si="300"/>
        <v>111144276</v>
      </c>
      <c r="AH931">
        <f t="shared" si="301"/>
        <v>111144276</v>
      </c>
      <c r="AI931">
        <f t="shared" si="302"/>
        <v>16624201242.6</v>
      </c>
    </row>
    <row r="932" spans="2:35" x14ac:dyDescent="0.25">
      <c r="B932" s="4">
        <v>2025</v>
      </c>
      <c r="C932" s="4" t="s">
        <v>241</v>
      </c>
      <c r="D932" s="1" t="s">
        <v>570</v>
      </c>
      <c r="E932" s="4" t="str">
        <f t="shared" si="309"/>
        <v>CtPt-MN</v>
      </c>
      <c r="F932" s="4" t="s">
        <v>135</v>
      </c>
      <c r="G932" s="4"/>
      <c r="H932" s="11" t="s">
        <v>577</v>
      </c>
      <c r="I932" s="4"/>
      <c r="J932" s="4" t="s">
        <v>32</v>
      </c>
      <c r="K932" s="5">
        <v>152530</v>
      </c>
      <c r="L932" s="5">
        <f t="shared" si="310"/>
        <v>152530</v>
      </c>
      <c r="M932" s="8">
        <v>695109</v>
      </c>
      <c r="N932" s="8">
        <v>425375</v>
      </c>
      <c r="O932" s="8">
        <f>SUMIFS(EIAwtransport!$J$2:$J$675,EIAwtransport!$E$2:$E$675,Program_data!$E932,EIAwtransport!$H$2:$H$675,Program_data!$F932,EIAwtransport!$I$2:$I$675,Program_data!O$2)</f>
        <v>671522278</v>
      </c>
      <c r="P932" s="5">
        <f>SUMIFS(EIAwtransport!$J$2:$J$675,EIAwtransport!$E$2:$E$675,Program_data!$E932,EIAwtransport!$H$2:$H$675,Program_data!$F932,EIAwtransport!$I$2:$I$675,Program_data!P$2)</f>
        <v>68242994</v>
      </c>
      <c r="Q932" s="5">
        <f>SUMIFS(EIAwtransport!$J$2:$J$675,EIAwtransport!$E$2:$E$675,Program_data!$E932,EIAwtransport!$H$2:$H$675,Program_data!$F932,EIAwtransport!$I$2:$I$675,Program_data!Q$2)</f>
        <v>821309</v>
      </c>
      <c r="R932" s="8">
        <f>SUMIFS(EIAwtransport!$J$2:$J$675,EIAwtransport!$E$2:$E$675,Program_data!$E932,EIAwtransport!$I$2:$I$675,Program_data!R$2)</f>
        <v>1122230698</v>
      </c>
      <c r="S932" s="5">
        <f>SUMIFS(EIAwtransport!$J$2:$J$675,EIAwtransport!$E$2:$E$675,Program_data!$E932,EIAwtransport!$I$2:$I$675,Program_data!S$2)</f>
        <v>157605245</v>
      </c>
      <c r="T932" s="5">
        <f>SUMIFS(EIAwtransport!$J$2:$J$675,EIAwtransport!$E$2:$E$675,Program_data!$E932,EIAwtransport!$I$2:$I$675,Program_data!T$2)</f>
        <v>892595</v>
      </c>
      <c r="U932" s="24">
        <f t="shared" si="311"/>
        <v>9.3416770317339201E-5</v>
      </c>
      <c r="V932" s="24">
        <f t="shared" si="312"/>
        <v>9.3416770317339201E-5</v>
      </c>
      <c r="W932" s="24">
        <f t="shared" si="313"/>
        <v>6.1939938128479179E-4</v>
      </c>
      <c r="X932" s="25">
        <f t="shared" si="314"/>
        <v>4.2571846717704938E-4</v>
      </c>
      <c r="Y932" s="8">
        <f t="shared" si="303"/>
        <v>0.10482559454690775</v>
      </c>
      <c r="Z932" s="27">
        <f t="shared" si="304"/>
        <v>3.5477324867746469E-2</v>
      </c>
      <c r="AC932" s="56">
        <f t="shared" si="307"/>
        <v>2.8507161637064266E-3</v>
      </c>
      <c r="AE932" s="20">
        <f t="shared" si="286"/>
        <v>574256.25</v>
      </c>
      <c r="AF932" s="20">
        <f t="shared" si="308"/>
        <v>1515011442.3000002</v>
      </c>
      <c r="AG932">
        <f t="shared" si="300"/>
        <v>16088864.4</v>
      </c>
      <c r="AH932">
        <f t="shared" si="301"/>
        <v>16088864.4</v>
      </c>
      <c r="AI932">
        <f t="shared" si="302"/>
        <v>16624201242.6</v>
      </c>
    </row>
    <row r="933" spans="2:35" x14ac:dyDescent="0.25">
      <c r="B933" s="4">
        <v>2025</v>
      </c>
      <c r="C933" s="4" t="s">
        <v>241</v>
      </c>
      <c r="D933" s="1" t="s">
        <v>570</v>
      </c>
      <c r="E933" s="4" t="str">
        <f t="shared" si="309"/>
        <v>CtPt-MN</v>
      </c>
      <c r="F933" s="4" t="s">
        <v>135</v>
      </c>
      <c r="G933" s="4"/>
      <c r="H933" s="11" t="s">
        <v>578</v>
      </c>
      <c r="I933" s="4"/>
      <c r="J933" s="4" t="s">
        <v>42</v>
      </c>
      <c r="K933" s="5">
        <v>217330</v>
      </c>
      <c r="L933" s="5">
        <f t="shared" si="310"/>
        <v>217330</v>
      </c>
      <c r="M933" s="8">
        <v>428618</v>
      </c>
      <c r="N933" s="8">
        <v>0</v>
      </c>
      <c r="O933" s="8">
        <f>SUMIFS(EIAwtransport!$J$2:$J$675,EIAwtransport!$E$2:$E$675,Program_data!$E933,EIAwtransport!$H$2:$H$675,Program_data!$F933,EIAwtransport!$I$2:$I$675,Program_data!O$2)</f>
        <v>671522278</v>
      </c>
      <c r="P933" s="5">
        <f>SUMIFS(EIAwtransport!$J$2:$J$675,EIAwtransport!$E$2:$E$675,Program_data!$E933,EIAwtransport!$H$2:$H$675,Program_data!$F933,EIAwtransport!$I$2:$I$675,Program_data!P$2)</f>
        <v>68242994</v>
      </c>
      <c r="Q933" s="5">
        <f>SUMIFS(EIAwtransport!$J$2:$J$675,EIAwtransport!$E$2:$E$675,Program_data!$E933,EIAwtransport!$H$2:$H$675,Program_data!$F933,EIAwtransport!$I$2:$I$675,Program_data!Q$2)</f>
        <v>821309</v>
      </c>
      <c r="R933" s="8">
        <f>SUMIFS(EIAwtransport!$J$2:$J$675,EIAwtransport!$E$2:$E$675,Program_data!$E933,EIAwtransport!$I$2:$I$675,Program_data!R$2)</f>
        <v>1122230698</v>
      </c>
      <c r="S933" s="5">
        <f>SUMIFS(EIAwtransport!$J$2:$J$675,EIAwtransport!$E$2:$E$675,Program_data!$E933,EIAwtransport!$I$2:$I$675,Program_data!S$2)</f>
        <v>157605245</v>
      </c>
      <c r="T933" s="5">
        <f>SUMIFS(EIAwtransport!$J$2:$J$675,EIAwtransport!$E$2:$E$675,Program_data!$E933,EIAwtransport!$I$2:$I$675,Program_data!T$2)</f>
        <v>892595</v>
      </c>
      <c r="U933" s="24">
        <f t="shared" si="311"/>
        <v>1.3310343337748202E-4</v>
      </c>
      <c r="V933" s="24">
        <f t="shared" si="312"/>
        <v>1.3310343337748202E-4</v>
      </c>
      <c r="W933" s="24">
        <f t="shared" si="313"/>
        <v>3.8193394706085649E-4</v>
      </c>
      <c r="X933" s="25">
        <f t="shared" si="314"/>
        <v>2.6250645289370807E-4</v>
      </c>
      <c r="Y933" s="8">
        <f t="shared" si="303"/>
        <v>6.4637541282743433E-2</v>
      </c>
      <c r="Z933" s="27">
        <f t="shared" si="304"/>
        <v>2.1876022365073331E-2</v>
      </c>
      <c r="AC933" s="56">
        <f t="shared" si="307"/>
        <v>4.06179862229278E-3</v>
      </c>
      <c r="AE933" s="20">
        <f t="shared" ref="AE933:AE996" si="315">N933*1.35</f>
        <v>0</v>
      </c>
      <c r="AF933" s="20">
        <f t="shared" ref="AF933:AF996" si="316">R933*1.35</f>
        <v>1515011442.3000002</v>
      </c>
      <c r="AG933">
        <f t="shared" si="300"/>
        <v>22923968.400000002</v>
      </c>
      <c r="AH933">
        <f t="shared" si="301"/>
        <v>22923968.400000002</v>
      </c>
      <c r="AI933">
        <f t="shared" si="302"/>
        <v>16624201242.6</v>
      </c>
    </row>
    <row r="934" spans="2:35" x14ac:dyDescent="0.25">
      <c r="B934" s="4">
        <v>2025</v>
      </c>
      <c r="C934" s="4" t="s">
        <v>241</v>
      </c>
      <c r="D934" s="1" t="s">
        <v>570</v>
      </c>
      <c r="E934" s="4" t="str">
        <f t="shared" si="309"/>
        <v>CtPt-MN</v>
      </c>
      <c r="F934" s="4" t="s">
        <v>135</v>
      </c>
      <c r="G934" s="4"/>
      <c r="H934" s="11" t="s">
        <v>579</v>
      </c>
      <c r="I934" s="4"/>
      <c r="J934" s="4" t="s">
        <v>155</v>
      </c>
      <c r="K934" s="5">
        <v>0</v>
      </c>
      <c r="L934" s="5">
        <f t="shared" si="310"/>
        <v>0</v>
      </c>
      <c r="M934" s="8">
        <v>125399</v>
      </c>
      <c r="N934" s="8">
        <v>0</v>
      </c>
      <c r="O934" s="8">
        <f>SUMIFS(EIAwtransport!$J$2:$J$675,EIAwtransport!$E$2:$E$675,Program_data!$E934,EIAwtransport!$H$2:$H$675,Program_data!$F934,EIAwtransport!$I$2:$I$675,Program_data!O$2)</f>
        <v>671522278</v>
      </c>
      <c r="P934" s="5">
        <f>SUMIFS(EIAwtransport!$J$2:$J$675,EIAwtransport!$E$2:$E$675,Program_data!$E934,EIAwtransport!$H$2:$H$675,Program_data!$F934,EIAwtransport!$I$2:$I$675,Program_data!P$2)</f>
        <v>68242994</v>
      </c>
      <c r="Q934" s="5">
        <f>SUMIFS(EIAwtransport!$J$2:$J$675,EIAwtransport!$E$2:$E$675,Program_data!$E934,EIAwtransport!$H$2:$H$675,Program_data!$F934,EIAwtransport!$I$2:$I$675,Program_data!Q$2)</f>
        <v>821309</v>
      </c>
      <c r="R934" s="8">
        <f>SUMIFS(EIAwtransport!$J$2:$J$675,EIAwtransport!$E$2:$E$675,Program_data!$E934,EIAwtransport!$I$2:$I$675,Program_data!R$2)</f>
        <v>1122230698</v>
      </c>
      <c r="S934" s="5">
        <f>SUMIFS(EIAwtransport!$J$2:$J$675,EIAwtransport!$E$2:$E$675,Program_data!$E934,EIAwtransport!$I$2:$I$675,Program_data!S$2)</f>
        <v>157605245</v>
      </c>
      <c r="T934" s="5">
        <f>SUMIFS(EIAwtransport!$J$2:$J$675,EIAwtransport!$E$2:$E$675,Program_data!$E934,EIAwtransport!$I$2:$I$675,Program_data!T$2)</f>
        <v>892595</v>
      </c>
      <c r="U934" s="24">
        <f t="shared" si="311"/>
        <v>0</v>
      </c>
      <c r="V934" s="24">
        <f t="shared" si="312"/>
        <v>0</v>
      </c>
      <c r="W934" s="24">
        <f t="shared" si="313"/>
        <v>1.1174083922626754E-4</v>
      </c>
      <c r="X934" s="25">
        <f t="shared" si="314"/>
        <v>7.6800429954920472E-5</v>
      </c>
      <c r="Y934" s="8">
        <f t="shared" si="303"/>
        <v>1.89107387914524E-2</v>
      </c>
      <c r="Z934" s="27">
        <f t="shared" si="304"/>
        <v>6.4001776140008831E-3</v>
      </c>
      <c r="AC934" s="56">
        <f t="shared" si="307"/>
        <v>0</v>
      </c>
      <c r="AE934" s="20">
        <f t="shared" si="315"/>
        <v>0</v>
      </c>
      <c r="AF934" s="20">
        <f t="shared" si="316"/>
        <v>1515011442.3000002</v>
      </c>
      <c r="AG934">
        <f t="shared" si="300"/>
        <v>0</v>
      </c>
      <c r="AH934">
        <f t="shared" si="301"/>
        <v>0</v>
      </c>
      <c r="AI934">
        <f t="shared" si="302"/>
        <v>16624201242.6</v>
      </c>
    </row>
    <row r="935" spans="2:35" x14ac:dyDescent="0.25">
      <c r="B935" s="4">
        <v>2025</v>
      </c>
      <c r="C935" s="4" t="s">
        <v>241</v>
      </c>
      <c r="D935" s="1" t="s">
        <v>570</v>
      </c>
      <c r="E935" s="4" t="str">
        <f t="shared" si="309"/>
        <v>CtPt-MN</v>
      </c>
      <c r="F935" s="4" t="s">
        <v>143</v>
      </c>
      <c r="G935" s="4">
        <v>1</v>
      </c>
      <c r="H935" s="11" t="s">
        <v>580</v>
      </c>
      <c r="I935" s="4"/>
      <c r="J935" s="4" t="s">
        <v>108</v>
      </c>
      <c r="K935" s="5">
        <v>162850</v>
      </c>
      <c r="L935" s="5">
        <f t="shared" si="310"/>
        <v>162850</v>
      </c>
      <c r="M935" s="8">
        <v>4164930</v>
      </c>
      <c r="N935" s="8">
        <v>0</v>
      </c>
      <c r="O935" s="8">
        <f>SUMIFS(EIAwtransport!$J$2:$J$675,EIAwtransport!$E$2:$E$675,Program_data!$E935,EIAwtransport!$H$2:$H$675,Program_data!$F935,EIAwtransport!$I$2:$I$675,Program_data!O$2)</f>
        <v>0</v>
      </c>
      <c r="P935" s="5">
        <f>SUMIFS(EIAwtransport!$J$2:$J$675,EIAwtransport!$E$2:$E$675,Program_data!$E935,EIAwtransport!$H$2:$H$675,Program_data!$F935,EIAwtransport!$I$2:$I$675,Program_data!P$2)</f>
        <v>0</v>
      </c>
      <c r="Q935" s="5">
        <f>SUMIFS(EIAwtransport!$J$2:$J$675,EIAwtransport!$E$2:$E$675,Program_data!$E935,EIAwtransport!$H$2:$H$675,Program_data!$F935,EIAwtransport!$I$2:$I$675,Program_data!Q$2)</f>
        <v>0</v>
      </c>
      <c r="R935" s="8">
        <f>SUMIFS(EIAwtransport!$J$2:$J$675,EIAwtransport!$E$2:$E$675,Program_data!$E935,EIAwtransport!$I$2:$I$675,Program_data!R$2)</f>
        <v>1122230698</v>
      </c>
      <c r="S935" s="5">
        <f>SUMIFS(EIAwtransport!$J$2:$J$675,EIAwtransport!$E$2:$E$675,Program_data!$E935,EIAwtransport!$I$2:$I$675,Program_data!S$2)</f>
        <v>157605245</v>
      </c>
      <c r="T935" s="5">
        <f>SUMIFS(EIAwtransport!$J$2:$J$675,EIAwtransport!$E$2:$E$675,Program_data!$E935,EIAwtransport!$I$2:$I$675,Program_data!T$2)</f>
        <v>892595</v>
      </c>
      <c r="U935" s="24">
        <f t="shared" si="311"/>
        <v>9.9737238878769356E-5</v>
      </c>
      <c r="V935" s="24">
        <f t="shared" si="312"/>
        <v>9.9737238878769356E-5</v>
      </c>
      <c r="W935" s="24">
        <f t="shared" si="313"/>
        <v>3.7112957321721739E-3</v>
      </c>
      <c r="X935" s="25">
        <f t="shared" si="314"/>
        <v>2.5508051478253168E-3</v>
      </c>
      <c r="Y935" s="8">
        <f t="shared" si="303"/>
        <v>9.0512441595132014</v>
      </c>
      <c r="Z935" s="27">
        <f t="shared" si="304"/>
        <v>0.21257180479812995</v>
      </c>
      <c r="AC935" s="56">
        <f t="shared" si="307"/>
        <v>3.0435922589627717E-3</v>
      </c>
      <c r="AE935" s="20">
        <f t="shared" si="315"/>
        <v>0</v>
      </c>
      <c r="AF935" s="20">
        <f t="shared" si="316"/>
        <v>1515011442.3000002</v>
      </c>
      <c r="AG935">
        <f t="shared" si="300"/>
        <v>17177418</v>
      </c>
      <c r="AH935">
        <f t="shared" si="301"/>
        <v>17177418</v>
      </c>
      <c r="AI935">
        <f t="shared" si="302"/>
        <v>16624201242.6</v>
      </c>
    </row>
    <row r="936" spans="2:35" x14ac:dyDescent="0.25">
      <c r="B936" s="4">
        <v>2025</v>
      </c>
      <c r="C936" s="4" t="s">
        <v>241</v>
      </c>
      <c r="D936" s="1" t="s">
        <v>570</v>
      </c>
      <c r="E936" s="4" t="str">
        <f t="shared" si="309"/>
        <v>CtPt-MN</v>
      </c>
      <c r="F936" s="4" t="s">
        <v>143</v>
      </c>
      <c r="G936" s="4">
        <v>1</v>
      </c>
      <c r="H936" s="11" t="s">
        <v>581</v>
      </c>
      <c r="I936" s="4"/>
      <c r="J936" s="4" t="s">
        <v>108</v>
      </c>
      <c r="K936" s="5">
        <v>28460</v>
      </c>
      <c r="L936" s="5">
        <f t="shared" si="310"/>
        <v>28460</v>
      </c>
      <c r="M936" s="8">
        <v>1080836</v>
      </c>
      <c r="N936" s="8">
        <v>0</v>
      </c>
      <c r="O936" s="8">
        <f>SUMIFS(EIAwtransport!$J$2:$J$675,EIAwtransport!$E$2:$E$675,Program_data!$E936,EIAwtransport!$H$2:$H$675,Program_data!$F936,EIAwtransport!$I$2:$I$675,Program_data!O$2)</f>
        <v>0</v>
      </c>
      <c r="P936" s="5">
        <f>SUMIFS(EIAwtransport!$J$2:$J$675,EIAwtransport!$E$2:$E$675,Program_data!$E936,EIAwtransport!$H$2:$H$675,Program_data!$F936,EIAwtransport!$I$2:$I$675,Program_data!P$2)</f>
        <v>0</v>
      </c>
      <c r="Q936" s="5">
        <f>SUMIFS(EIAwtransport!$J$2:$J$675,EIAwtransport!$E$2:$E$675,Program_data!$E936,EIAwtransport!$H$2:$H$675,Program_data!$F936,EIAwtransport!$I$2:$I$675,Program_data!Q$2)</f>
        <v>0</v>
      </c>
      <c r="R936" s="8">
        <f>SUMIFS(EIAwtransport!$J$2:$J$675,EIAwtransport!$E$2:$E$675,Program_data!$E936,EIAwtransport!$I$2:$I$675,Program_data!R$2)</f>
        <v>1122230698</v>
      </c>
      <c r="S936" s="5">
        <f>SUMIFS(EIAwtransport!$J$2:$J$675,EIAwtransport!$E$2:$E$675,Program_data!$E936,EIAwtransport!$I$2:$I$675,Program_data!S$2)</f>
        <v>157605245</v>
      </c>
      <c r="T936" s="5">
        <f>SUMIFS(EIAwtransport!$J$2:$J$675,EIAwtransport!$E$2:$E$675,Program_data!$E936,EIAwtransport!$I$2:$I$675,Program_data!T$2)</f>
        <v>892595</v>
      </c>
      <c r="U936" s="24">
        <f t="shared" si="311"/>
        <v>1.7430284424254074E-5</v>
      </c>
      <c r="V936" s="24">
        <f t="shared" si="312"/>
        <v>1.7430284424254074E-5</v>
      </c>
      <c r="W936" s="24">
        <f t="shared" si="313"/>
        <v>9.6311391403409996E-4</v>
      </c>
      <c r="X936" s="25">
        <f t="shared" si="314"/>
        <v>6.6195639128506945E-4</v>
      </c>
      <c r="Y936" s="8">
        <f t="shared" si="303"/>
        <v>2.3488775399326305</v>
      </c>
      <c r="Z936" s="27">
        <f t="shared" si="304"/>
        <v>5.5164254671937245E-2</v>
      </c>
      <c r="AC936" s="56">
        <f t="shared" si="307"/>
        <v>5.3190442548406804E-4</v>
      </c>
      <c r="AE936" s="20">
        <f t="shared" si="315"/>
        <v>0</v>
      </c>
      <c r="AF936" s="20">
        <f t="shared" si="316"/>
        <v>1515011442.3000002</v>
      </c>
      <c r="AG936">
        <f t="shared" si="300"/>
        <v>3001960.8000000003</v>
      </c>
      <c r="AH936">
        <f t="shared" si="301"/>
        <v>3001960.8000000003</v>
      </c>
      <c r="AI936">
        <f t="shared" si="302"/>
        <v>16624201242.6</v>
      </c>
    </row>
    <row r="937" spans="2:35" x14ac:dyDescent="0.25">
      <c r="B937" s="4">
        <v>2025</v>
      </c>
      <c r="C937" s="4" t="s">
        <v>241</v>
      </c>
      <c r="D937" s="1" t="s">
        <v>570</v>
      </c>
      <c r="E937" s="4" t="str">
        <f t="shared" si="309"/>
        <v>CtPt-MN</v>
      </c>
      <c r="F937" s="4" t="s">
        <v>143</v>
      </c>
      <c r="G937" s="4">
        <v>1</v>
      </c>
      <c r="H937" s="11" t="s">
        <v>582</v>
      </c>
      <c r="I937" s="4"/>
      <c r="J937" s="4" t="s">
        <v>108</v>
      </c>
      <c r="K937" s="5">
        <v>135110</v>
      </c>
      <c r="L937" s="5">
        <f t="shared" si="310"/>
        <v>135110</v>
      </c>
      <c r="M937" s="8">
        <v>2770412</v>
      </c>
      <c r="N937" s="8">
        <v>0</v>
      </c>
      <c r="O937" s="8">
        <f>SUMIFS(EIAwtransport!$J$2:$J$675,EIAwtransport!$E$2:$E$675,Program_data!$E937,EIAwtransport!$H$2:$H$675,Program_data!$F937,EIAwtransport!$I$2:$I$675,Program_data!O$2)</f>
        <v>0</v>
      </c>
      <c r="P937" s="5">
        <f>SUMIFS(EIAwtransport!$J$2:$J$675,EIAwtransport!$E$2:$E$675,Program_data!$E937,EIAwtransport!$H$2:$H$675,Program_data!$F937,EIAwtransport!$I$2:$I$675,Program_data!P$2)</f>
        <v>0</v>
      </c>
      <c r="Q937" s="5">
        <f>SUMIFS(EIAwtransport!$J$2:$J$675,EIAwtransport!$E$2:$E$675,Program_data!$E937,EIAwtransport!$H$2:$H$675,Program_data!$F937,EIAwtransport!$I$2:$I$675,Program_data!Q$2)</f>
        <v>0</v>
      </c>
      <c r="R937" s="8">
        <f>SUMIFS(EIAwtransport!$J$2:$J$675,EIAwtransport!$E$2:$E$675,Program_data!$E937,EIAwtransport!$I$2:$I$675,Program_data!R$2)</f>
        <v>1122230698</v>
      </c>
      <c r="S937" s="5">
        <f>SUMIFS(EIAwtransport!$J$2:$J$675,EIAwtransport!$E$2:$E$675,Program_data!$E937,EIAwtransport!$I$2:$I$675,Program_data!S$2)</f>
        <v>157605245</v>
      </c>
      <c r="T937" s="5">
        <f>SUMIFS(EIAwtransport!$J$2:$J$675,EIAwtransport!$E$2:$E$675,Program_data!$E937,EIAwtransport!$I$2:$I$675,Program_data!T$2)</f>
        <v>892595</v>
      </c>
      <c r="U937" s="24">
        <f t="shared" si="311"/>
        <v>8.2747917377405756E-5</v>
      </c>
      <c r="V937" s="24">
        <f t="shared" si="312"/>
        <v>8.2747917377405756E-5</v>
      </c>
      <c r="W937" s="24">
        <f t="shared" si="313"/>
        <v>2.4686653153735061E-3</v>
      </c>
      <c r="X937" s="25">
        <f t="shared" si="314"/>
        <v>1.6967346849039555E-3</v>
      </c>
      <c r="Y937" s="8">
        <f t="shared" si="303"/>
        <v>6.0206715201564709</v>
      </c>
      <c r="Z937" s="27">
        <f t="shared" si="304"/>
        <v>0.14139768948683334</v>
      </c>
      <c r="AC937" s="56">
        <f t="shared" si="307"/>
        <v>2.5251443052407745E-3</v>
      </c>
      <c r="AE937" s="20">
        <f t="shared" si="315"/>
        <v>0</v>
      </c>
      <c r="AF937" s="20">
        <f t="shared" si="316"/>
        <v>1515011442.3000002</v>
      </c>
      <c r="AG937">
        <f t="shared" si="300"/>
        <v>14251402.800000001</v>
      </c>
      <c r="AH937">
        <f t="shared" si="301"/>
        <v>14251402.800000001</v>
      </c>
      <c r="AI937">
        <f t="shared" si="302"/>
        <v>16624201242.6</v>
      </c>
    </row>
    <row r="938" spans="2:35" x14ac:dyDescent="0.25">
      <c r="B938" s="4">
        <v>2025</v>
      </c>
      <c r="C938" s="4" t="s">
        <v>241</v>
      </c>
      <c r="D938" s="1" t="s">
        <v>570</v>
      </c>
      <c r="E938" s="4" t="str">
        <f t="shared" si="309"/>
        <v>CtPt-MN</v>
      </c>
      <c r="F938" s="4" t="s">
        <v>143</v>
      </c>
      <c r="G938" s="4">
        <v>1</v>
      </c>
      <c r="H938" s="11" t="s">
        <v>583</v>
      </c>
      <c r="I938" s="4"/>
      <c r="J938" s="4" t="s">
        <v>108</v>
      </c>
      <c r="K938" s="5">
        <v>18280</v>
      </c>
      <c r="L938" s="5">
        <f t="shared" si="310"/>
        <v>18280</v>
      </c>
      <c r="M938" s="8">
        <v>167842</v>
      </c>
      <c r="N938" s="8">
        <v>0</v>
      </c>
      <c r="O938" s="8">
        <f>SUMIFS(EIAwtransport!$J$2:$J$675,EIAwtransport!$E$2:$E$675,Program_data!$E938,EIAwtransport!$H$2:$H$675,Program_data!$F938,EIAwtransport!$I$2:$I$675,Program_data!O$2)</f>
        <v>0</v>
      </c>
      <c r="P938" s="5">
        <f>SUMIFS(EIAwtransport!$J$2:$J$675,EIAwtransport!$E$2:$E$675,Program_data!$E938,EIAwtransport!$H$2:$H$675,Program_data!$F938,EIAwtransport!$I$2:$I$675,Program_data!P$2)</f>
        <v>0</v>
      </c>
      <c r="Q938" s="5">
        <f>SUMIFS(EIAwtransport!$J$2:$J$675,EIAwtransport!$E$2:$E$675,Program_data!$E938,EIAwtransport!$H$2:$H$675,Program_data!$F938,EIAwtransport!$I$2:$I$675,Program_data!Q$2)</f>
        <v>0</v>
      </c>
      <c r="R938" s="8">
        <f>SUMIFS(EIAwtransport!$J$2:$J$675,EIAwtransport!$E$2:$E$675,Program_data!$E938,EIAwtransport!$I$2:$I$675,Program_data!R$2)</f>
        <v>1122230698</v>
      </c>
      <c r="S938" s="5">
        <f>SUMIFS(EIAwtransport!$J$2:$J$675,EIAwtransport!$E$2:$E$675,Program_data!$E938,EIAwtransport!$I$2:$I$675,Program_data!S$2)</f>
        <v>157605245</v>
      </c>
      <c r="T938" s="5">
        <f>SUMIFS(EIAwtransport!$J$2:$J$675,EIAwtransport!$E$2:$E$675,Program_data!$E938,EIAwtransport!$I$2:$I$675,Program_data!T$2)</f>
        <v>892595</v>
      </c>
      <c r="U938" s="24">
        <f t="shared" si="311"/>
        <v>1.1195558653385962E-5</v>
      </c>
      <c r="V938" s="24">
        <f t="shared" si="312"/>
        <v>1.1195558653385962E-5</v>
      </c>
      <c r="W938" s="24">
        <f t="shared" si="313"/>
        <v>1.4956104863208795E-4</v>
      </c>
      <c r="X938" s="25">
        <f t="shared" si="314"/>
        <v>1.0279458181081E-4</v>
      </c>
      <c r="Y938" s="8">
        <f t="shared" si="303"/>
        <v>0.36475497120504186</v>
      </c>
      <c r="Z938" s="27">
        <f t="shared" si="304"/>
        <v>8.5664049241950587E-3</v>
      </c>
      <c r="AC938" s="56">
        <f t="shared" si="307"/>
        <v>3.4164486640368111E-4</v>
      </c>
      <c r="AE938" s="20">
        <f t="shared" si="315"/>
        <v>0</v>
      </c>
      <c r="AF938" s="20">
        <f t="shared" si="316"/>
        <v>1515011442.3000002</v>
      </c>
      <c r="AG938">
        <f t="shared" si="300"/>
        <v>1928174.4000000001</v>
      </c>
      <c r="AH938">
        <f t="shared" si="301"/>
        <v>1928174.4000000001</v>
      </c>
      <c r="AI938">
        <f t="shared" si="302"/>
        <v>16624201242.6</v>
      </c>
    </row>
    <row r="939" spans="2:35" x14ac:dyDescent="0.25">
      <c r="B939" s="4">
        <v>2025</v>
      </c>
      <c r="C939" s="4" t="s">
        <v>241</v>
      </c>
      <c r="D939" s="1" t="s">
        <v>570</v>
      </c>
      <c r="E939" s="4" t="str">
        <f t="shared" si="309"/>
        <v>CtPt-MN</v>
      </c>
      <c r="F939" s="4" t="s">
        <v>143</v>
      </c>
      <c r="G939" s="4">
        <v>1</v>
      </c>
      <c r="H939" s="11" t="s">
        <v>584</v>
      </c>
      <c r="I939" s="4"/>
      <c r="J939" s="4" t="s">
        <v>108</v>
      </c>
      <c r="K939" s="5">
        <v>27080</v>
      </c>
      <c r="L939" s="5">
        <f t="shared" si="310"/>
        <v>27080</v>
      </c>
      <c r="M939" s="8">
        <v>695592</v>
      </c>
      <c r="N939" s="8">
        <v>525400</v>
      </c>
      <c r="O939" s="8">
        <f>SUMIFS(EIAwtransport!$J$2:$J$675,EIAwtransport!$E$2:$E$675,Program_data!$E939,EIAwtransport!$H$2:$H$675,Program_data!$F939,EIAwtransport!$I$2:$I$675,Program_data!O$2)</f>
        <v>0</v>
      </c>
      <c r="P939" s="5">
        <f>SUMIFS(EIAwtransport!$J$2:$J$675,EIAwtransport!$E$2:$E$675,Program_data!$E939,EIAwtransport!$H$2:$H$675,Program_data!$F939,EIAwtransport!$I$2:$I$675,Program_data!P$2)</f>
        <v>0</v>
      </c>
      <c r="Q939" s="5">
        <f>SUMIFS(EIAwtransport!$J$2:$J$675,EIAwtransport!$E$2:$E$675,Program_data!$E939,EIAwtransport!$H$2:$H$675,Program_data!$F939,EIAwtransport!$I$2:$I$675,Program_data!Q$2)</f>
        <v>0</v>
      </c>
      <c r="R939" s="8">
        <f>SUMIFS(EIAwtransport!$J$2:$J$675,EIAwtransport!$E$2:$E$675,Program_data!$E939,EIAwtransport!$I$2:$I$675,Program_data!R$2)</f>
        <v>1122230698</v>
      </c>
      <c r="S939" s="5">
        <f>SUMIFS(EIAwtransport!$J$2:$J$675,EIAwtransport!$E$2:$E$675,Program_data!$E939,EIAwtransport!$I$2:$I$675,Program_data!S$2)</f>
        <v>157605245</v>
      </c>
      <c r="T939" s="5">
        <f>SUMIFS(EIAwtransport!$J$2:$J$675,EIAwtransport!$E$2:$E$675,Program_data!$E939,EIAwtransport!$I$2:$I$675,Program_data!T$2)</f>
        <v>892595</v>
      </c>
      <c r="U939" s="24">
        <f t="shared" si="311"/>
        <v>1.6585105488713994E-5</v>
      </c>
      <c r="V939" s="24">
        <f t="shared" si="312"/>
        <v>1.6585105488713994E-5</v>
      </c>
      <c r="W939" s="24">
        <f t="shared" si="313"/>
        <v>6.1982977407377959E-4</v>
      </c>
      <c r="X939" s="25">
        <f t="shared" si="314"/>
        <v>4.2601427980448839E-4</v>
      </c>
      <c r="Y939" s="8">
        <f t="shared" si="303"/>
        <v>1.5116635879604476</v>
      </c>
      <c r="Z939" s="27">
        <f t="shared" si="304"/>
        <v>3.5501976466144884E-2</v>
      </c>
      <c r="AC939" s="56">
        <f t="shared" si="307"/>
        <v>5.0611285460676607E-4</v>
      </c>
      <c r="AE939" s="20">
        <f t="shared" si="315"/>
        <v>709290</v>
      </c>
      <c r="AF939" s="20">
        <f t="shared" si="316"/>
        <v>1515011442.3000002</v>
      </c>
      <c r="AG939">
        <f t="shared" si="300"/>
        <v>2856398.4</v>
      </c>
      <c r="AH939">
        <f t="shared" si="301"/>
        <v>2856398.4</v>
      </c>
      <c r="AI939">
        <f t="shared" si="302"/>
        <v>16624201242.6</v>
      </c>
    </row>
    <row r="940" spans="2:35" x14ac:dyDescent="0.25">
      <c r="B940" s="4">
        <v>2025</v>
      </c>
      <c r="C940" s="4" t="s">
        <v>241</v>
      </c>
      <c r="D940" s="1" t="s">
        <v>570</v>
      </c>
      <c r="E940" s="4" t="str">
        <f t="shared" si="309"/>
        <v>CtPt-MN</v>
      </c>
      <c r="F940" s="4" t="s">
        <v>143</v>
      </c>
      <c r="G940" s="4">
        <v>1</v>
      </c>
      <c r="H940" s="11" t="s">
        <v>585</v>
      </c>
      <c r="I940" s="4"/>
      <c r="J940" s="4" t="s">
        <v>108</v>
      </c>
      <c r="K940" s="5">
        <v>88370</v>
      </c>
      <c r="L940" s="5">
        <f t="shared" si="310"/>
        <v>88370</v>
      </c>
      <c r="M940" s="8">
        <v>754772</v>
      </c>
      <c r="N940" s="8">
        <v>219753</v>
      </c>
      <c r="O940" s="8">
        <f>SUMIFS(EIAwtransport!$J$2:$J$675,EIAwtransport!$E$2:$E$675,Program_data!$E940,EIAwtransport!$H$2:$H$675,Program_data!$F940,EIAwtransport!$I$2:$I$675,Program_data!O$2)</f>
        <v>0</v>
      </c>
      <c r="P940" s="5">
        <f>SUMIFS(EIAwtransport!$J$2:$J$675,EIAwtransport!$E$2:$E$675,Program_data!$E940,EIAwtransport!$H$2:$H$675,Program_data!$F940,EIAwtransport!$I$2:$I$675,Program_data!P$2)</f>
        <v>0</v>
      </c>
      <c r="Q940" s="5">
        <f>SUMIFS(EIAwtransport!$J$2:$J$675,EIAwtransport!$E$2:$E$675,Program_data!$E940,EIAwtransport!$H$2:$H$675,Program_data!$F940,EIAwtransport!$I$2:$I$675,Program_data!Q$2)</f>
        <v>0</v>
      </c>
      <c r="R940" s="8">
        <f>SUMIFS(EIAwtransport!$J$2:$J$675,EIAwtransport!$E$2:$E$675,Program_data!$E940,EIAwtransport!$I$2:$I$675,Program_data!R$2)</f>
        <v>1122230698</v>
      </c>
      <c r="S940" s="5">
        <f>SUMIFS(EIAwtransport!$J$2:$J$675,EIAwtransport!$E$2:$E$675,Program_data!$E940,EIAwtransport!$I$2:$I$675,Program_data!S$2)</f>
        <v>157605245</v>
      </c>
      <c r="T940" s="5">
        <f>SUMIFS(EIAwtransport!$J$2:$J$675,EIAwtransport!$E$2:$E$675,Program_data!$E940,EIAwtransport!$I$2:$I$675,Program_data!T$2)</f>
        <v>892595</v>
      </c>
      <c r="U940" s="24">
        <f t="shared" si="311"/>
        <v>5.4122074299765729E-5</v>
      </c>
      <c r="V940" s="24">
        <f t="shared" si="312"/>
        <v>5.4122074299765729E-5</v>
      </c>
      <c r="W940" s="24">
        <f t="shared" si="313"/>
        <v>6.7256402925452681E-4</v>
      </c>
      <c r="X940" s="25">
        <f t="shared" si="314"/>
        <v>4.6225898227206941E-4</v>
      </c>
      <c r="Y940" s="8">
        <f t="shared" si="303"/>
        <v>1.640273823753124</v>
      </c>
      <c r="Z940" s="27">
        <f t="shared" si="304"/>
        <v>3.8522435251275328E-2</v>
      </c>
      <c r="AC940" s="56">
        <f t="shared" si="307"/>
        <v>1.6515950133530251E-3</v>
      </c>
      <c r="AE940" s="20">
        <f t="shared" si="315"/>
        <v>296666.55000000005</v>
      </c>
      <c r="AF940" s="20">
        <f t="shared" si="316"/>
        <v>1515011442.3000002</v>
      </c>
      <c r="AG940">
        <f t="shared" si="300"/>
        <v>9321267.5999999996</v>
      </c>
      <c r="AH940">
        <f t="shared" si="301"/>
        <v>9321267.5999999996</v>
      </c>
      <c r="AI940">
        <f t="shared" si="302"/>
        <v>16624201242.6</v>
      </c>
    </row>
    <row r="941" spans="2:35" x14ac:dyDescent="0.25">
      <c r="B941" s="4">
        <v>2025</v>
      </c>
      <c r="C941" s="4" t="s">
        <v>241</v>
      </c>
      <c r="D941" s="1" t="s">
        <v>570</v>
      </c>
      <c r="E941" s="4" t="str">
        <f t="shared" si="309"/>
        <v>CtPt-MN</v>
      </c>
      <c r="F941" s="4" t="s">
        <v>143</v>
      </c>
      <c r="G941" s="4">
        <v>1</v>
      </c>
      <c r="H941" s="11" t="s">
        <v>586</v>
      </c>
      <c r="I941" s="4"/>
      <c r="J941" s="4" t="s">
        <v>155</v>
      </c>
      <c r="K941" s="5">
        <v>0</v>
      </c>
      <c r="L941" s="5">
        <f t="shared" si="310"/>
        <v>0</v>
      </c>
      <c r="M941" s="8">
        <v>329235</v>
      </c>
      <c r="N941" s="8">
        <v>0</v>
      </c>
      <c r="O941" s="8">
        <f>SUMIFS(EIAwtransport!$J$2:$J$675,EIAwtransport!$E$2:$E$675,Program_data!$E941,EIAwtransport!$H$2:$H$675,Program_data!$F941,EIAwtransport!$I$2:$I$675,Program_data!O$2)</f>
        <v>0</v>
      </c>
      <c r="P941" s="5">
        <f>SUMIFS(EIAwtransport!$J$2:$J$675,EIAwtransport!$E$2:$E$675,Program_data!$E941,EIAwtransport!$H$2:$H$675,Program_data!$F941,EIAwtransport!$I$2:$I$675,Program_data!P$2)</f>
        <v>0</v>
      </c>
      <c r="Q941" s="5">
        <f>SUMIFS(EIAwtransport!$J$2:$J$675,EIAwtransport!$E$2:$E$675,Program_data!$E941,EIAwtransport!$H$2:$H$675,Program_data!$F941,EIAwtransport!$I$2:$I$675,Program_data!Q$2)</f>
        <v>0</v>
      </c>
      <c r="R941" s="8">
        <f>SUMIFS(EIAwtransport!$J$2:$J$675,EIAwtransport!$E$2:$E$675,Program_data!$E941,EIAwtransport!$I$2:$I$675,Program_data!R$2)</f>
        <v>1122230698</v>
      </c>
      <c r="S941" s="5">
        <f>SUMIFS(EIAwtransport!$J$2:$J$675,EIAwtransport!$E$2:$E$675,Program_data!$E941,EIAwtransport!$I$2:$I$675,Program_data!S$2)</f>
        <v>157605245</v>
      </c>
      <c r="T941" s="5">
        <f>SUMIFS(EIAwtransport!$J$2:$J$675,EIAwtransport!$E$2:$E$675,Program_data!$E941,EIAwtransport!$I$2:$I$675,Program_data!T$2)</f>
        <v>892595</v>
      </c>
      <c r="U941" s="24">
        <f t="shared" si="311"/>
        <v>0</v>
      </c>
      <c r="V941" s="24">
        <f t="shared" si="312"/>
        <v>0</v>
      </c>
      <c r="W941" s="24">
        <f t="shared" si="313"/>
        <v>2.9337550700292821E-4</v>
      </c>
      <c r="X941" s="25">
        <f t="shared" si="314"/>
        <v>2.0163948321923013E-4</v>
      </c>
      <c r="Y941" s="8">
        <f t="shared" si="303"/>
        <v>0.71549494729979357</v>
      </c>
      <c r="Z941" s="27">
        <f t="shared" si="304"/>
        <v>1.680366252319062E-2</v>
      </c>
      <c r="AC941" s="56">
        <f t="shared" si="307"/>
        <v>0</v>
      </c>
      <c r="AE941" s="20">
        <f t="shared" si="315"/>
        <v>0</v>
      </c>
      <c r="AF941" s="20">
        <f t="shared" si="316"/>
        <v>1515011442.3000002</v>
      </c>
      <c r="AG941">
        <f t="shared" si="300"/>
        <v>0</v>
      </c>
      <c r="AH941">
        <f t="shared" si="301"/>
        <v>0</v>
      </c>
      <c r="AI941">
        <f t="shared" si="302"/>
        <v>16624201242.6</v>
      </c>
    </row>
    <row r="942" spans="2:35" x14ac:dyDescent="0.25">
      <c r="B942" s="4">
        <v>2025</v>
      </c>
      <c r="C942" s="4" t="s">
        <v>241</v>
      </c>
      <c r="D942" s="1" t="s">
        <v>570</v>
      </c>
      <c r="E942" s="4" t="str">
        <f t="shared" si="309"/>
        <v>CtPt-MN</v>
      </c>
      <c r="F942" s="4" t="s">
        <v>146</v>
      </c>
      <c r="G942" s="4"/>
      <c r="H942" s="11" t="s">
        <v>587</v>
      </c>
      <c r="I942" s="4"/>
      <c r="J942" s="4" t="s">
        <v>142</v>
      </c>
      <c r="K942" s="5">
        <v>490050</v>
      </c>
      <c r="L942" s="5">
        <f t="shared" si="310"/>
        <v>490050</v>
      </c>
      <c r="M942" s="8">
        <v>795305</v>
      </c>
      <c r="N942" s="8">
        <v>502531</v>
      </c>
      <c r="O942" s="8">
        <f>SUMIFS(EIAwtransport!$J$2:$J$675,EIAwtransport!$E$2:$E$675,Program_data!$E942,EIAwtransport!$H$2:$H$675,Program_data!$F942,EIAwtransport!$I$2:$I$675,Program_data!O$2)</f>
        <v>450708420</v>
      </c>
      <c r="P942" s="5">
        <f>SUMIFS(EIAwtransport!$J$2:$J$675,EIAwtransport!$E$2:$E$675,Program_data!$E942,EIAwtransport!$H$2:$H$675,Program_data!$F942,EIAwtransport!$I$2:$I$675,Program_data!P$2)</f>
        <v>89362251</v>
      </c>
      <c r="Q942" s="5">
        <f>SUMIFS(EIAwtransport!$J$2:$J$675,EIAwtransport!$E$2:$E$675,Program_data!$E942,EIAwtransport!$H$2:$H$675,Program_data!$F942,EIAwtransport!$I$2:$I$675,Program_data!Q$2)</f>
        <v>71286</v>
      </c>
      <c r="R942" s="8">
        <f>SUMIFS(EIAwtransport!$J$2:$J$675,EIAwtransport!$E$2:$E$675,Program_data!$E942,EIAwtransport!$I$2:$I$675,Program_data!R$2)</f>
        <v>1122230698</v>
      </c>
      <c r="S942" s="5">
        <f>SUMIFS(EIAwtransport!$J$2:$J$675,EIAwtransport!$E$2:$E$675,Program_data!$E942,EIAwtransport!$I$2:$I$675,Program_data!S$2)</f>
        <v>157605245</v>
      </c>
      <c r="T942" s="5">
        <f>SUMIFS(EIAwtransport!$J$2:$J$675,EIAwtransport!$E$2:$E$675,Program_data!$E942,EIAwtransport!$I$2:$I$675,Program_data!T$2)</f>
        <v>892595</v>
      </c>
      <c r="U942" s="24">
        <f t="shared" si="311"/>
        <v>3.0013038939232992E-4</v>
      </c>
      <c r="V942" s="24">
        <f t="shared" ref="V942:V1033" si="317">IFERROR(L942/10.36/S942,"")</f>
        <v>3.0013038939232992E-4</v>
      </c>
      <c r="W942" s="24">
        <f t="shared" si="313"/>
        <v>7.0868227131673067E-4</v>
      </c>
      <c r="X942" s="25">
        <f t="shared" si="314"/>
        <v>4.8708335748529112E-4</v>
      </c>
      <c r="Y942" s="8">
        <f t="shared" si="303"/>
        <v>6.3615239405525603E-2</v>
      </c>
      <c r="Z942" s="27">
        <f t="shared" si="304"/>
        <v>4.0591179015007875E-2</v>
      </c>
      <c r="AC942" s="56">
        <f t="shared" si="307"/>
        <v>9.1588110930592957E-3</v>
      </c>
      <c r="AE942" s="20">
        <f t="shared" si="315"/>
        <v>678416.85000000009</v>
      </c>
      <c r="AF942" s="20">
        <f t="shared" si="316"/>
        <v>1515011442.3000002</v>
      </c>
      <c r="AG942">
        <f t="shared" si="300"/>
        <v>51690474</v>
      </c>
      <c r="AH942">
        <f t="shared" si="301"/>
        <v>51690474</v>
      </c>
      <c r="AI942">
        <f t="shared" si="302"/>
        <v>16624201242.6</v>
      </c>
    </row>
    <row r="943" spans="2:35" x14ac:dyDescent="0.25">
      <c r="B943" s="4">
        <v>2025</v>
      </c>
      <c r="C943" s="4" t="s">
        <v>241</v>
      </c>
      <c r="D943" s="1" t="s">
        <v>570</v>
      </c>
      <c r="E943" s="4" t="str">
        <f t="shared" si="309"/>
        <v>CtPt-MN</v>
      </c>
      <c r="F943" s="4" t="s">
        <v>146</v>
      </c>
      <c r="G943" s="4"/>
      <c r="H943" s="11" t="s">
        <v>588</v>
      </c>
      <c r="I943" s="4"/>
      <c r="J943" s="4" t="s">
        <v>142</v>
      </c>
      <c r="K943" s="5">
        <v>7236720</v>
      </c>
      <c r="L943" s="5">
        <f t="shared" si="310"/>
        <v>7236720</v>
      </c>
      <c r="M943" s="8">
        <v>3385802</v>
      </c>
      <c r="N943" s="8">
        <v>1797638</v>
      </c>
      <c r="O943" s="8">
        <f>SUMIFS(EIAwtransport!$J$2:$J$675,EIAwtransport!$E$2:$E$675,Program_data!$E943,EIAwtransport!$H$2:$H$675,Program_data!$F943,EIAwtransport!$I$2:$I$675,Program_data!O$2)</f>
        <v>450708420</v>
      </c>
      <c r="P943" s="5">
        <f>SUMIFS(EIAwtransport!$J$2:$J$675,EIAwtransport!$E$2:$E$675,Program_data!$E943,EIAwtransport!$H$2:$H$675,Program_data!$F943,EIAwtransport!$I$2:$I$675,Program_data!P$2)</f>
        <v>89362251</v>
      </c>
      <c r="Q943" s="5">
        <f>SUMIFS(EIAwtransport!$J$2:$J$675,EIAwtransport!$E$2:$E$675,Program_data!$E943,EIAwtransport!$H$2:$H$675,Program_data!$F943,EIAwtransport!$I$2:$I$675,Program_data!Q$2)</f>
        <v>71286</v>
      </c>
      <c r="R943" s="8">
        <f>SUMIFS(EIAwtransport!$J$2:$J$675,EIAwtransport!$E$2:$E$675,Program_data!$E943,EIAwtransport!$I$2:$I$675,Program_data!R$2)</f>
        <v>1122230698</v>
      </c>
      <c r="S943" s="5">
        <f>SUMIFS(EIAwtransport!$J$2:$J$675,EIAwtransport!$E$2:$E$675,Program_data!$E943,EIAwtransport!$I$2:$I$675,Program_data!S$2)</f>
        <v>157605245</v>
      </c>
      <c r="T943" s="5">
        <f>SUMIFS(EIAwtransport!$J$2:$J$675,EIAwtransport!$E$2:$E$675,Program_data!$E943,EIAwtransport!$I$2:$I$675,Program_data!T$2)</f>
        <v>892595</v>
      </c>
      <c r="U943" s="24">
        <f t="shared" si="311"/>
        <v>4.4321183379721699E-3</v>
      </c>
      <c r="V943" s="24">
        <f t="shared" si="317"/>
        <v>4.4321183379721699E-3</v>
      </c>
      <c r="W943" s="24">
        <f t="shared" si="313"/>
        <v>3.0170285004982103E-3</v>
      </c>
      <c r="X943" s="25">
        <f t="shared" si="314"/>
        <v>2.073629369789469E-3</v>
      </c>
      <c r="Y943" s="8">
        <f t="shared" si="303"/>
        <v>0.27082516117679056</v>
      </c>
      <c r="Z943" s="27">
        <f t="shared" si="304"/>
        <v>0.17280627569469786</v>
      </c>
      <c r="AC943" s="56">
        <f t="shared" si="307"/>
        <v>0.1352509976805715</v>
      </c>
      <c r="AE943" s="20">
        <f t="shared" si="315"/>
        <v>2426811.3000000003</v>
      </c>
      <c r="AF943" s="20">
        <f t="shared" si="316"/>
        <v>1515011442.3000002</v>
      </c>
      <c r="AG943">
        <f t="shared" si="300"/>
        <v>763329225.60000002</v>
      </c>
      <c r="AH943">
        <f t="shared" si="301"/>
        <v>763329225.60000002</v>
      </c>
      <c r="AI943">
        <f t="shared" si="302"/>
        <v>16624201242.6</v>
      </c>
    </row>
    <row r="944" spans="2:35" x14ac:dyDescent="0.25">
      <c r="B944" s="4">
        <v>2025</v>
      </c>
      <c r="C944" s="4" t="s">
        <v>241</v>
      </c>
      <c r="D944" s="1" t="s">
        <v>570</v>
      </c>
      <c r="E944" s="4" t="str">
        <f t="shared" si="309"/>
        <v>CtPt-MN</v>
      </c>
      <c r="F944" s="4" t="s">
        <v>146</v>
      </c>
      <c r="G944" s="4"/>
      <c r="H944" s="11" t="s">
        <v>589</v>
      </c>
      <c r="I944" s="4"/>
      <c r="J944" s="4" t="s">
        <v>142</v>
      </c>
      <c r="K944" s="5">
        <v>1350050</v>
      </c>
      <c r="L944" s="5">
        <f t="shared" si="310"/>
        <v>1350050</v>
      </c>
      <c r="M944" s="8">
        <v>1932008</v>
      </c>
      <c r="N944" s="8">
        <v>690026</v>
      </c>
      <c r="O944" s="8">
        <f>SUMIFS(EIAwtransport!$J$2:$J$675,EIAwtransport!$E$2:$E$675,Program_data!$E944,EIAwtransport!$H$2:$H$675,Program_data!$F944,EIAwtransport!$I$2:$I$675,Program_data!O$2)</f>
        <v>450708420</v>
      </c>
      <c r="P944" s="5">
        <f>SUMIFS(EIAwtransport!$J$2:$J$675,EIAwtransport!$E$2:$E$675,Program_data!$E944,EIAwtransport!$H$2:$H$675,Program_data!$F944,EIAwtransport!$I$2:$I$675,Program_data!P$2)</f>
        <v>89362251</v>
      </c>
      <c r="Q944" s="5">
        <f>SUMIFS(EIAwtransport!$J$2:$J$675,EIAwtransport!$E$2:$E$675,Program_data!$E944,EIAwtransport!$H$2:$H$675,Program_data!$F944,EIAwtransport!$I$2:$I$675,Program_data!Q$2)</f>
        <v>71286</v>
      </c>
      <c r="R944" s="8">
        <f>SUMIFS(EIAwtransport!$J$2:$J$675,EIAwtransport!$E$2:$E$675,Program_data!$E944,EIAwtransport!$I$2:$I$675,Program_data!R$2)</f>
        <v>1122230698</v>
      </c>
      <c r="S944" s="5">
        <f>SUMIFS(EIAwtransport!$J$2:$J$675,EIAwtransport!$E$2:$E$675,Program_data!$E944,EIAwtransport!$I$2:$I$675,Program_data!S$2)</f>
        <v>157605245</v>
      </c>
      <c r="T944" s="5">
        <f>SUMIFS(EIAwtransport!$J$2:$J$675,EIAwtransport!$E$2:$E$675,Program_data!$E944,EIAwtransport!$I$2:$I$675,Program_data!T$2)</f>
        <v>892595</v>
      </c>
      <c r="U944" s="24">
        <f t="shared" si="311"/>
        <v>8.268361028448423E-4</v>
      </c>
      <c r="V944" s="24">
        <f t="shared" si="317"/>
        <v>8.268361028448423E-4</v>
      </c>
      <c r="W944" s="24">
        <f t="shared" si="313"/>
        <v>1.7215782846104252E-3</v>
      </c>
      <c r="X944" s="25">
        <f t="shared" si="314"/>
        <v>1.1832554093441413E-3</v>
      </c>
      <c r="Y944" s="8">
        <f t="shared" si="303"/>
        <v>0.15453838647234799</v>
      </c>
      <c r="Z944" s="27">
        <f t="shared" si="304"/>
        <v>9.8606801901694727E-2</v>
      </c>
      <c r="AC944" s="56">
        <f t="shared" si="307"/>
        <v>2.5231819031088058E-2</v>
      </c>
      <c r="AE944" s="20">
        <f t="shared" si="315"/>
        <v>931535.10000000009</v>
      </c>
      <c r="AF944" s="20">
        <f t="shared" si="316"/>
        <v>1515011442.3000002</v>
      </c>
      <c r="AG944">
        <f t="shared" si="300"/>
        <v>142403274</v>
      </c>
      <c r="AH944">
        <f t="shared" si="301"/>
        <v>142403274</v>
      </c>
      <c r="AI944">
        <f t="shared" si="302"/>
        <v>16624201242.6</v>
      </c>
    </row>
    <row r="945" spans="2:35" x14ac:dyDescent="0.25">
      <c r="B945" s="4">
        <v>2025</v>
      </c>
      <c r="C945" s="4" t="s">
        <v>241</v>
      </c>
      <c r="D945" s="1" t="s">
        <v>570</v>
      </c>
      <c r="E945" s="4" t="str">
        <f t="shared" si="309"/>
        <v>CtPt-MN</v>
      </c>
      <c r="F945" s="4" t="s">
        <v>146</v>
      </c>
      <c r="G945" s="4"/>
      <c r="H945" s="11" t="s">
        <v>590</v>
      </c>
      <c r="I945" s="4"/>
      <c r="J945" s="4" t="s">
        <v>142</v>
      </c>
      <c r="K945" s="5">
        <v>853800</v>
      </c>
      <c r="L945" s="5">
        <f t="shared" si="310"/>
        <v>853800</v>
      </c>
      <c r="M945" s="8">
        <v>779148</v>
      </c>
      <c r="N945" s="8">
        <v>29625</v>
      </c>
      <c r="O945" s="8">
        <f>SUMIFS(EIAwtransport!$J$2:$J$675,EIAwtransport!$E$2:$E$675,Program_data!$E945,EIAwtransport!$H$2:$H$675,Program_data!$F945,EIAwtransport!$I$2:$I$675,Program_data!O$2)</f>
        <v>450708420</v>
      </c>
      <c r="P945" s="5">
        <f>SUMIFS(EIAwtransport!$J$2:$J$675,EIAwtransport!$E$2:$E$675,Program_data!$E945,EIAwtransport!$H$2:$H$675,Program_data!$F945,EIAwtransport!$I$2:$I$675,Program_data!P$2)</f>
        <v>89362251</v>
      </c>
      <c r="Q945" s="5">
        <f>SUMIFS(EIAwtransport!$J$2:$J$675,EIAwtransport!$E$2:$E$675,Program_data!$E945,EIAwtransport!$H$2:$H$675,Program_data!$F945,EIAwtransport!$I$2:$I$675,Program_data!Q$2)</f>
        <v>71286</v>
      </c>
      <c r="R945" s="8">
        <f>SUMIFS(EIAwtransport!$J$2:$J$675,EIAwtransport!$E$2:$E$675,Program_data!$E945,EIAwtransport!$I$2:$I$675,Program_data!R$2)</f>
        <v>1122230698</v>
      </c>
      <c r="S945" s="5">
        <f>SUMIFS(EIAwtransport!$J$2:$J$675,EIAwtransport!$E$2:$E$675,Program_data!$E945,EIAwtransport!$I$2:$I$675,Program_data!S$2)</f>
        <v>157605245</v>
      </c>
      <c r="T945" s="5">
        <f>SUMIFS(EIAwtransport!$J$2:$J$675,EIAwtransport!$E$2:$E$675,Program_data!$E945,EIAwtransport!$I$2:$I$675,Program_data!T$2)</f>
        <v>892595</v>
      </c>
      <c r="U945" s="24">
        <f t="shared" si="311"/>
        <v>5.229085327276222E-4</v>
      </c>
      <c r="V945" s="24">
        <f t="shared" si="317"/>
        <v>5.229085327276222E-4</v>
      </c>
      <c r="W945" s="24">
        <f t="shared" si="313"/>
        <v>6.9428505332154087E-4</v>
      </c>
      <c r="X945" s="25">
        <f t="shared" si="314"/>
        <v>4.7718802700592806E-4</v>
      </c>
      <c r="Y945" s="8">
        <f t="shared" si="303"/>
        <v>6.2322865507366938E-2</v>
      </c>
      <c r="Z945" s="27">
        <f t="shared" si="304"/>
        <v>3.9766549873552104E-2</v>
      </c>
      <c r="AC945" s="56">
        <f t="shared" si="307"/>
        <v>1.5957132764522042E-2</v>
      </c>
      <c r="AE945" s="20">
        <f t="shared" si="315"/>
        <v>39993.75</v>
      </c>
      <c r="AF945" s="20">
        <f t="shared" si="316"/>
        <v>1515011442.3000002</v>
      </c>
      <c r="AG945">
        <f t="shared" si="300"/>
        <v>90058824</v>
      </c>
      <c r="AH945">
        <f t="shared" si="301"/>
        <v>90058824</v>
      </c>
      <c r="AI945">
        <f t="shared" si="302"/>
        <v>16624201242.6</v>
      </c>
    </row>
    <row r="946" spans="2:35" x14ac:dyDescent="0.25">
      <c r="B946" s="4">
        <v>2025</v>
      </c>
      <c r="C946" s="4" t="s">
        <v>241</v>
      </c>
      <c r="D946" s="1" t="s">
        <v>570</v>
      </c>
      <c r="E946" s="4" t="str">
        <f t="shared" si="309"/>
        <v>CtPt-MN</v>
      </c>
      <c r="F946" s="4" t="s">
        <v>146</v>
      </c>
      <c r="G946" s="4"/>
      <c r="H946" s="11" t="s">
        <v>591</v>
      </c>
      <c r="I946" s="4"/>
      <c r="J946" s="4" t="s">
        <v>142</v>
      </c>
      <c r="K946" s="5">
        <v>1557720</v>
      </c>
      <c r="L946" s="5">
        <f t="shared" si="310"/>
        <v>1557720</v>
      </c>
      <c r="M946" s="8">
        <v>1780078</v>
      </c>
      <c r="N946" s="8">
        <v>778862</v>
      </c>
      <c r="O946" s="8">
        <f>SUMIFS(EIAwtransport!$J$2:$J$675,EIAwtransport!$E$2:$E$675,Program_data!$E946,EIAwtransport!$H$2:$H$675,Program_data!$F946,EIAwtransport!$I$2:$I$675,Program_data!O$2)</f>
        <v>450708420</v>
      </c>
      <c r="P946" s="5">
        <f>SUMIFS(EIAwtransport!$J$2:$J$675,EIAwtransport!$E$2:$E$675,Program_data!$E946,EIAwtransport!$H$2:$H$675,Program_data!$F946,EIAwtransport!$I$2:$I$675,Program_data!P$2)</f>
        <v>89362251</v>
      </c>
      <c r="Q946" s="5">
        <f>SUMIFS(EIAwtransport!$J$2:$J$675,EIAwtransport!$E$2:$E$675,Program_data!$E946,EIAwtransport!$H$2:$H$675,Program_data!$F946,EIAwtransport!$I$2:$I$675,Program_data!Q$2)</f>
        <v>71286</v>
      </c>
      <c r="R946" s="8">
        <f>SUMIFS(EIAwtransport!$J$2:$J$675,EIAwtransport!$E$2:$E$675,Program_data!$E946,EIAwtransport!$I$2:$I$675,Program_data!R$2)</f>
        <v>1122230698</v>
      </c>
      <c r="S946" s="5">
        <f>SUMIFS(EIAwtransport!$J$2:$J$675,EIAwtransport!$E$2:$E$675,Program_data!$E946,EIAwtransport!$I$2:$I$675,Program_data!S$2)</f>
        <v>157605245</v>
      </c>
      <c r="T946" s="5">
        <f>SUMIFS(EIAwtransport!$J$2:$J$675,EIAwtransport!$E$2:$E$675,Program_data!$E946,EIAwtransport!$I$2:$I$675,Program_data!T$2)</f>
        <v>892595</v>
      </c>
      <c r="U946" s="24">
        <f t="shared" si="311"/>
        <v>9.5402328367354377E-4</v>
      </c>
      <c r="V946" s="24">
        <f t="shared" si="317"/>
        <v>9.5402328367354377E-4</v>
      </c>
      <c r="W946" s="24">
        <f t="shared" si="313"/>
        <v>1.586196138790707E-3</v>
      </c>
      <c r="X946" s="25">
        <f t="shared" si="314"/>
        <v>1.0902061081292109E-3</v>
      </c>
      <c r="Y946" s="8">
        <f t="shared" si="303"/>
        <v>0.14238573645395064</v>
      </c>
      <c r="Z946" s="27">
        <f t="shared" si="304"/>
        <v>9.0852521684985241E-2</v>
      </c>
      <c r="AC946" s="56">
        <f t="shared" si="307"/>
        <v>2.9113076657239723E-2</v>
      </c>
      <c r="AE946" s="20">
        <f t="shared" si="315"/>
        <v>1051463.7</v>
      </c>
      <c r="AF946" s="20">
        <f t="shared" si="316"/>
        <v>1515011442.3000002</v>
      </c>
      <c r="AG946">
        <f t="shared" si="300"/>
        <v>164308305.59999999</v>
      </c>
      <c r="AH946">
        <f t="shared" si="301"/>
        <v>164308305.59999999</v>
      </c>
      <c r="AI946">
        <f t="shared" si="302"/>
        <v>16624201242.6</v>
      </c>
    </row>
    <row r="947" spans="2:35" x14ac:dyDescent="0.25">
      <c r="B947" s="4">
        <v>2025</v>
      </c>
      <c r="C947" s="4" t="s">
        <v>241</v>
      </c>
      <c r="D947" s="1" t="s">
        <v>570</v>
      </c>
      <c r="E947" s="4" t="str">
        <f t="shared" si="309"/>
        <v>CtPt-MN</v>
      </c>
      <c r="F947" s="4" t="s">
        <v>146</v>
      </c>
      <c r="G947" s="4"/>
      <c r="H947" s="11" t="s">
        <v>592</v>
      </c>
      <c r="I947" s="4"/>
      <c r="J947" s="4" t="s">
        <v>142</v>
      </c>
      <c r="K947" s="5">
        <v>37740</v>
      </c>
      <c r="L947" s="5">
        <f t="shared" si="310"/>
        <v>37740</v>
      </c>
      <c r="M947" s="8">
        <v>33776</v>
      </c>
      <c r="N947" s="8">
        <v>0</v>
      </c>
      <c r="O947" s="8">
        <f>SUMIFS(EIAwtransport!$J$2:$J$675,EIAwtransport!$E$2:$E$675,Program_data!$E947,EIAwtransport!$H$2:$H$675,Program_data!$F947,EIAwtransport!$I$2:$I$675,Program_data!O$2)</f>
        <v>450708420</v>
      </c>
      <c r="P947" s="5">
        <f>SUMIFS(EIAwtransport!$J$2:$J$675,EIAwtransport!$E$2:$E$675,Program_data!$E947,EIAwtransport!$H$2:$H$675,Program_data!$F947,EIAwtransport!$I$2:$I$675,Program_data!P$2)</f>
        <v>89362251</v>
      </c>
      <c r="Q947" s="5">
        <f>SUMIFS(EIAwtransport!$J$2:$J$675,EIAwtransport!$E$2:$E$675,Program_data!$E947,EIAwtransport!$H$2:$H$675,Program_data!$F947,EIAwtransport!$I$2:$I$675,Program_data!Q$2)</f>
        <v>71286</v>
      </c>
      <c r="R947" s="8">
        <f>SUMIFS(EIAwtransport!$J$2:$J$675,EIAwtransport!$E$2:$E$675,Program_data!$E947,EIAwtransport!$I$2:$I$675,Program_data!R$2)</f>
        <v>1122230698</v>
      </c>
      <c r="S947" s="5">
        <f>SUMIFS(EIAwtransport!$J$2:$J$675,EIAwtransport!$E$2:$E$675,Program_data!$E947,EIAwtransport!$I$2:$I$675,Program_data!S$2)</f>
        <v>157605245</v>
      </c>
      <c r="T947" s="5">
        <f>SUMIFS(EIAwtransport!$J$2:$J$675,EIAwtransport!$E$2:$E$675,Program_data!$E947,EIAwtransport!$I$2:$I$675,Program_data!T$2)</f>
        <v>892595</v>
      </c>
      <c r="U947" s="24">
        <f t="shared" si="311"/>
        <v>2.3113806541509093E-5</v>
      </c>
      <c r="V947" s="24">
        <f t="shared" si="317"/>
        <v>2.3113806541509093E-5</v>
      </c>
      <c r="W947" s="24">
        <f t="shared" si="313"/>
        <v>3.0097198428268266E-5</v>
      </c>
      <c r="X947" s="25">
        <f t="shared" si="314"/>
        <v>2.0686060671595418E-5</v>
      </c>
      <c r="Y947" s="8">
        <f t="shared" si="303"/>
        <v>2.7016909565022638E-3</v>
      </c>
      <c r="Z947" s="27">
        <f t="shared" si="304"/>
        <v>1.7238765786847887E-3</v>
      </c>
      <c r="AC947" s="56">
        <f t="shared" si="307"/>
        <v>7.0534339486186682E-4</v>
      </c>
      <c r="AE947" s="20">
        <f t="shared" si="315"/>
        <v>0</v>
      </c>
      <c r="AF947" s="20">
        <f t="shared" si="316"/>
        <v>1515011442.3000002</v>
      </c>
      <c r="AG947">
        <f t="shared" si="300"/>
        <v>3980815.2</v>
      </c>
      <c r="AH947">
        <f t="shared" si="301"/>
        <v>3980815.2</v>
      </c>
      <c r="AI947">
        <f t="shared" si="302"/>
        <v>16624201242.6</v>
      </c>
    </row>
    <row r="948" spans="2:35" x14ac:dyDescent="0.25">
      <c r="B948" s="4">
        <v>2025</v>
      </c>
      <c r="C948" s="4" t="s">
        <v>241</v>
      </c>
      <c r="D948" s="1" t="s">
        <v>570</v>
      </c>
      <c r="E948" s="4" t="str">
        <f t="shared" si="309"/>
        <v>CtPt-MN</v>
      </c>
      <c r="F948" s="4" t="s">
        <v>146</v>
      </c>
      <c r="G948" s="4"/>
      <c r="H948" s="11" t="s">
        <v>593</v>
      </c>
      <c r="I948" s="4"/>
      <c r="J948" s="4" t="s">
        <v>142</v>
      </c>
      <c r="K948" s="5">
        <v>143260</v>
      </c>
      <c r="L948" s="5">
        <f t="shared" si="310"/>
        <v>143260</v>
      </c>
      <c r="M948" s="8">
        <v>325729</v>
      </c>
      <c r="N948" s="8">
        <v>82714</v>
      </c>
      <c r="O948" s="8">
        <f>SUMIFS(EIAwtransport!$J$2:$J$675,EIAwtransport!$E$2:$E$675,Program_data!$E948,EIAwtransport!$H$2:$H$675,Program_data!$F948,EIAwtransport!$I$2:$I$675,Program_data!O$2)</f>
        <v>450708420</v>
      </c>
      <c r="P948" s="5">
        <f>SUMIFS(EIAwtransport!$J$2:$J$675,EIAwtransport!$E$2:$E$675,Program_data!$E948,EIAwtransport!$H$2:$H$675,Program_data!$F948,EIAwtransport!$I$2:$I$675,Program_data!P$2)</f>
        <v>89362251</v>
      </c>
      <c r="Q948" s="5">
        <f>SUMIFS(EIAwtransport!$J$2:$J$675,EIAwtransport!$E$2:$E$675,Program_data!$E948,EIAwtransport!$H$2:$H$675,Program_data!$F948,EIAwtransport!$I$2:$I$675,Program_data!Q$2)</f>
        <v>71286</v>
      </c>
      <c r="R948" s="8">
        <f>SUMIFS(EIAwtransport!$J$2:$J$675,EIAwtransport!$E$2:$E$675,Program_data!$E948,EIAwtransport!$I$2:$I$675,Program_data!R$2)</f>
        <v>1122230698</v>
      </c>
      <c r="S948" s="5">
        <f>SUMIFS(EIAwtransport!$J$2:$J$675,EIAwtransport!$E$2:$E$675,Program_data!$E948,EIAwtransport!$I$2:$I$675,Program_data!S$2)</f>
        <v>157605245</v>
      </c>
      <c r="T948" s="5">
        <f>SUMIFS(EIAwtransport!$J$2:$J$675,EIAwtransport!$E$2:$E$675,Program_data!$E948,EIAwtransport!$I$2:$I$675,Program_data!T$2)</f>
        <v>892595</v>
      </c>
      <c r="U948" s="24">
        <f t="shared" si="311"/>
        <v>8.7739372685124333E-5</v>
      </c>
      <c r="V948" s="24">
        <f t="shared" si="317"/>
        <v>8.7739372685124333E-5</v>
      </c>
      <c r="W948" s="24">
        <f t="shared" si="313"/>
        <v>2.9025137218265616E-4</v>
      </c>
      <c r="X948" s="25">
        <f t="shared" si="314"/>
        <v>1.9949223876415516E-4</v>
      </c>
      <c r="Y948" s="8">
        <f t="shared" si="303"/>
        <v>2.6054568142187526E-2</v>
      </c>
      <c r="Z948" s="27">
        <f t="shared" si="304"/>
        <v>1.6624721521151634E-2</v>
      </c>
      <c r="AC948" s="56">
        <f t="shared" si="307"/>
        <v>2.6774640897697676E-3</v>
      </c>
      <c r="AE948" s="20">
        <f t="shared" si="315"/>
        <v>111663.90000000001</v>
      </c>
      <c r="AF948" s="20">
        <f t="shared" si="316"/>
        <v>1515011442.3000002</v>
      </c>
      <c r="AG948">
        <f t="shared" si="300"/>
        <v>15111064.800000001</v>
      </c>
      <c r="AH948">
        <f t="shared" si="301"/>
        <v>15111064.800000001</v>
      </c>
      <c r="AI948">
        <f t="shared" si="302"/>
        <v>16624201242.6</v>
      </c>
    </row>
    <row r="949" spans="2:35" x14ac:dyDescent="0.25">
      <c r="B949" s="4">
        <v>2025</v>
      </c>
      <c r="C949" s="4" t="s">
        <v>241</v>
      </c>
      <c r="D949" s="1" t="s">
        <v>570</v>
      </c>
      <c r="E949" s="4" t="str">
        <f t="shared" si="309"/>
        <v>CtPt-MN</v>
      </c>
      <c r="F949" s="4" t="s">
        <v>146</v>
      </c>
      <c r="G949" s="4"/>
      <c r="H949" s="11" t="s">
        <v>594</v>
      </c>
      <c r="I949" s="4"/>
      <c r="J949" s="4" t="s">
        <v>142</v>
      </c>
      <c r="K949" s="5">
        <v>16120</v>
      </c>
      <c r="L949" s="5">
        <f t="shared" si="310"/>
        <v>16120</v>
      </c>
      <c r="M949" s="8">
        <v>147683</v>
      </c>
      <c r="N949" s="8">
        <v>10000</v>
      </c>
      <c r="O949" s="8">
        <f>SUMIFS(EIAwtransport!$J$2:$J$675,EIAwtransport!$E$2:$E$675,Program_data!$E949,EIAwtransport!$H$2:$H$675,Program_data!$F949,EIAwtransport!$I$2:$I$675,Program_data!O$2)</f>
        <v>450708420</v>
      </c>
      <c r="P949" s="5">
        <f>SUMIFS(EIAwtransport!$J$2:$J$675,EIAwtransport!$E$2:$E$675,Program_data!$E949,EIAwtransport!$H$2:$H$675,Program_data!$F949,EIAwtransport!$I$2:$I$675,Program_data!P$2)</f>
        <v>89362251</v>
      </c>
      <c r="Q949" s="5">
        <f>SUMIFS(EIAwtransport!$J$2:$J$675,EIAwtransport!$E$2:$E$675,Program_data!$E949,EIAwtransport!$H$2:$H$675,Program_data!$F949,EIAwtransport!$I$2:$I$675,Program_data!Q$2)</f>
        <v>71286</v>
      </c>
      <c r="R949" s="8">
        <f>SUMIFS(EIAwtransport!$J$2:$J$675,EIAwtransport!$E$2:$E$675,Program_data!$E949,EIAwtransport!$I$2:$I$675,Program_data!R$2)</f>
        <v>1122230698</v>
      </c>
      <c r="S949" s="5">
        <f>SUMIFS(EIAwtransport!$J$2:$J$675,EIAwtransport!$E$2:$E$675,Program_data!$E949,EIAwtransport!$I$2:$I$675,Program_data!S$2)</f>
        <v>157605245</v>
      </c>
      <c r="T949" s="5">
        <f>SUMIFS(EIAwtransport!$J$2:$J$675,EIAwtransport!$E$2:$E$675,Program_data!$E949,EIAwtransport!$I$2:$I$675,Program_data!T$2)</f>
        <v>892595</v>
      </c>
      <c r="U949" s="24">
        <f t="shared" si="311"/>
        <v>9.8726698847145341E-6</v>
      </c>
      <c r="V949" s="24">
        <f t="shared" si="317"/>
        <v>9.8726698847145341E-6</v>
      </c>
      <c r="W949" s="24">
        <f t="shared" si="313"/>
        <v>1.3159771895671313E-4</v>
      </c>
      <c r="X949" s="25">
        <f t="shared" si="314"/>
        <v>9.0448232418380682E-5</v>
      </c>
      <c r="Y949" s="8">
        <f t="shared" si="303"/>
        <v>1.1812938936793102E-2</v>
      </c>
      <c r="Z949" s="27">
        <f t="shared" si="304"/>
        <v>7.5375196817238765E-3</v>
      </c>
      <c r="AC949" s="56">
        <f t="shared" si="307"/>
        <v>3.0127545111746933E-4</v>
      </c>
      <c r="AE949" s="20">
        <f t="shared" si="315"/>
        <v>13500</v>
      </c>
      <c r="AF949" s="20">
        <f t="shared" si="316"/>
        <v>1515011442.3000002</v>
      </c>
      <c r="AG949">
        <f t="shared" si="300"/>
        <v>1700337.6</v>
      </c>
      <c r="AH949">
        <f t="shared" si="301"/>
        <v>1700337.6</v>
      </c>
      <c r="AI949">
        <f t="shared" si="302"/>
        <v>16624201242.6</v>
      </c>
    </row>
    <row r="950" spans="2:35" x14ac:dyDescent="0.25">
      <c r="B950" s="4">
        <v>2025</v>
      </c>
      <c r="C950" s="4" t="s">
        <v>241</v>
      </c>
      <c r="D950" s="1" t="s">
        <v>570</v>
      </c>
      <c r="E950" s="4" t="str">
        <f t="shared" si="309"/>
        <v>CtPt-MN</v>
      </c>
      <c r="F950" s="4" t="s">
        <v>146</v>
      </c>
      <c r="G950" s="4"/>
      <c r="H950" s="11" t="s">
        <v>595</v>
      </c>
      <c r="I950" s="4"/>
      <c r="J950" s="4" t="s">
        <v>155</v>
      </c>
      <c r="K950" s="5">
        <v>0</v>
      </c>
      <c r="L950" s="5">
        <f t="shared" si="310"/>
        <v>0</v>
      </c>
      <c r="M950" s="8">
        <v>179375</v>
      </c>
      <c r="N950" s="8">
        <v>19500</v>
      </c>
      <c r="O950" s="8">
        <f>SUMIFS(EIAwtransport!$J$2:$J$675,EIAwtransport!$E$2:$E$675,Program_data!$E950,EIAwtransport!$H$2:$H$675,Program_data!$F950,EIAwtransport!$I$2:$I$675,Program_data!O$2)</f>
        <v>450708420</v>
      </c>
      <c r="P950" s="5">
        <f>SUMIFS(EIAwtransport!$J$2:$J$675,EIAwtransport!$E$2:$E$675,Program_data!$E950,EIAwtransport!$H$2:$H$675,Program_data!$F950,EIAwtransport!$I$2:$I$675,Program_data!P$2)</f>
        <v>89362251</v>
      </c>
      <c r="Q950" s="5">
        <f>SUMIFS(EIAwtransport!$J$2:$J$675,EIAwtransport!$E$2:$E$675,Program_data!$E950,EIAwtransport!$H$2:$H$675,Program_data!$F950,EIAwtransport!$I$2:$I$675,Program_data!Q$2)</f>
        <v>71286</v>
      </c>
      <c r="R950" s="8">
        <f>SUMIFS(EIAwtransport!$J$2:$J$675,EIAwtransport!$E$2:$E$675,Program_data!$E950,EIAwtransport!$I$2:$I$675,Program_data!R$2)</f>
        <v>1122230698</v>
      </c>
      <c r="S950" s="5">
        <f>SUMIFS(EIAwtransport!$J$2:$J$675,EIAwtransport!$E$2:$E$675,Program_data!$E950,EIAwtransport!$I$2:$I$675,Program_data!S$2)</f>
        <v>157605245</v>
      </c>
      <c r="T950" s="5">
        <f>SUMIFS(EIAwtransport!$J$2:$J$675,EIAwtransport!$E$2:$E$675,Program_data!$E950,EIAwtransport!$I$2:$I$675,Program_data!T$2)</f>
        <v>892595</v>
      </c>
      <c r="U950" s="24">
        <f t="shared" si="311"/>
        <v>0</v>
      </c>
      <c r="V950" s="24">
        <f t="shared" si="317"/>
        <v>0</v>
      </c>
      <c r="W950" s="24">
        <f t="shared" si="313"/>
        <v>1.5983790170744376E-4</v>
      </c>
      <c r="X950" s="25">
        <f t="shared" si="314"/>
        <v>1.0985795040760979E-4</v>
      </c>
      <c r="Y950" s="8">
        <f t="shared" si="303"/>
        <v>1.4347933897518757E-2</v>
      </c>
      <c r="Z950" s="27">
        <f t="shared" si="304"/>
        <v>9.1550320139028897E-3</v>
      </c>
      <c r="AC950" s="56">
        <f t="shared" si="307"/>
        <v>0</v>
      </c>
      <c r="AE950" s="20">
        <f t="shared" si="315"/>
        <v>26325</v>
      </c>
      <c r="AF950" s="20">
        <f t="shared" si="316"/>
        <v>1515011442.3000002</v>
      </c>
      <c r="AG950">
        <f t="shared" si="300"/>
        <v>0</v>
      </c>
      <c r="AH950">
        <f t="shared" si="301"/>
        <v>0</v>
      </c>
      <c r="AI950">
        <f t="shared" si="302"/>
        <v>16624201242.6</v>
      </c>
    </row>
    <row r="951" spans="2:35" x14ac:dyDescent="0.25">
      <c r="B951" s="4">
        <v>2025</v>
      </c>
      <c r="C951" s="4" t="s">
        <v>241</v>
      </c>
      <c r="D951" s="1" t="s">
        <v>570</v>
      </c>
      <c r="E951" s="4" t="str">
        <f t="shared" si="309"/>
        <v>CtPt-MN</v>
      </c>
      <c r="F951" s="4" t="s">
        <v>146</v>
      </c>
      <c r="G951" s="4"/>
      <c r="H951" s="11" t="s">
        <v>596</v>
      </c>
      <c r="I951" s="4"/>
      <c r="J951" s="11" t="s">
        <v>71</v>
      </c>
      <c r="K951" s="5">
        <v>157300</v>
      </c>
      <c r="L951" s="5">
        <f t="shared" si="310"/>
        <v>157300</v>
      </c>
      <c r="M951" s="8">
        <v>237531</v>
      </c>
      <c r="N951" s="8">
        <v>125840</v>
      </c>
      <c r="O951" s="8">
        <f>SUMIFS(EIAwtransport!$J$2:$J$675,EIAwtransport!$E$2:$E$675,Program_data!$E951,EIAwtransport!$H$2:$H$675,Program_data!$F951,EIAwtransport!$I$2:$I$675,Program_data!O$2)</f>
        <v>450708420</v>
      </c>
      <c r="P951" s="5">
        <f>SUMIFS(EIAwtransport!$J$2:$J$675,EIAwtransport!$E$2:$E$675,Program_data!$E951,EIAwtransport!$H$2:$H$675,Program_data!$F951,EIAwtransport!$I$2:$I$675,Program_data!P$2)</f>
        <v>89362251</v>
      </c>
      <c r="Q951" s="5">
        <f>SUMIFS(EIAwtransport!$J$2:$J$675,EIAwtransport!$E$2:$E$675,Program_data!$E951,EIAwtransport!$H$2:$H$675,Program_data!$F951,EIAwtransport!$I$2:$I$675,Program_data!Q$2)</f>
        <v>71286</v>
      </c>
      <c r="R951" s="8">
        <f>SUMIFS(EIAwtransport!$J$2:$J$675,EIAwtransport!$E$2:$E$675,Program_data!$E951,EIAwtransport!$I$2:$I$675,Program_data!R$2)</f>
        <v>1122230698</v>
      </c>
      <c r="S951" s="5">
        <f>SUMIFS(EIAwtransport!$J$2:$J$675,EIAwtransport!$E$2:$E$675,Program_data!$E951,EIAwtransport!$I$2:$I$675,Program_data!S$2)</f>
        <v>157605245</v>
      </c>
      <c r="T951" s="5">
        <f>SUMIFS(EIAwtransport!$J$2:$J$675,EIAwtransport!$E$2:$E$675,Program_data!$E951,EIAwtransport!$I$2:$I$675,Program_data!T$2)</f>
        <v>892595</v>
      </c>
      <c r="U951" s="24">
        <f t="shared" si="311"/>
        <v>9.633814968148861E-5</v>
      </c>
      <c r="V951" s="24">
        <f t="shared" si="317"/>
        <v>9.633814968148861E-5</v>
      </c>
      <c r="W951" s="24">
        <f t="shared" si="313"/>
        <v>2.1165968853224153E-4</v>
      </c>
      <c r="X951" s="25">
        <f t="shared" si="314"/>
        <v>1.4547550560707991E-4</v>
      </c>
      <c r="Y951" s="8">
        <f t="shared" si="303"/>
        <v>1.8999744036858692E-2</v>
      </c>
      <c r="Z951" s="27">
        <f t="shared" si="304"/>
        <v>1.2123227368888458E-2</v>
      </c>
      <c r="AC951" s="56">
        <f t="shared" si="307"/>
        <v>2.9398652891301441E-3</v>
      </c>
      <c r="AE951" s="20">
        <f t="shared" si="315"/>
        <v>169884</v>
      </c>
      <c r="AF951" s="20">
        <f t="shared" si="316"/>
        <v>1515011442.3000002</v>
      </c>
      <c r="AG951">
        <f t="shared" si="300"/>
        <v>16592004</v>
      </c>
      <c r="AH951">
        <f t="shared" si="301"/>
        <v>16592004</v>
      </c>
      <c r="AI951">
        <f t="shared" si="302"/>
        <v>16624201242.6</v>
      </c>
    </row>
    <row r="952" spans="2:35" x14ac:dyDescent="0.25">
      <c r="B952" s="4">
        <v>2025</v>
      </c>
      <c r="C952" s="4" t="s">
        <v>241</v>
      </c>
      <c r="D952" s="1" t="s">
        <v>570</v>
      </c>
      <c r="E952" s="4" t="str">
        <f t="shared" si="309"/>
        <v>CtPt-MN</v>
      </c>
      <c r="F952" s="4" t="s">
        <v>146</v>
      </c>
      <c r="G952" s="4"/>
      <c r="H952" s="11" t="s">
        <v>597</v>
      </c>
      <c r="I952" s="4"/>
      <c r="J952" s="4" t="s">
        <v>142</v>
      </c>
      <c r="K952" s="5">
        <v>659040</v>
      </c>
      <c r="L952" s="5">
        <f t="shared" si="310"/>
        <v>659040</v>
      </c>
      <c r="M952" s="8">
        <v>1625295</v>
      </c>
      <c r="N952" s="8">
        <v>511616</v>
      </c>
      <c r="O952" s="8">
        <f>SUMIFS(EIAwtransport!$J$2:$J$675,EIAwtransport!$E$2:$E$675,Program_data!$E952,EIAwtransport!$H$2:$H$675,Program_data!$F952,EIAwtransport!$I$2:$I$675,Program_data!O$2)</f>
        <v>450708420</v>
      </c>
      <c r="P952" s="5">
        <f>SUMIFS(EIAwtransport!$J$2:$J$675,EIAwtransport!$E$2:$E$675,Program_data!$E952,EIAwtransport!$H$2:$H$675,Program_data!$F952,EIAwtransport!$I$2:$I$675,Program_data!P$2)</f>
        <v>89362251</v>
      </c>
      <c r="Q952" s="5">
        <f>SUMIFS(EIAwtransport!$J$2:$J$675,EIAwtransport!$E$2:$E$675,Program_data!$E952,EIAwtransport!$H$2:$H$675,Program_data!$F952,EIAwtransport!$I$2:$I$675,Program_data!Q$2)</f>
        <v>71286</v>
      </c>
      <c r="R952" s="8">
        <f>SUMIFS(EIAwtransport!$J$2:$J$675,EIAwtransport!$E$2:$E$675,Program_data!$E952,EIAwtransport!$I$2:$I$675,Program_data!R$2)</f>
        <v>1122230698</v>
      </c>
      <c r="S952" s="5">
        <f>SUMIFS(EIAwtransport!$J$2:$J$675,EIAwtransport!$E$2:$E$675,Program_data!$E952,EIAwtransport!$I$2:$I$675,Program_data!S$2)</f>
        <v>157605245</v>
      </c>
      <c r="T952" s="5">
        <f>SUMIFS(EIAwtransport!$J$2:$J$675,EIAwtransport!$E$2:$E$675,Program_data!$E952,EIAwtransport!$I$2:$I$675,Program_data!T$2)</f>
        <v>892595</v>
      </c>
      <c r="U952" s="24">
        <f t="shared" si="311"/>
        <v>4.036280620857486E-4</v>
      </c>
      <c r="V952" s="24">
        <f t="shared" si="317"/>
        <v>4.036280620857486E-4</v>
      </c>
      <c r="W952" s="24">
        <f t="shared" si="313"/>
        <v>1.4482717349441105E-3</v>
      </c>
      <c r="X952" s="25">
        <f t="shared" si="314"/>
        <v>9.9540949133232687E-4</v>
      </c>
      <c r="Y952" s="8">
        <f t="shared" si="303"/>
        <v>0.13000487929738117</v>
      </c>
      <c r="Z952" s="27">
        <f t="shared" si="304"/>
        <v>8.2952628610655305E-2</v>
      </c>
      <c r="AC952" s="56">
        <f t="shared" si="307"/>
        <v>1.2317157152881947E-2</v>
      </c>
      <c r="AE952" s="20">
        <f t="shared" si="315"/>
        <v>690681.60000000009</v>
      </c>
      <c r="AF952" s="20">
        <f t="shared" si="316"/>
        <v>1515011442.3000002</v>
      </c>
      <c r="AG952">
        <f t="shared" si="300"/>
        <v>69515539.200000003</v>
      </c>
      <c r="AH952">
        <f t="shared" si="301"/>
        <v>69515539.200000003</v>
      </c>
      <c r="AI952">
        <f t="shared" si="302"/>
        <v>16624201242.6</v>
      </c>
    </row>
    <row r="953" spans="2:35" x14ac:dyDescent="0.25">
      <c r="B953" s="4">
        <v>2025</v>
      </c>
      <c r="C953" s="4" t="s">
        <v>241</v>
      </c>
      <c r="D953" s="1" t="s">
        <v>570</v>
      </c>
      <c r="E953" s="4" t="str">
        <f t="shared" si="309"/>
        <v>CtPt-MN</v>
      </c>
      <c r="F953" s="4" t="s">
        <v>155</v>
      </c>
      <c r="G953" s="4"/>
      <c r="H953" s="11" t="s">
        <v>598</v>
      </c>
      <c r="I953" s="4"/>
      <c r="J953" s="4" t="s">
        <v>155</v>
      </c>
      <c r="K953" s="5">
        <v>0</v>
      </c>
      <c r="L953" s="5">
        <f t="shared" si="310"/>
        <v>0</v>
      </c>
      <c r="M953" s="8">
        <v>1495089</v>
      </c>
      <c r="N953" s="8">
        <v>0</v>
      </c>
      <c r="O953" s="8">
        <f>SUMIFS(EIAwtransport!$J$2:$J$675,EIAwtransport!$E$2:$E$675,Program_data!$E953,EIAwtransport!$H$2:$H$675,Program_data!$F953,EIAwtransport!$I$2:$I$675,Program_data!O$2)</f>
        <v>0</v>
      </c>
      <c r="P953" s="5">
        <f>SUMIFS(EIAwtransport!$J$2:$J$675,EIAwtransport!$E$2:$E$675,Program_data!$E953,EIAwtransport!$H$2:$H$675,Program_data!$F953,EIAwtransport!$I$2:$I$675,Program_data!P$2)</f>
        <v>0</v>
      </c>
      <c r="Q953" s="5">
        <f>SUMIFS(EIAwtransport!$J$2:$J$675,EIAwtransport!$E$2:$E$675,Program_data!$E953,EIAwtransport!$H$2:$H$675,Program_data!$F953,EIAwtransport!$I$2:$I$675,Program_data!Q$2)</f>
        <v>0</v>
      </c>
      <c r="R953" s="8">
        <f>SUMIFS(EIAwtransport!$J$2:$J$675,EIAwtransport!$E$2:$E$675,Program_data!$E953,EIAwtransport!$I$2:$I$675,Program_data!R$2)</f>
        <v>1122230698</v>
      </c>
      <c r="S953" s="5">
        <f>SUMIFS(EIAwtransport!$J$2:$J$675,EIAwtransport!$E$2:$E$675,Program_data!$E953,EIAwtransport!$I$2:$I$675,Program_data!S$2)</f>
        <v>157605245</v>
      </c>
      <c r="T953" s="5">
        <f>SUMIFS(EIAwtransport!$J$2:$J$675,EIAwtransport!$E$2:$E$675,Program_data!$E953,EIAwtransport!$I$2:$I$675,Program_data!T$2)</f>
        <v>892595</v>
      </c>
      <c r="U953" s="24">
        <f t="shared" si="311"/>
        <v>0</v>
      </c>
      <c r="V953" s="24">
        <f t="shared" si="317"/>
        <v>0</v>
      </c>
      <c r="W953" s="24">
        <f t="shared" si="313"/>
        <v>1.332247462722678E-3</v>
      </c>
      <c r="X953" s="25">
        <f t="shared" si="314"/>
        <v>9.1566502141860861E-4</v>
      </c>
      <c r="Y953" s="8" t="str">
        <f t="shared" si="303"/>
        <v/>
      </c>
      <c r="Z953" s="27">
        <f t="shared" si="304"/>
        <v>7.6307108898308329E-2</v>
      </c>
      <c r="AC953" s="56">
        <f t="shared" si="307"/>
        <v>0</v>
      </c>
      <c r="AE953" s="20">
        <f t="shared" si="315"/>
        <v>0</v>
      </c>
      <c r="AF953" s="20">
        <f t="shared" si="316"/>
        <v>1515011442.3000002</v>
      </c>
      <c r="AG953">
        <f t="shared" si="300"/>
        <v>0</v>
      </c>
      <c r="AH953">
        <f t="shared" si="301"/>
        <v>0</v>
      </c>
      <c r="AI953">
        <f t="shared" si="302"/>
        <v>16624201242.6</v>
      </c>
    </row>
    <row r="954" spans="2:35" x14ac:dyDescent="0.25">
      <c r="B954" s="4">
        <v>2025</v>
      </c>
      <c r="C954" s="4" t="s">
        <v>241</v>
      </c>
      <c r="D954" s="1" t="s">
        <v>570</v>
      </c>
      <c r="E954" s="4" t="str">
        <f t="shared" si="309"/>
        <v>CtPt-MN</v>
      </c>
      <c r="F954" s="4" t="s">
        <v>155</v>
      </c>
      <c r="G954" s="4"/>
      <c r="H954" s="11" t="s">
        <v>599</v>
      </c>
      <c r="I954" s="4"/>
      <c r="J954" s="4" t="s">
        <v>155</v>
      </c>
      <c r="K954" s="5">
        <v>0</v>
      </c>
      <c r="L954" s="5">
        <f t="shared" ref="L954:L985" si="318">K954</f>
        <v>0</v>
      </c>
      <c r="M954" s="8">
        <v>1002000</v>
      </c>
      <c r="N954" s="8">
        <v>0</v>
      </c>
      <c r="O954" s="8">
        <f>SUMIFS(EIAwtransport!$J$2:$J$675,EIAwtransport!$E$2:$E$675,Program_data!$E954,EIAwtransport!$H$2:$H$675,Program_data!$F954,EIAwtransport!$I$2:$I$675,Program_data!O$2)</f>
        <v>0</v>
      </c>
      <c r="P954" s="5">
        <f>SUMIFS(EIAwtransport!$J$2:$J$675,EIAwtransport!$E$2:$E$675,Program_data!$E954,EIAwtransport!$H$2:$H$675,Program_data!$F954,EIAwtransport!$I$2:$I$675,Program_data!P$2)</f>
        <v>0</v>
      </c>
      <c r="Q954" s="5">
        <f>SUMIFS(EIAwtransport!$J$2:$J$675,EIAwtransport!$E$2:$E$675,Program_data!$E954,EIAwtransport!$H$2:$H$675,Program_data!$F954,EIAwtransport!$I$2:$I$675,Program_data!Q$2)</f>
        <v>0</v>
      </c>
      <c r="R954" s="8">
        <f>SUMIFS(EIAwtransport!$J$2:$J$675,EIAwtransport!$E$2:$E$675,Program_data!$E954,EIAwtransport!$I$2:$I$675,Program_data!R$2)</f>
        <v>1122230698</v>
      </c>
      <c r="S954" s="5">
        <f>SUMIFS(EIAwtransport!$J$2:$J$675,EIAwtransport!$E$2:$E$675,Program_data!$E954,EIAwtransport!$I$2:$I$675,Program_data!S$2)</f>
        <v>157605245</v>
      </c>
      <c r="T954" s="5">
        <f>SUMIFS(EIAwtransport!$J$2:$J$675,EIAwtransport!$E$2:$E$675,Program_data!$E954,EIAwtransport!$I$2:$I$675,Program_data!T$2)</f>
        <v>892595</v>
      </c>
      <c r="U954" s="24">
        <f t="shared" si="311"/>
        <v>0</v>
      </c>
      <c r="V954" s="24">
        <f t="shared" si="317"/>
        <v>0</v>
      </c>
      <c r="W954" s="24">
        <f t="shared" si="313"/>
        <v>8.9286454361454297E-4</v>
      </c>
      <c r="X954" s="25">
        <f t="shared" si="314"/>
        <v>6.1367340102257844E-4</v>
      </c>
      <c r="Y954" s="8" t="str">
        <f t="shared" si="303"/>
        <v/>
      </c>
      <c r="Z954" s="27">
        <f t="shared" si="304"/>
        <v>5.1140583012854048E-2</v>
      </c>
      <c r="AC954" s="56">
        <f t="shared" si="307"/>
        <v>0</v>
      </c>
      <c r="AE954" s="20">
        <f t="shared" si="315"/>
        <v>0</v>
      </c>
      <c r="AF954" s="20">
        <f t="shared" si="316"/>
        <v>1515011442.3000002</v>
      </c>
      <c r="AG954">
        <f t="shared" si="300"/>
        <v>0</v>
      </c>
      <c r="AH954">
        <f t="shared" si="301"/>
        <v>0</v>
      </c>
      <c r="AI954">
        <f t="shared" si="302"/>
        <v>16624201242.6</v>
      </c>
    </row>
    <row r="955" spans="2:35" x14ac:dyDescent="0.25">
      <c r="B955" s="4">
        <v>2025</v>
      </c>
      <c r="C955" s="4" t="s">
        <v>241</v>
      </c>
      <c r="D955" s="1" t="s">
        <v>570</v>
      </c>
      <c r="E955" s="4" t="str">
        <f t="shared" si="309"/>
        <v>CtPt-MN</v>
      </c>
      <c r="F955" s="4" t="s">
        <v>155</v>
      </c>
      <c r="G955" s="4"/>
      <c r="H955" s="11" t="s">
        <v>600</v>
      </c>
      <c r="I955" s="4"/>
      <c r="J955" s="4" t="s">
        <v>155</v>
      </c>
      <c r="K955" s="5">
        <v>0</v>
      </c>
      <c r="L955" s="5">
        <f t="shared" si="318"/>
        <v>0</v>
      </c>
      <c r="M955" s="8">
        <v>260000</v>
      </c>
      <c r="N955" s="8">
        <v>0</v>
      </c>
      <c r="O955" s="8">
        <f>SUMIFS(EIAwtransport!$J$2:$J$675,EIAwtransport!$E$2:$E$675,Program_data!$E955,EIAwtransport!$H$2:$H$675,Program_data!$F955,EIAwtransport!$I$2:$I$675,Program_data!O$2)</f>
        <v>0</v>
      </c>
      <c r="P955" s="5">
        <f>SUMIFS(EIAwtransport!$J$2:$J$675,EIAwtransport!$E$2:$E$675,Program_data!$E955,EIAwtransport!$H$2:$H$675,Program_data!$F955,EIAwtransport!$I$2:$I$675,Program_data!P$2)</f>
        <v>0</v>
      </c>
      <c r="Q955" s="5">
        <f>SUMIFS(EIAwtransport!$J$2:$J$675,EIAwtransport!$E$2:$E$675,Program_data!$E955,EIAwtransport!$H$2:$H$675,Program_data!$F955,EIAwtransport!$I$2:$I$675,Program_data!Q$2)</f>
        <v>0</v>
      </c>
      <c r="R955" s="8">
        <f>SUMIFS(EIAwtransport!$J$2:$J$675,EIAwtransport!$E$2:$E$675,Program_data!$E955,EIAwtransport!$I$2:$I$675,Program_data!R$2)</f>
        <v>1122230698</v>
      </c>
      <c r="S955" s="5">
        <f>SUMIFS(EIAwtransport!$J$2:$J$675,EIAwtransport!$E$2:$E$675,Program_data!$E955,EIAwtransport!$I$2:$I$675,Program_data!S$2)</f>
        <v>157605245</v>
      </c>
      <c r="T955" s="5">
        <f>SUMIFS(EIAwtransport!$J$2:$J$675,EIAwtransport!$E$2:$E$675,Program_data!$E955,EIAwtransport!$I$2:$I$675,Program_data!T$2)</f>
        <v>892595</v>
      </c>
      <c r="U955" s="24">
        <f t="shared" si="311"/>
        <v>0</v>
      </c>
      <c r="V955" s="24">
        <f t="shared" si="317"/>
        <v>0</v>
      </c>
      <c r="W955" s="24">
        <f t="shared" si="313"/>
        <v>2.3168141850277561E-4</v>
      </c>
      <c r="X955" s="25">
        <f t="shared" si="314"/>
        <v>1.5923661104378281E-4</v>
      </c>
      <c r="Y955" s="8" t="str">
        <f t="shared" si="303"/>
        <v/>
      </c>
      <c r="Z955" s="27">
        <f t="shared" si="304"/>
        <v>1.3270011560221609E-2</v>
      </c>
      <c r="AC955" s="56">
        <f t="shared" si="307"/>
        <v>0</v>
      </c>
      <c r="AE955" s="20">
        <f t="shared" si="315"/>
        <v>0</v>
      </c>
      <c r="AF955" s="20">
        <f t="shared" si="316"/>
        <v>1515011442.3000002</v>
      </c>
      <c r="AG955">
        <f t="shared" si="300"/>
        <v>0</v>
      </c>
      <c r="AH955">
        <f t="shared" si="301"/>
        <v>0</v>
      </c>
      <c r="AI955">
        <f t="shared" si="302"/>
        <v>16624201242.6</v>
      </c>
    </row>
    <row r="956" spans="2:35" x14ac:dyDescent="0.25">
      <c r="B956" s="4">
        <v>2025</v>
      </c>
      <c r="C956" s="4" t="s">
        <v>241</v>
      </c>
      <c r="D956" s="1" t="s">
        <v>570</v>
      </c>
      <c r="E956" s="4" t="str">
        <f t="shared" si="309"/>
        <v>CtPt-MN</v>
      </c>
      <c r="F956" s="4" t="s">
        <v>155</v>
      </c>
      <c r="G956" s="4"/>
      <c r="H956" s="11" t="s">
        <v>601</v>
      </c>
      <c r="I956" s="4"/>
      <c r="J956" s="4" t="s">
        <v>155</v>
      </c>
      <c r="K956" s="5">
        <v>0</v>
      </c>
      <c r="L956" s="5">
        <f t="shared" si="318"/>
        <v>0</v>
      </c>
      <c r="M956" s="8">
        <v>520514</v>
      </c>
      <c r="N956" s="8">
        <v>0</v>
      </c>
      <c r="O956" s="8">
        <f>SUMIFS(EIAwtransport!$J$2:$J$675,EIAwtransport!$E$2:$E$675,Program_data!$E956,EIAwtransport!$H$2:$H$675,Program_data!$F956,EIAwtransport!$I$2:$I$675,Program_data!O$2)</f>
        <v>0</v>
      </c>
      <c r="P956" s="5">
        <f>SUMIFS(EIAwtransport!$J$2:$J$675,EIAwtransport!$E$2:$E$675,Program_data!$E956,EIAwtransport!$H$2:$H$675,Program_data!$F956,EIAwtransport!$I$2:$I$675,Program_data!P$2)</f>
        <v>0</v>
      </c>
      <c r="Q956" s="5">
        <f>SUMIFS(EIAwtransport!$J$2:$J$675,EIAwtransport!$E$2:$E$675,Program_data!$E956,EIAwtransport!$H$2:$H$675,Program_data!$F956,EIAwtransport!$I$2:$I$675,Program_data!Q$2)</f>
        <v>0</v>
      </c>
      <c r="R956" s="8">
        <f>SUMIFS(EIAwtransport!$J$2:$J$675,EIAwtransport!$E$2:$E$675,Program_data!$E956,EIAwtransport!$I$2:$I$675,Program_data!R$2)</f>
        <v>1122230698</v>
      </c>
      <c r="S956" s="5">
        <f>SUMIFS(EIAwtransport!$J$2:$J$675,EIAwtransport!$E$2:$E$675,Program_data!$E956,EIAwtransport!$I$2:$I$675,Program_data!S$2)</f>
        <v>157605245</v>
      </c>
      <c r="T956" s="5">
        <f>SUMIFS(EIAwtransport!$J$2:$J$675,EIAwtransport!$E$2:$E$675,Program_data!$E956,EIAwtransport!$I$2:$I$675,Program_data!T$2)</f>
        <v>892595</v>
      </c>
      <c r="U956" s="24">
        <f t="shared" si="311"/>
        <v>0</v>
      </c>
      <c r="V956" s="24">
        <f t="shared" si="317"/>
        <v>0</v>
      </c>
      <c r="W956" s="24">
        <f t="shared" si="313"/>
        <v>4.6382085334828368E-4</v>
      </c>
      <c r="X956" s="25">
        <f t="shared" si="314"/>
        <v>3.1878802061862912E-4</v>
      </c>
      <c r="Y956" s="8" t="str">
        <f t="shared" si="303"/>
        <v/>
      </c>
      <c r="Z956" s="27">
        <f t="shared" si="304"/>
        <v>2.6566256912527658E-2</v>
      </c>
      <c r="AC956" s="56">
        <f t="shared" si="307"/>
        <v>0</v>
      </c>
      <c r="AE956" s="20">
        <f t="shared" si="315"/>
        <v>0</v>
      </c>
      <c r="AF956" s="20">
        <f t="shared" si="316"/>
        <v>1515011442.3000002</v>
      </c>
      <c r="AG956">
        <f t="shared" si="300"/>
        <v>0</v>
      </c>
      <c r="AH956">
        <f t="shared" si="301"/>
        <v>0</v>
      </c>
      <c r="AI956">
        <f t="shared" si="302"/>
        <v>16624201242.6</v>
      </c>
    </row>
    <row r="957" spans="2:35" x14ac:dyDescent="0.25">
      <c r="B957" s="4">
        <v>2025</v>
      </c>
      <c r="C957" s="4" t="s">
        <v>241</v>
      </c>
      <c r="D957" s="1" t="s">
        <v>570</v>
      </c>
      <c r="E957" s="4" t="str">
        <f t="shared" si="309"/>
        <v>CtPt-MN</v>
      </c>
      <c r="F957" s="4" t="s">
        <v>135</v>
      </c>
      <c r="G957" s="4"/>
      <c r="H957" s="11" t="s">
        <v>602</v>
      </c>
      <c r="I957" s="4"/>
      <c r="J957" s="4" t="s">
        <v>142</v>
      </c>
      <c r="K957" s="5">
        <v>134140</v>
      </c>
      <c r="L957" s="5">
        <f t="shared" si="318"/>
        <v>134140</v>
      </c>
      <c r="M957" s="8">
        <v>565797</v>
      </c>
      <c r="N957" s="8">
        <v>500000</v>
      </c>
      <c r="O957" s="8">
        <f>SUMIFS(EIAwtransport!$J$2:$J$675,EIAwtransport!$E$2:$E$675,Program_data!$E957,EIAwtransport!$H$2:$H$675,Program_data!$F957,EIAwtransport!$I$2:$I$675,Program_data!O$2)</f>
        <v>671522278</v>
      </c>
      <c r="P957" s="5">
        <f>SUMIFS(EIAwtransport!$J$2:$J$675,EIAwtransport!$E$2:$E$675,Program_data!$E957,EIAwtransport!$H$2:$H$675,Program_data!$F957,EIAwtransport!$I$2:$I$675,Program_data!P$2)</f>
        <v>68242994</v>
      </c>
      <c r="Q957" s="5">
        <f>SUMIFS(EIAwtransport!$J$2:$J$675,EIAwtransport!$E$2:$E$675,Program_data!$E957,EIAwtransport!$H$2:$H$675,Program_data!$F957,EIAwtransport!$I$2:$I$675,Program_data!Q$2)</f>
        <v>821309</v>
      </c>
      <c r="R957" s="8">
        <f>SUMIFS(EIAwtransport!$J$2:$J$675,EIAwtransport!$E$2:$E$675,Program_data!$E957,EIAwtransport!$I$2:$I$675,Program_data!R$2)</f>
        <v>1122230698</v>
      </c>
      <c r="S957" s="5">
        <f>SUMIFS(EIAwtransport!$J$2:$J$675,EIAwtransport!$E$2:$E$675,Program_data!$E957,EIAwtransport!$I$2:$I$675,Program_data!S$2)</f>
        <v>157605245</v>
      </c>
      <c r="T957" s="5">
        <f>SUMIFS(EIAwtransport!$J$2:$J$675,EIAwtransport!$E$2:$E$675,Program_data!$E957,EIAwtransport!$I$2:$I$675,Program_data!T$2)</f>
        <v>892595</v>
      </c>
      <c r="U957" s="24">
        <f t="shared" si="311"/>
        <v>8.215384232851164E-5</v>
      </c>
      <c r="V957" s="24">
        <f t="shared" si="317"/>
        <v>8.215384232851164E-5</v>
      </c>
      <c r="W957" s="24">
        <f t="shared" si="313"/>
        <v>5.0417173671005741E-4</v>
      </c>
      <c r="X957" s="25">
        <f t="shared" si="314"/>
        <v>3.4652152622591996E-4</v>
      </c>
      <c r="Y957" s="8">
        <f t="shared" si="303"/>
        <v>8.5324757581698357E-2</v>
      </c>
      <c r="Z957" s="27">
        <f t="shared" si="304"/>
        <v>2.8877433579764251E-2</v>
      </c>
      <c r="AC957" s="56">
        <f t="shared" si="307"/>
        <v>2.5070154474502071E-3</v>
      </c>
      <c r="AE957" s="20">
        <f t="shared" si="315"/>
        <v>675000</v>
      </c>
      <c r="AF957" s="20">
        <f t="shared" si="316"/>
        <v>1515011442.3000002</v>
      </c>
      <c r="AG957">
        <f t="shared" si="300"/>
        <v>14149087.200000001</v>
      </c>
      <c r="AH957">
        <f t="shared" si="301"/>
        <v>14149087.200000001</v>
      </c>
      <c r="AI957">
        <f t="shared" si="302"/>
        <v>16624201242.6</v>
      </c>
    </row>
    <row r="958" spans="2:35" x14ac:dyDescent="0.25">
      <c r="B958" s="4">
        <v>2025</v>
      </c>
      <c r="C958" s="4" t="s">
        <v>241</v>
      </c>
      <c r="D958" s="1" t="s">
        <v>570</v>
      </c>
      <c r="E958" s="4" t="str">
        <f t="shared" si="309"/>
        <v>CtPt-MN</v>
      </c>
      <c r="F958" s="4" t="s">
        <v>155</v>
      </c>
      <c r="G958" s="4"/>
      <c r="H958" s="11" t="s">
        <v>603</v>
      </c>
      <c r="I958" s="4"/>
      <c r="J958" s="4" t="s">
        <v>155</v>
      </c>
      <c r="K958" s="5">
        <v>0</v>
      </c>
      <c r="L958" s="5">
        <f t="shared" si="318"/>
        <v>0</v>
      </c>
      <c r="M958" s="8">
        <v>60704</v>
      </c>
      <c r="N958" s="8">
        <v>0</v>
      </c>
      <c r="O958" s="8">
        <f>SUMIFS(EIAwtransport!$J$2:$J$675,EIAwtransport!$E$2:$E$675,Program_data!$E958,EIAwtransport!$H$2:$H$675,Program_data!$F958,EIAwtransport!$I$2:$I$675,Program_data!O$2)</f>
        <v>0</v>
      </c>
      <c r="P958" s="5">
        <f>SUMIFS(EIAwtransport!$J$2:$J$675,EIAwtransport!$E$2:$E$675,Program_data!$E958,EIAwtransport!$H$2:$H$675,Program_data!$F958,EIAwtransport!$I$2:$I$675,Program_data!P$2)</f>
        <v>0</v>
      </c>
      <c r="Q958" s="5">
        <f>SUMIFS(EIAwtransport!$J$2:$J$675,EIAwtransport!$E$2:$E$675,Program_data!$E958,EIAwtransport!$H$2:$H$675,Program_data!$F958,EIAwtransport!$I$2:$I$675,Program_data!Q$2)</f>
        <v>0</v>
      </c>
      <c r="R958" s="8">
        <f>SUMIFS(EIAwtransport!$J$2:$J$675,EIAwtransport!$E$2:$E$675,Program_data!$E958,EIAwtransport!$I$2:$I$675,Program_data!R$2)</f>
        <v>1122230698</v>
      </c>
      <c r="S958" s="5">
        <f>SUMIFS(EIAwtransport!$J$2:$J$675,EIAwtransport!$E$2:$E$675,Program_data!$E958,EIAwtransport!$I$2:$I$675,Program_data!S$2)</f>
        <v>157605245</v>
      </c>
      <c r="T958" s="5">
        <f>SUMIFS(EIAwtransport!$J$2:$J$675,EIAwtransport!$E$2:$E$675,Program_data!$E958,EIAwtransport!$I$2:$I$675,Program_data!T$2)</f>
        <v>892595</v>
      </c>
      <c r="U958" s="24">
        <f t="shared" si="311"/>
        <v>0</v>
      </c>
      <c r="V958" s="24">
        <f t="shared" si="317"/>
        <v>0</v>
      </c>
      <c r="W958" s="24">
        <f t="shared" si="313"/>
        <v>5.4092264726124969E-5</v>
      </c>
      <c r="X958" s="25">
        <f t="shared" si="314"/>
        <v>3.7178073987699202E-5</v>
      </c>
      <c r="Y958" s="8" t="str">
        <f t="shared" si="303"/>
        <v/>
      </c>
      <c r="Z958" s="27">
        <f t="shared" si="304"/>
        <v>3.0982414682757405E-3</v>
      </c>
      <c r="AC958" s="56">
        <f t="shared" si="307"/>
        <v>0</v>
      </c>
      <c r="AE958" s="20">
        <f t="shared" si="315"/>
        <v>0</v>
      </c>
      <c r="AF958" s="20">
        <f t="shared" si="316"/>
        <v>1515011442.3000002</v>
      </c>
      <c r="AG958">
        <f t="shared" si="300"/>
        <v>0</v>
      </c>
      <c r="AH958">
        <f t="shared" si="301"/>
        <v>0</v>
      </c>
      <c r="AI958">
        <f t="shared" si="302"/>
        <v>16624201242.6</v>
      </c>
    </row>
    <row r="959" spans="2:35" x14ac:dyDescent="0.25">
      <c r="B959" s="4">
        <v>2025</v>
      </c>
      <c r="C959" s="4" t="s">
        <v>241</v>
      </c>
      <c r="D959" s="1" t="s">
        <v>570</v>
      </c>
      <c r="E959" s="4" t="str">
        <f t="shared" si="309"/>
        <v>CtPt-MN</v>
      </c>
      <c r="F959" s="4" t="s">
        <v>135</v>
      </c>
      <c r="G959" s="4"/>
      <c r="H959" s="11" t="s">
        <v>604</v>
      </c>
      <c r="I959" s="4"/>
      <c r="J959" s="4" t="s">
        <v>142</v>
      </c>
      <c r="K959" s="5">
        <v>15180</v>
      </c>
      <c r="L959" s="5">
        <f t="shared" si="318"/>
        <v>15180</v>
      </c>
      <c r="M959" s="8">
        <v>113275</v>
      </c>
      <c r="N959" s="8">
        <v>100000</v>
      </c>
      <c r="O959" s="8">
        <f>SUMIFS(EIAwtransport!$J$2:$J$675,EIAwtransport!$E$2:$E$675,Program_data!$E959,EIAwtransport!$H$2:$H$675,Program_data!$F959,EIAwtransport!$I$2:$I$675,Program_data!O$2)</f>
        <v>671522278</v>
      </c>
      <c r="P959" s="5">
        <f>SUMIFS(EIAwtransport!$J$2:$J$675,EIAwtransport!$E$2:$E$675,Program_data!$E959,EIAwtransport!$H$2:$H$675,Program_data!$F959,EIAwtransport!$I$2:$I$675,Program_data!P$2)</f>
        <v>68242994</v>
      </c>
      <c r="Q959" s="5">
        <f>SUMIFS(EIAwtransport!$J$2:$J$675,EIAwtransport!$E$2:$E$675,Program_data!$E959,EIAwtransport!$H$2:$H$675,Program_data!$F959,EIAwtransport!$I$2:$I$675,Program_data!Q$2)</f>
        <v>821309</v>
      </c>
      <c r="R959" s="8">
        <f>SUMIFS(EIAwtransport!$J$2:$J$675,EIAwtransport!$E$2:$E$675,Program_data!$E959,EIAwtransport!$I$2:$I$675,Program_data!R$2)</f>
        <v>1122230698</v>
      </c>
      <c r="S959" s="5">
        <f>SUMIFS(EIAwtransport!$J$2:$J$675,EIAwtransport!$E$2:$E$675,Program_data!$E959,EIAwtransport!$I$2:$I$675,Program_data!S$2)</f>
        <v>157605245</v>
      </c>
      <c r="T959" s="5">
        <f>SUMIFS(EIAwtransport!$J$2:$J$675,EIAwtransport!$E$2:$E$675,Program_data!$E959,EIAwtransport!$I$2:$I$675,Program_data!T$2)</f>
        <v>892595</v>
      </c>
      <c r="U959" s="24">
        <f t="shared" si="311"/>
        <v>9.2969682909408588E-6</v>
      </c>
      <c r="V959" s="24">
        <f t="shared" si="317"/>
        <v>9.2969682909408588E-6</v>
      </c>
      <c r="W959" s="24">
        <f t="shared" si="313"/>
        <v>1.0093735646500735E-4</v>
      </c>
      <c r="X959" s="25">
        <f t="shared" si="314"/>
        <v>6.9375104292248075E-5</v>
      </c>
      <c r="Y959" s="8">
        <f t="shared" si="303"/>
        <v>1.7082384521421787E-2</v>
      </c>
      <c r="Z959" s="27">
        <f t="shared" si="304"/>
        <v>5.7813867672465487E-3</v>
      </c>
      <c r="AC959" s="56">
        <f t="shared" si="307"/>
        <v>2.8370727965032163E-4</v>
      </c>
      <c r="AE959" s="20">
        <f t="shared" si="315"/>
        <v>135000</v>
      </c>
      <c r="AF959" s="20">
        <f t="shared" si="316"/>
        <v>1515011442.3000002</v>
      </c>
      <c r="AG959">
        <f t="shared" si="300"/>
        <v>1601186.4000000001</v>
      </c>
      <c r="AH959">
        <f t="shared" si="301"/>
        <v>1601186.4000000001</v>
      </c>
      <c r="AI959">
        <f t="shared" si="302"/>
        <v>16624201242.6</v>
      </c>
    </row>
    <row r="960" spans="2:35" x14ac:dyDescent="0.25">
      <c r="B960" s="4">
        <v>2025</v>
      </c>
      <c r="C960" s="4" t="s">
        <v>241</v>
      </c>
      <c r="D960" s="1" t="s">
        <v>570</v>
      </c>
      <c r="E960" s="4" t="str">
        <f t="shared" si="309"/>
        <v>CtPt-MN</v>
      </c>
      <c r="F960" s="4" t="s">
        <v>135</v>
      </c>
      <c r="G960" s="4"/>
      <c r="H960" s="11" t="s">
        <v>605</v>
      </c>
      <c r="I960" s="4"/>
      <c r="J960" s="4" t="s">
        <v>142</v>
      </c>
      <c r="K960" s="5">
        <v>2020</v>
      </c>
      <c r="L960" s="5">
        <f t="shared" si="318"/>
        <v>2020</v>
      </c>
      <c r="M960" s="8">
        <v>35150</v>
      </c>
      <c r="N960" s="8">
        <v>0</v>
      </c>
      <c r="O960" s="8">
        <f>SUMIFS(EIAwtransport!$J$2:$J$675,EIAwtransport!$E$2:$E$675,Program_data!$E960,EIAwtransport!$H$2:$H$675,Program_data!$F960,EIAwtransport!$I$2:$I$675,Program_data!O$2)</f>
        <v>671522278</v>
      </c>
      <c r="P960" s="5">
        <f>SUMIFS(EIAwtransport!$J$2:$J$675,EIAwtransport!$E$2:$E$675,Program_data!$E960,EIAwtransport!$H$2:$H$675,Program_data!$F960,EIAwtransport!$I$2:$I$675,Program_data!P$2)</f>
        <v>68242994</v>
      </c>
      <c r="Q960" s="5">
        <f>SUMIFS(EIAwtransport!$J$2:$J$675,EIAwtransport!$E$2:$E$675,Program_data!$E960,EIAwtransport!$H$2:$H$675,Program_data!$F960,EIAwtransport!$I$2:$I$675,Program_data!Q$2)</f>
        <v>821309</v>
      </c>
      <c r="R960" s="8">
        <f>SUMIFS(EIAwtransport!$J$2:$J$675,EIAwtransport!$E$2:$E$675,Program_data!$E960,EIAwtransport!$I$2:$I$675,Program_data!R$2)</f>
        <v>1122230698</v>
      </c>
      <c r="S960" s="5">
        <f>SUMIFS(EIAwtransport!$J$2:$J$675,EIAwtransport!$E$2:$E$675,Program_data!$E960,EIAwtransport!$I$2:$I$675,Program_data!S$2)</f>
        <v>157605245</v>
      </c>
      <c r="T960" s="5">
        <f>SUMIFS(EIAwtransport!$J$2:$J$675,EIAwtransport!$E$2:$E$675,Program_data!$E960,EIAwtransport!$I$2:$I$675,Program_data!T$2)</f>
        <v>892595</v>
      </c>
      <c r="U960" s="24">
        <f t="shared" si="311"/>
        <v>1.2371459781093895E-6</v>
      </c>
      <c r="V960" s="24">
        <f t="shared" si="317"/>
        <v>1.2371459781093895E-6</v>
      </c>
      <c r="W960" s="24">
        <f t="shared" si="313"/>
        <v>3.1321545616817549E-5</v>
      </c>
      <c r="X960" s="25">
        <f t="shared" si="314"/>
        <v>2.152756491611141E-5</v>
      </c>
      <c r="Y960" s="8">
        <f t="shared" si="303"/>
        <v>5.3007796594833441E-3</v>
      </c>
      <c r="Z960" s="27">
        <f t="shared" si="304"/>
        <v>1.7940034859299599E-3</v>
      </c>
      <c r="AC960" s="56">
        <f t="shared" si="307"/>
        <v>3.7752879110253601E-5</v>
      </c>
      <c r="AE960" s="20">
        <f t="shared" si="315"/>
        <v>0</v>
      </c>
      <c r="AF960" s="20">
        <f t="shared" si="316"/>
        <v>1515011442.3000002</v>
      </c>
      <c r="AG960">
        <f t="shared" si="300"/>
        <v>213069.6</v>
      </c>
      <c r="AH960">
        <f t="shared" si="301"/>
        <v>213069.6</v>
      </c>
      <c r="AI960">
        <f t="shared" si="302"/>
        <v>16624201242.6</v>
      </c>
    </row>
    <row r="961" spans="2:35" x14ac:dyDescent="0.25">
      <c r="B961" s="4">
        <v>2025</v>
      </c>
      <c r="C961" s="4" t="s">
        <v>241</v>
      </c>
      <c r="D961" s="1" t="s">
        <v>570</v>
      </c>
      <c r="E961" s="4" t="str">
        <f t="shared" si="309"/>
        <v>CtPt-MN</v>
      </c>
      <c r="F961" s="4" t="s">
        <v>155</v>
      </c>
      <c r="G961" s="4"/>
      <c r="H961" s="11" t="s">
        <v>606</v>
      </c>
      <c r="I961" s="4"/>
      <c r="J961" s="4" t="s">
        <v>155</v>
      </c>
      <c r="K961" s="5">
        <v>0</v>
      </c>
      <c r="L961" s="5">
        <f t="shared" si="318"/>
        <v>0</v>
      </c>
      <c r="M961" s="8">
        <v>1561452</v>
      </c>
      <c r="N961" s="8">
        <v>0</v>
      </c>
      <c r="O961" s="8">
        <f>SUMIFS(EIAwtransport!$J$2:$J$675,EIAwtransport!$E$2:$E$675,Program_data!$E961,EIAwtransport!$H$2:$H$675,Program_data!$F961,EIAwtransport!$I$2:$I$675,Program_data!O$2)</f>
        <v>0</v>
      </c>
      <c r="P961" s="5">
        <f>SUMIFS(EIAwtransport!$J$2:$J$675,EIAwtransport!$E$2:$E$675,Program_data!$E961,EIAwtransport!$H$2:$H$675,Program_data!$F961,EIAwtransport!$I$2:$I$675,Program_data!P$2)</f>
        <v>0</v>
      </c>
      <c r="Q961" s="5">
        <f>SUMIFS(EIAwtransport!$J$2:$J$675,EIAwtransport!$E$2:$E$675,Program_data!$E961,EIAwtransport!$H$2:$H$675,Program_data!$F961,EIAwtransport!$I$2:$I$675,Program_data!Q$2)</f>
        <v>0</v>
      </c>
      <c r="R961" s="8">
        <f>SUMIFS(EIAwtransport!$J$2:$J$675,EIAwtransport!$E$2:$E$675,Program_data!$E961,EIAwtransport!$I$2:$I$675,Program_data!R$2)</f>
        <v>1122230698</v>
      </c>
      <c r="S961" s="5">
        <f>SUMIFS(EIAwtransport!$J$2:$J$675,EIAwtransport!$E$2:$E$675,Program_data!$E961,EIAwtransport!$I$2:$I$675,Program_data!S$2)</f>
        <v>157605245</v>
      </c>
      <c r="T961" s="5">
        <f>SUMIFS(EIAwtransport!$J$2:$J$675,EIAwtransport!$E$2:$E$675,Program_data!$E961,EIAwtransport!$I$2:$I$675,Program_data!T$2)</f>
        <v>892595</v>
      </c>
      <c r="U961" s="24">
        <f t="shared" si="311"/>
        <v>0</v>
      </c>
      <c r="V961" s="24">
        <f t="shared" si="317"/>
        <v>0</v>
      </c>
      <c r="W961" s="24">
        <f t="shared" si="313"/>
        <v>1.3913823626307538E-3</v>
      </c>
      <c r="X961" s="25">
        <f t="shared" si="314"/>
        <v>9.5630894149052606E-4</v>
      </c>
      <c r="Y961" s="8" t="str">
        <f t="shared" si="303"/>
        <v/>
      </c>
      <c r="Z961" s="27">
        <f t="shared" si="304"/>
        <v>7.9694177272042893E-2</v>
      </c>
      <c r="AC961" s="56">
        <f t="shared" si="307"/>
        <v>0</v>
      </c>
      <c r="AE961" s="20">
        <f t="shared" si="315"/>
        <v>0</v>
      </c>
      <c r="AF961" s="20">
        <f t="shared" si="316"/>
        <v>1515011442.3000002</v>
      </c>
      <c r="AG961">
        <f t="shared" si="300"/>
        <v>0</v>
      </c>
      <c r="AH961">
        <f t="shared" si="301"/>
        <v>0</v>
      </c>
      <c r="AI961">
        <f t="shared" si="302"/>
        <v>16624201242.6</v>
      </c>
    </row>
    <row r="962" spans="2:35" x14ac:dyDescent="0.25">
      <c r="B962" s="4">
        <v>2026</v>
      </c>
      <c r="C962" s="4" t="s">
        <v>241</v>
      </c>
      <c r="D962" s="1" t="s">
        <v>570</v>
      </c>
      <c r="E962" s="4" t="str">
        <f t="shared" si="309"/>
        <v>CtPt-MN</v>
      </c>
      <c r="F962" s="4" t="s">
        <v>135</v>
      </c>
      <c r="G962" s="4"/>
      <c r="H962" s="11" t="s">
        <v>571</v>
      </c>
      <c r="I962" s="4"/>
      <c r="J962" s="4" t="s">
        <v>142</v>
      </c>
      <c r="K962" s="5">
        <v>2953560</v>
      </c>
      <c r="L962" s="5">
        <f t="shared" si="318"/>
        <v>2953560</v>
      </c>
      <c r="M962" s="8">
        <v>11454208</v>
      </c>
      <c r="N962" s="8">
        <v>9542500</v>
      </c>
      <c r="O962" s="8">
        <f>SUMIFS(EIAwtransport!$J$2:$J$675,EIAwtransport!$E$2:$E$675,Program_data!$E962,EIAwtransport!$H$2:$H$675,Program_data!$F962,EIAwtransport!$I$2:$I$675,Program_data!O$2)</f>
        <v>671522278</v>
      </c>
      <c r="P962" s="5">
        <f>SUMIFS(EIAwtransport!$J$2:$J$675,EIAwtransport!$E$2:$E$675,Program_data!$E962,EIAwtransport!$H$2:$H$675,Program_data!$F962,EIAwtransport!$I$2:$I$675,Program_data!P$2)</f>
        <v>68242994</v>
      </c>
      <c r="Q962" s="5">
        <f>SUMIFS(EIAwtransport!$J$2:$J$675,EIAwtransport!$E$2:$E$675,Program_data!$E962,EIAwtransport!$H$2:$H$675,Program_data!$F962,EIAwtransport!$I$2:$I$675,Program_data!Q$2)</f>
        <v>821309</v>
      </c>
      <c r="R962" s="8">
        <f>SUMIFS(EIAwtransport!$J$2:$J$675,EIAwtransport!$E$2:$E$675,Program_data!$E962,EIAwtransport!$I$2:$I$675,Program_data!R$2)</f>
        <v>1122230698</v>
      </c>
      <c r="S962" s="5">
        <f>SUMIFS(EIAwtransport!$J$2:$J$675,EIAwtransport!$E$2:$E$675,Program_data!$E962,EIAwtransport!$I$2:$I$675,Program_data!S$2)</f>
        <v>157605245</v>
      </c>
      <c r="T962" s="5">
        <f>SUMIFS(EIAwtransport!$J$2:$J$675,EIAwtransport!$E$2:$E$675,Program_data!$E962,EIAwtransport!$I$2:$I$675,Program_data!T$2)</f>
        <v>892595</v>
      </c>
      <c r="U962" s="24">
        <f t="shared" si="311"/>
        <v>1.8089034035172122E-3</v>
      </c>
      <c r="V962" s="24">
        <f t="shared" si="317"/>
        <v>1.8089034035172122E-3</v>
      </c>
      <c r="W962" s="24">
        <f t="shared" si="313"/>
        <v>1.0206642912560925E-2</v>
      </c>
      <c r="X962" s="25">
        <f t="shared" si="314"/>
        <v>7.0151125542714833E-3</v>
      </c>
      <c r="Y962" s="8">
        <f t="shared" si="303"/>
        <v>1.6675146272472241</v>
      </c>
      <c r="Z962" s="27">
        <f t="shared" si="304"/>
        <v>0.62133296663745574</v>
      </c>
      <c r="AC962" s="56">
        <f t="shared" si="307"/>
        <v>5.2181383078374402E-2</v>
      </c>
      <c r="AE962" s="20">
        <f t="shared" si="315"/>
        <v>12882375</v>
      </c>
      <c r="AF962" s="20">
        <f t="shared" si="316"/>
        <v>1515011442.3000002</v>
      </c>
      <c r="AG962">
        <f t="shared" ref="AG962:AG1025" si="319">K962*105.48</f>
        <v>311541508.80000001</v>
      </c>
      <c r="AH962">
        <f t="shared" ref="AH962:AH1025" si="320">L962*105.48</f>
        <v>311541508.80000001</v>
      </c>
      <c r="AI962">
        <f t="shared" ref="AI962:AI1025" si="321">S962*105.48</f>
        <v>16624201242.6</v>
      </c>
    </row>
    <row r="963" spans="2:35" x14ac:dyDescent="0.25">
      <c r="B963" s="4">
        <v>2026</v>
      </c>
      <c r="C963" s="4" t="s">
        <v>241</v>
      </c>
      <c r="D963" s="1" t="s">
        <v>570</v>
      </c>
      <c r="E963" s="4" t="str">
        <f t="shared" si="309"/>
        <v>CtPt-MN</v>
      </c>
      <c r="F963" s="4" t="s">
        <v>135</v>
      </c>
      <c r="G963" s="4"/>
      <c r="H963" s="11" t="s">
        <v>573</v>
      </c>
      <c r="I963" s="4"/>
      <c r="J963" s="4" t="s">
        <v>142</v>
      </c>
      <c r="K963" s="5">
        <v>447920</v>
      </c>
      <c r="L963" s="5">
        <f t="shared" si="318"/>
        <v>447920</v>
      </c>
      <c r="M963" s="8">
        <v>1048038</v>
      </c>
      <c r="N963" s="8">
        <v>0</v>
      </c>
      <c r="O963" s="8">
        <f>SUMIFS(EIAwtransport!$J$2:$J$675,EIAwtransport!$E$2:$E$675,Program_data!$E963,EIAwtransport!$H$2:$H$675,Program_data!$F963,EIAwtransport!$I$2:$I$675,Program_data!O$2)</f>
        <v>671522278</v>
      </c>
      <c r="P963" s="5">
        <f>SUMIFS(EIAwtransport!$J$2:$J$675,EIAwtransport!$E$2:$E$675,Program_data!$E963,EIAwtransport!$H$2:$H$675,Program_data!$F963,EIAwtransport!$I$2:$I$675,Program_data!P$2)</f>
        <v>68242994</v>
      </c>
      <c r="Q963" s="5">
        <f>SUMIFS(EIAwtransport!$J$2:$J$675,EIAwtransport!$E$2:$E$675,Program_data!$E963,EIAwtransport!$H$2:$H$675,Program_data!$F963,EIAwtransport!$I$2:$I$675,Program_data!Q$2)</f>
        <v>821309</v>
      </c>
      <c r="R963" s="8">
        <f>SUMIFS(EIAwtransport!$J$2:$J$675,EIAwtransport!$E$2:$E$675,Program_data!$E963,EIAwtransport!$I$2:$I$675,Program_data!R$2)</f>
        <v>1122230698</v>
      </c>
      <c r="S963" s="5">
        <f>SUMIFS(EIAwtransport!$J$2:$J$675,EIAwtransport!$E$2:$E$675,Program_data!$E963,EIAwtransport!$I$2:$I$675,Program_data!S$2)</f>
        <v>157605245</v>
      </c>
      <c r="T963" s="5">
        <f>SUMIFS(EIAwtransport!$J$2:$J$675,EIAwtransport!$E$2:$E$675,Program_data!$E963,EIAwtransport!$I$2:$I$675,Program_data!T$2)</f>
        <v>892595</v>
      </c>
      <c r="U963" s="24">
        <f t="shared" si="311"/>
        <v>2.7432793391819689E-4</v>
      </c>
      <c r="V963" s="24">
        <f t="shared" si="317"/>
        <v>2.7432793391819689E-4</v>
      </c>
      <c r="W963" s="24">
        <f t="shared" si="313"/>
        <v>9.3388819417235367E-4</v>
      </c>
      <c r="X963" s="25">
        <f t="shared" si="314"/>
        <v>6.4186930525040025E-4</v>
      </c>
      <c r="Y963" s="8">
        <f t="shared" si="303"/>
        <v>0.15257438095335149</v>
      </c>
      <c r="Z963" s="27">
        <f t="shared" si="304"/>
        <v>5.6850771322538046E-2</v>
      </c>
      <c r="AC963" s="56">
        <f t="shared" si="307"/>
        <v>7.9135298109621818E-3</v>
      </c>
      <c r="AE963" s="20">
        <f t="shared" si="315"/>
        <v>0</v>
      </c>
      <c r="AF963" s="20">
        <f t="shared" si="316"/>
        <v>1515011442.3000002</v>
      </c>
      <c r="AG963">
        <f t="shared" si="319"/>
        <v>47246601.600000001</v>
      </c>
      <c r="AH963">
        <f t="shared" si="320"/>
        <v>47246601.600000001</v>
      </c>
      <c r="AI963">
        <f t="shared" si="321"/>
        <v>16624201242.6</v>
      </c>
    </row>
    <row r="964" spans="2:35" x14ac:dyDescent="0.25">
      <c r="B964" s="4">
        <v>2026</v>
      </c>
      <c r="C964" s="4" t="s">
        <v>241</v>
      </c>
      <c r="D964" s="1" t="s">
        <v>570</v>
      </c>
      <c r="E964" s="4" t="str">
        <f t="shared" si="309"/>
        <v>CtPt-MN</v>
      </c>
      <c r="F964" s="4" t="s">
        <v>135</v>
      </c>
      <c r="G964" s="4"/>
      <c r="H964" s="11" t="s">
        <v>574</v>
      </c>
      <c r="I964" s="4"/>
      <c r="J964" s="4" t="s">
        <v>142</v>
      </c>
      <c r="K964" s="5">
        <v>325400</v>
      </c>
      <c r="L964" s="5">
        <f t="shared" si="318"/>
        <v>325400</v>
      </c>
      <c r="M964" s="8">
        <v>1868487</v>
      </c>
      <c r="N964" s="8">
        <v>1556100</v>
      </c>
      <c r="O964" s="8">
        <f>SUMIFS(EIAwtransport!$J$2:$J$675,EIAwtransport!$E$2:$E$675,Program_data!$E964,EIAwtransport!$H$2:$H$675,Program_data!$F964,EIAwtransport!$I$2:$I$675,Program_data!O$2)</f>
        <v>671522278</v>
      </c>
      <c r="P964" s="5">
        <f>SUMIFS(EIAwtransport!$J$2:$J$675,EIAwtransport!$E$2:$E$675,Program_data!$E964,EIAwtransport!$H$2:$H$675,Program_data!$F964,EIAwtransport!$I$2:$I$675,Program_data!P$2)</f>
        <v>68242994</v>
      </c>
      <c r="Q964" s="5">
        <f>SUMIFS(EIAwtransport!$J$2:$J$675,EIAwtransport!$E$2:$E$675,Program_data!$E964,EIAwtransport!$H$2:$H$675,Program_data!$F964,EIAwtransport!$I$2:$I$675,Program_data!Q$2)</f>
        <v>821309</v>
      </c>
      <c r="R964" s="8">
        <f>SUMIFS(EIAwtransport!$J$2:$J$675,EIAwtransport!$E$2:$E$675,Program_data!$E964,EIAwtransport!$I$2:$I$675,Program_data!R$2)</f>
        <v>1122230698</v>
      </c>
      <c r="S964" s="5">
        <f>SUMIFS(EIAwtransport!$J$2:$J$675,EIAwtransport!$E$2:$E$675,Program_data!$E964,EIAwtransport!$I$2:$I$675,Program_data!S$2)</f>
        <v>157605245</v>
      </c>
      <c r="T964" s="5">
        <f>SUMIFS(EIAwtransport!$J$2:$J$675,EIAwtransport!$E$2:$E$675,Program_data!$E964,EIAwtransport!$I$2:$I$675,Program_data!T$2)</f>
        <v>892595</v>
      </c>
      <c r="U964" s="24">
        <f t="shared" si="311"/>
        <v>1.9929074320633436E-4</v>
      </c>
      <c r="V964" s="24">
        <f t="shared" si="317"/>
        <v>1.9929074320633436E-4</v>
      </c>
      <c r="W964" s="24">
        <f t="shared" si="313"/>
        <v>1.6649758408230604E-3</v>
      </c>
      <c r="X964" s="25">
        <f t="shared" si="314"/>
        <v>1.1443520679206333E-3</v>
      </c>
      <c r="Y964" s="8">
        <f t="shared" ref="Y964:Y1027" si="322">IFERROR(M964/SUMIFS($K$3:$K$1492,$E$3:$E$1492,E964,$B$3:$B$1492,B964,$F$3:$F$1492,F964,$A$3:$A$1492,""),"")</f>
        <v>0.27201613619390219</v>
      </c>
      <c r="Z964" s="27">
        <f t="shared" ref="Z964:Z1027" si="323">IFERROR(M964/SUMIFS($K$3:$K$1492,$E$3:$E$1492,E964,$B$3:$B$1492,B964,$A$3:$A$1492,""),"")</f>
        <v>0.10135598819521348</v>
      </c>
      <c r="AC964" s="56">
        <f t="shared" si="307"/>
        <v>5.7489341857632926E-3</v>
      </c>
      <c r="AE964" s="20">
        <f t="shared" si="315"/>
        <v>2100735</v>
      </c>
      <c r="AF964" s="20">
        <f t="shared" si="316"/>
        <v>1515011442.3000002</v>
      </c>
      <c r="AG964">
        <f t="shared" si="319"/>
        <v>34323192</v>
      </c>
      <c r="AH964">
        <f t="shared" si="320"/>
        <v>34323192</v>
      </c>
      <c r="AI964">
        <f t="shared" si="321"/>
        <v>16624201242.6</v>
      </c>
    </row>
    <row r="965" spans="2:35" x14ac:dyDescent="0.25">
      <c r="B965" s="4">
        <v>2026</v>
      </c>
      <c r="C965" s="4" t="s">
        <v>241</v>
      </c>
      <c r="D965" s="1" t="s">
        <v>570</v>
      </c>
      <c r="E965" s="4" t="str">
        <f t="shared" si="309"/>
        <v>CtPt-MN</v>
      </c>
      <c r="F965" s="4" t="s">
        <v>135</v>
      </c>
      <c r="G965" s="4"/>
      <c r="H965" s="11" t="s">
        <v>575</v>
      </c>
      <c r="I965" s="4"/>
      <c r="J965" s="4" t="s">
        <v>142</v>
      </c>
      <c r="K965" s="5">
        <v>1014810</v>
      </c>
      <c r="L965" s="5">
        <f t="shared" si="318"/>
        <v>1014810</v>
      </c>
      <c r="M965" s="8">
        <v>1653056</v>
      </c>
      <c r="N965" s="8">
        <v>0</v>
      </c>
      <c r="O965" s="8">
        <f>SUMIFS(EIAwtransport!$J$2:$J$675,EIAwtransport!$E$2:$E$675,Program_data!$E965,EIAwtransport!$H$2:$H$675,Program_data!$F965,EIAwtransport!$I$2:$I$675,Program_data!O$2)</f>
        <v>671522278</v>
      </c>
      <c r="P965" s="5">
        <f>SUMIFS(EIAwtransport!$J$2:$J$675,EIAwtransport!$E$2:$E$675,Program_data!$E965,EIAwtransport!$H$2:$H$675,Program_data!$F965,EIAwtransport!$I$2:$I$675,Program_data!P$2)</f>
        <v>68242994</v>
      </c>
      <c r="Q965" s="5">
        <f>SUMIFS(EIAwtransport!$J$2:$J$675,EIAwtransport!$E$2:$E$675,Program_data!$E965,EIAwtransport!$H$2:$H$675,Program_data!$F965,EIAwtransport!$I$2:$I$675,Program_data!Q$2)</f>
        <v>821309</v>
      </c>
      <c r="R965" s="8">
        <f>SUMIFS(EIAwtransport!$J$2:$J$675,EIAwtransport!$E$2:$E$675,Program_data!$E965,EIAwtransport!$I$2:$I$675,Program_data!R$2)</f>
        <v>1122230698</v>
      </c>
      <c r="S965" s="5">
        <f>SUMIFS(EIAwtransport!$J$2:$J$675,EIAwtransport!$E$2:$E$675,Program_data!$E965,EIAwtransport!$I$2:$I$675,Program_data!S$2)</f>
        <v>157605245</v>
      </c>
      <c r="T965" s="5">
        <f>SUMIFS(EIAwtransport!$J$2:$J$675,EIAwtransport!$E$2:$E$675,Program_data!$E965,EIAwtransport!$I$2:$I$675,Program_data!T$2)</f>
        <v>892595</v>
      </c>
      <c r="U965" s="24">
        <f t="shared" si="311"/>
        <v>6.2151886635900477E-4</v>
      </c>
      <c r="V965" s="24">
        <f t="shared" si="317"/>
        <v>6.2151886635900477E-4</v>
      </c>
      <c r="W965" s="24">
        <f t="shared" si="313"/>
        <v>1.4730090728635548E-3</v>
      </c>
      <c r="X965" s="25">
        <f t="shared" si="314"/>
        <v>1.0124116742522748E-3</v>
      </c>
      <c r="Y965" s="8">
        <f t="shared" si="322"/>
        <v>0.24065348382522714</v>
      </c>
      <c r="Z965" s="27">
        <f t="shared" si="323"/>
        <v>8.9669943875460095E-2</v>
      </c>
      <c r="AC965" s="56">
        <f t="shared" si="307"/>
        <v>1.7928936389226942E-2</v>
      </c>
      <c r="AE965" s="20">
        <f t="shared" si="315"/>
        <v>0</v>
      </c>
      <c r="AF965" s="20">
        <f t="shared" si="316"/>
        <v>1515011442.3000002</v>
      </c>
      <c r="AG965">
        <f t="shared" si="319"/>
        <v>107042158.8</v>
      </c>
      <c r="AH965">
        <f t="shared" si="320"/>
        <v>107042158.8</v>
      </c>
      <c r="AI965">
        <f t="shared" si="321"/>
        <v>16624201242.6</v>
      </c>
    </row>
    <row r="966" spans="2:35" x14ac:dyDescent="0.25">
      <c r="B966" s="4">
        <v>2026</v>
      </c>
      <c r="C966" s="4" t="s">
        <v>241</v>
      </c>
      <c r="D966" s="1" t="s">
        <v>570</v>
      </c>
      <c r="E966" s="4" t="str">
        <f t="shared" si="309"/>
        <v>CtPt-MN</v>
      </c>
      <c r="F966" s="4" t="s">
        <v>135</v>
      </c>
      <c r="G966" s="4"/>
      <c r="H966" s="11" t="s">
        <v>278</v>
      </c>
      <c r="I966" s="4"/>
      <c r="J966" s="4" t="s">
        <v>142</v>
      </c>
      <c r="K966" s="5">
        <v>349600</v>
      </c>
      <c r="L966" s="5">
        <f t="shared" si="318"/>
        <v>349600</v>
      </c>
      <c r="M966" s="8">
        <v>2989312</v>
      </c>
      <c r="N966" s="8">
        <v>0</v>
      </c>
      <c r="O966" s="8">
        <f>SUMIFS(EIAwtransport!$J$2:$J$675,EIAwtransport!$E$2:$E$675,Program_data!$E966,EIAwtransport!$H$2:$H$675,Program_data!$F966,EIAwtransport!$I$2:$I$675,Program_data!O$2)</f>
        <v>671522278</v>
      </c>
      <c r="P966" s="5">
        <f>SUMIFS(EIAwtransport!$J$2:$J$675,EIAwtransport!$E$2:$E$675,Program_data!$E966,EIAwtransport!$H$2:$H$675,Program_data!$F966,EIAwtransport!$I$2:$I$675,Program_data!P$2)</f>
        <v>68242994</v>
      </c>
      <c r="Q966" s="5">
        <f>SUMIFS(EIAwtransport!$J$2:$J$675,EIAwtransport!$E$2:$E$675,Program_data!$E966,EIAwtransport!$H$2:$H$675,Program_data!$F966,EIAwtransport!$I$2:$I$675,Program_data!Q$2)</f>
        <v>821309</v>
      </c>
      <c r="R966" s="8">
        <f>SUMIFS(EIAwtransport!$J$2:$J$675,EIAwtransport!$E$2:$E$675,Program_data!$E966,EIAwtransport!$I$2:$I$675,Program_data!R$2)</f>
        <v>1122230698</v>
      </c>
      <c r="S966" s="5">
        <f>SUMIFS(EIAwtransport!$J$2:$J$675,EIAwtransport!$E$2:$E$675,Program_data!$E966,EIAwtransport!$I$2:$I$675,Program_data!S$2)</f>
        <v>157605245</v>
      </c>
      <c r="T966" s="5">
        <f>SUMIFS(EIAwtransport!$J$2:$J$675,EIAwtransport!$E$2:$E$675,Program_data!$E966,EIAwtransport!$I$2:$I$675,Program_data!T$2)</f>
        <v>892595</v>
      </c>
      <c r="U966" s="24">
        <f t="shared" si="311"/>
        <v>2.1411199700348645E-4</v>
      </c>
      <c r="V966" s="24">
        <f t="shared" si="317"/>
        <v>2.1411199700348645E-4</v>
      </c>
      <c r="W966" s="24">
        <f t="shared" si="313"/>
        <v>2.6637232481052662E-3</v>
      </c>
      <c r="X966" s="25">
        <f t="shared" si="314"/>
        <v>1.8307996624327405E-3</v>
      </c>
      <c r="Y966" s="8">
        <f t="shared" si="322"/>
        <v>0.43518691867701842</v>
      </c>
      <c r="Z966" s="27">
        <f t="shared" si="323"/>
        <v>0.16215508686108601</v>
      </c>
      <c r="AC966" s="56">
        <f t="shared" si="307"/>
        <v>6.1764824564930765E-3</v>
      </c>
      <c r="AE966" s="20">
        <f t="shared" si="315"/>
        <v>0</v>
      </c>
      <c r="AF966" s="20">
        <f t="shared" si="316"/>
        <v>1515011442.3000002</v>
      </c>
      <c r="AG966">
        <f t="shared" si="319"/>
        <v>36875808</v>
      </c>
      <c r="AH966">
        <f t="shared" si="320"/>
        <v>36875808</v>
      </c>
      <c r="AI966">
        <f t="shared" si="321"/>
        <v>16624201242.6</v>
      </c>
    </row>
    <row r="967" spans="2:35" x14ac:dyDescent="0.25">
      <c r="B967" s="4">
        <v>2026</v>
      </c>
      <c r="C967" s="4" t="s">
        <v>241</v>
      </c>
      <c r="D967" s="1" t="s">
        <v>570</v>
      </c>
      <c r="E967" s="4" t="str">
        <f t="shared" si="309"/>
        <v>CtPt-MN</v>
      </c>
      <c r="F967" s="4" t="s">
        <v>135</v>
      </c>
      <c r="G967" s="4"/>
      <c r="H967" s="11" t="s">
        <v>576</v>
      </c>
      <c r="I967" s="4"/>
      <c r="J967" s="4" t="s">
        <v>142</v>
      </c>
      <c r="K967" s="5">
        <v>1053700</v>
      </c>
      <c r="L967" s="5">
        <f t="shared" si="318"/>
        <v>1053700</v>
      </c>
      <c r="M967" s="8">
        <v>7082836</v>
      </c>
      <c r="N967" s="8">
        <v>5512500</v>
      </c>
      <c r="O967" s="8">
        <f>SUMIFS(EIAwtransport!$J$2:$J$675,EIAwtransport!$E$2:$E$675,Program_data!$E967,EIAwtransport!$H$2:$H$675,Program_data!$F967,EIAwtransport!$I$2:$I$675,Program_data!O$2)</f>
        <v>671522278</v>
      </c>
      <c r="P967" s="5">
        <f>SUMIFS(EIAwtransport!$J$2:$J$675,EIAwtransport!$E$2:$E$675,Program_data!$E967,EIAwtransport!$H$2:$H$675,Program_data!$F967,EIAwtransport!$I$2:$I$675,Program_data!P$2)</f>
        <v>68242994</v>
      </c>
      <c r="Q967" s="5">
        <f>SUMIFS(EIAwtransport!$J$2:$J$675,EIAwtransport!$E$2:$E$675,Program_data!$E967,EIAwtransport!$H$2:$H$675,Program_data!$F967,EIAwtransport!$I$2:$I$675,Program_data!Q$2)</f>
        <v>821309</v>
      </c>
      <c r="R967" s="8">
        <f>SUMIFS(EIAwtransport!$J$2:$J$675,EIAwtransport!$E$2:$E$675,Program_data!$E967,EIAwtransport!$I$2:$I$675,Program_data!R$2)</f>
        <v>1122230698</v>
      </c>
      <c r="S967" s="5">
        <f>SUMIFS(EIAwtransport!$J$2:$J$675,EIAwtransport!$E$2:$E$675,Program_data!$E967,EIAwtransport!$I$2:$I$675,Program_data!S$2)</f>
        <v>157605245</v>
      </c>
      <c r="T967" s="5">
        <f>SUMIFS(EIAwtransport!$J$2:$J$675,EIAwtransport!$E$2:$E$675,Program_data!$E967,EIAwtransport!$I$2:$I$675,Program_data!T$2)</f>
        <v>892595</v>
      </c>
      <c r="U967" s="24">
        <f t="shared" si="311"/>
        <v>6.4533698868013065E-4</v>
      </c>
      <c r="V967" s="24">
        <f t="shared" si="317"/>
        <v>6.4533698868013065E-4</v>
      </c>
      <c r="W967" s="24">
        <f t="shared" si="313"/>
        <v>6.3113903519327894E-3</v>
      </c>
      <c r="X967" s="25">
        <f t="shared" si="314"/>
        <v>4.3378723123803946E-3</v>
      </c>
      <c r="Y967" s="8">
        <f t="shared" si="322"/>
        <v>1.0311260833043385</v>
      </c>
      <c r="Z967" s="27">
        <f t="shared" si="323"/>
        <v>0.38420810099542202</v>
      </c>
      <c r="AC967" s="56">
        <f t="shared" si="307"/>
        <v>1.8616017060660055E-2</v>
      </c>
      <c r="AE967" s="20">
        <f t="shared" si="315"/>
        <v>7441875.0000000009</v>
      </c>
      <c r="AF967" s="20">
        <f t="shared" si="316"/>
        <v>1515011442.3000002</v>
      </c>
      <c r="AG967">
        <f t="shared" si="319"/>
        <v>111144276</v>
      </c>
      <c r="AH967">
        <f t="shared" si="320"/>
        <v>111144276</v>
      </c>
      <c r="AI967">
        <f t="shared" si="321"/>
        <v>16624201242.6</v>
      </c>
    </row>
    <row r="968" spans="2:35" x14ac:dyDescent="0.25">
      <c r="B968" s="4">
        <v>2026</v>
      </c>
      <c r="C968" s="4" t="s">
        <v>241</v>
      </c>
      <c r="D968" s="1" t="s">
        <v>570</v>
      </c>
      <c r="E968" s="4" t="str">
        <f t="shared" si="309"/>
        <v>CtPt-MN</v>
      </c>
      <c r="F968" s="4" t="s">
        <v>135</v>
      </c>
      <c r="G968" s="4"/>
      <c r="H968" s="11" t="s">
        <v>577</v>
      </c>
      <c r="I968" s="4"/>
      <c r="J968" s="4" t="s">
        <v>32</v>
      </c>
      <c r="K968" s="5">
        <v>156630</v>
      </c>
      <c r="L968" s="5">
        <f t="shared" si="318"/>
        <v>156630</v>
      </c>
      <c r="M968" s="8">
        <v>739598</v>
      </c>
      <c r="N968" s="8">
        <v>465375</v>
      </c>
      <c r="O968" s="8">
        <f>SUMIFS(EIAwtransport!$J$2:$J$675,EIAwtransport!$E$2:$E$675,Program_data!$E968,EIAwtransport!$H$2:$H$675,Program_data!$F968,EIAwtransport!$I$2:$I$675,Program_data!O$2)</f>
        <v>671522278</v>
      </c>
      <c r="P968" s="5">
        <f>SUMIFS(EIAwtransport!$J$2:$J$675,EIAwtransport!$E$2:$E$675,Program_data!$E968,EIAwtransport!$H$2:$H$675,Program_data!$F968,EIAwtransport!$I$2:$I$675,Program_data!P$2)</f>
        <v>68242994</v>
      </c>
      <c r="Q968" s="5">
        <f>SUMIFS(EIAwtransport!$J$2:$J$675,EIAwtransport!$E$2:$E$675,Program_data!$E968,EIAwtransport!$H$2:$H$675,Program_data!$F968,EIAwtransport!$I$2:$I$675,Program_data!Q$2)</f>
        <v>821309</v>
      </c>
      <c r="R968" s="8">
        <f>SUMIFS(EIAwtransport!$J$2:$J$675,EIAwtransport!$E$2:$E$675,Program_data!$E968,EIAwtransport!$I$2:$I$675,Program_data!R$2)</f>
        <v>1122230698</v>
      </c>
      <c r="S968" s="5">
        <f>SUMIFS(EIAwtransport!$J$2:$J$675,EIAwtransport!$E$2:$E$675,Program_data!$E968,EIAwtransport!$I$2:$I$675,Program_data!S$2)</f>
        <v>157605245</v>
      </c>
      <c r="T968" s="5">
        <f>SUMIFS(EIAwtransport!$J$2:$J$675,EIAwtransport!$E$2:$E$675,Program_data!$E968,EIAwtransport!$I$2:$I$675,Program_data!T$2)</f>
        <v>892595</v>
      </c>
      <c r="U968" s="24">
        <f t="shared" si="311"/>
        <v>9.5927809183798856E-5</v>
      </c>
      <c r="V968" s="24">
        <f t="shared" si="317"/>
        <v>9.5927809183798856E-5</v>
      </c>
      <c r="W968" s="24">
        <f t="shared" si="313"/>
        <v>6.5904274523775322E-4</v>
      </c>
      <c r="X968" s="25">
        <f t="shared" si="314"/>
        <v>4.5296568867215261E-4</v>
      </c>
      <c r="Y968" s="8">
        <f t="shared" si="322"/>
        <v>0.10767138882782576</v>
      </c>
      <c r="Z968" s="27">
        <f t="shared" si="323"/>
        <v>4.0119458233963359E-2</v>
      </c>
      <c r="AC968" s="56">
        <f t="shared" si="307"/>
        <v>2.7672266795209111E-3</v>
      </c>
      <c r="AE968" s="20">
        <f t="shared" si="315"/>
        <v>628256.25</v>
      </c>
      <c r="AF968" s="20">
        <f t="shared" si="316"/>
        <v>1515011442.3000002</v>
      </c>
      <c r="AG968">
        <f t="shared" si="319"/>
        <v>16521332.4</v>
      </c>
      <c r="AH968">
        <f t="shared" si="320"/>
        <v>16521332.4</v>
      </c>
      <c r="AI968">
        <f t="shared" si="321"/>
        <v>16624201242.6</v>
      </c>
    </row>
    <row r="969" spans="2:35" x14ac:dyDescent="0.25">
      <c r="B969" s="4">
        <v>2026</v>
      </c>
      <c r="C969" s="4" t="s">
        <v>241</v>
      </c>
      <c r="D969" s="1" t="s">
        <v>570</v>
      </c>
      <c r="E969" s="4" t="str">
        <f t="shared" si="309"/>
        <v>CtPt-MN</v>
      </c>
      <c r="F969" s="4" t="s">
        <v>135</v>
      </c>
      <c r="G969" s="4"/>
      <c r="H969" s="11" t="s">
        <v>578</v>
      </c>
      <c r="I969" s="4"/>
      <c r="J969" s="4" t="s">
        <v>42</v>
      </c>
      <c r="K969" s="5">
        <v>217330</v>
      </c>
      <c r="L969" s="5">
        <f t="shared" si="318"/>
        <v>217330</v>
      </c>
      <c r="M969" s="8">
        <v>430923</v>
      </c>
      <c r="N969" s="8">
        <v>0</v>
      </c>
      <c r="O969" s="8">
        <f>SUMIFS(EIAwtransport!$J$2:$J$675,EIAwtransport!$E$2:$E$675,Program_data!$E969,EIAwtransport!$H$2:$H$675,Program_data!$F969,EIAwtransport!$I$2:$I$675,Program_data!O$2)</f>
        <v>671522278</v>
      </c>
      <c r="P969" s="5">
        <f>SUMIFS(EIAwtransport!$J$2:$J$675,EIAwtransport!$E$2:$E$675,Program_data!$E969,EIAwtransport!$H$2:$H$675,Program_data!$F969,EIAwtransport!$I$2:$I$675,Program_data!P$2)</f>
        <v>68242994</v>
      </c>
      <c r="Q969" s="5">
        <f>SUMIFS(EIAwtransport!$J$2:$J$675,EIAwtransport!$E$2:$E$675,Program_data!$E969,EIAwtransport!$H$2:$H$675,Program_data!$F969,EIAwtransport!$I$2:$I$675,Program_data!Q$2)</f>
        <v>821309</v>
      </c>
      <c r="R969" s="8">
        <f>SUMIFS(EIAwtransport!$J$2:$J$675,EIAwtransport!$E$2:$E$675,Program_data!$E969,EIAwtransport!$I$2:$I$675,Program_data!R$2)</f>
        <v>1122230698</v>
      </c>
      <c r="S969" s="5">
        <f>SUMIFS(EIAwtransport!$J$2:$J$675,EIAwtransport!$E$2:$E$675,Program_data!$E969,EIAwtransport!$I$2:$I$675,Program_data!S$2)</f>
        <v>157605245</v>
      </c>
      <c r="T969" s="5">
        <f>SUMIFS(EIAwtransport!$J$2:$J$675,EIAwtransport!$E$2:$E$675,Program_data!$E969,EIAwtransport!$I$2:$I$675,Program_data!T$2)</f>
        <v>892595</v>
      </c>
      <c r="U969" s="24">
        <f t="shared" si="311"/>
        <v>1.3310343337748202E-4</v>
      </c>
      <c r="V969" s="24">
        <f t="shared" si="317"/>
        <v>1.3310343337748202E-4</v>
      </c>
      <c r="W969" s="24">
        <f t="shared" si="313"/>
        <v>3.8398789194412145E-4</v>
      </c>
      <c r="X969" s="25">
        <f t="shared" si="314"/>
        <v>2.6391814669546164E-4</v>
      </c>
      <c r="Y969" s="8">
        <f t="shared" si="322"/>
        <v>6.273418517607289E-2</v>
      </c>
      <c r="Z969" s="27">
        <f t="shared" si="323"/>
        <v>2.337539758159729E-2</v>
      </c>
      <c r="AC969" s="56">
        <f t="shared" si="307"/>
        <v>3.8396308131282619E-3</v>
      </c>
      <c r="AE969" s="20">
        <f t="shared" si="315"/>
        <v>0</v>
      </c>
      <c r="AF969" s="20">
        <f t="shared" si="316"/>
        <v>1515011442.3000002</v>
      </c>
      <c r="AG969">
        <f t="shared" si="319"/>
        <v>22923968.400000002</v>
      </c>
      <c r="AH969">
        <f t="shared" si="320"/>
        <v>22923968.400000002</v>
      </c>
      <c r="AI969">
        <f t="shared" si="321"/>
        <v>16624201242.6</v>
      </c>
    </row>
    <row r="970" spans="2:35" x14ac:dyDescent="0.25">
      <c r="B970" s="4">
        <v>2026</v>
      </c>
      <c r="C970" s="4" t="s">
        <v>241</v>
      </c>
      <c r="D970" s="1" t="s">
        <v>570</v>
      </c>
      <c r="E970" s="4" t="str">
        <f t="shared" si="309"/>
        <v>CtPt-MN</v>
      </c>
      <c r="F970" s="4" t="s">
        <v>135</v>
      </c>
      <c r="G970" s="4"/>
      <c r="H970" s="11" t="s">
        <v>579</v>
      </c>
      <c r="I970" s="4"/>
      <c r="J970" s="4" t="s">
        <v>142</v>
      </c>
      <c r="K970" s="5">
        <v>114490</v>
      </c>
      <c r="L970" s="5">
        <f t="shared" si="318"/>
        <v>114490</v>
      </c>
      <c r="M970" s="8">
        <v>129118</v>
      </c>
      <c r="N970" s="8">
        <v>0</v>
      </c>
      <c r="O970" s="8">
        <f>SUMIFS(EIAwtransport!$J$2:$J$675,EIAwtransport!$E$2:$E$675,Program_data!$E970,EIAwtransport!$H$2:$H$675,Program_data!$F970,EIAwtransport!$I$2:$I$675,Program_data!O$2)</f>
        <v>671522278</v>
      </c>
      <c r="P970" s="5">
        <f>SUMIFS(EIAwtransport!$J$2:$J$675,EIAwtransport!$E$2:$E$675,Program_data!$E970,EIAwtransport!$H$2:$H$675,Program_data!$F970,EIAwtransport!$I$2:$I$675,Program_data!P$2)</f>
        <v>68242994</v>
      </c>
      <c r="Q970" s="5">
        <f>SUMIFS(EIAwtransport!$J$2:$J$675,EIAwtransport!$E$2:$E$675,Program_data!$E970,EIAwtransport!$H$2:$H$675,Program_data!$F970,EIAwtransport!$I$2:$I$675,Program_data!Q$2)</f>
        <v>821309</v>
      </c>
      <c r="R970" s="8">
        <f>SUMIFS(EIAwtransport!$J$2:$J$675,EIAwtransport!$E$2:$E$675,Program_data!$E970,EIAwtransport!$I$2:$I$675,Program_data!R$2)</f>
        <v>1122230698</v>
      </c>
      <c r="S970" s="5">
        <f>SUMIFS(EIAwtransport!$J$2:$J$675,EIAwtransport!$E$2:$E$675,Program_data!$E970,EIAwtransport!$I$2:$I$675,Program_data!S$2)</f>
        <v>157605245</v>
      </c>
      <c r="T970" s="5">
        <f>SUMIFS(EIAwtransport!$J$2:$J$675,EIAwtransport!$E$2:$E$675,Program_data!$E970,EIAwtransport!$I$2:$I$675,Program_data!T$2)</f>
        <v>892595</v>
      </c>
      <c r="U970" s="24">
        <f t="shared" si="311"/>
        <v>7.0119229224625755E-5</v>
      </c>
      <c r="V970" s="24">
        <f t="shared" si="317"/>
        <v>7.0119229224625755E-5</v>
      </c>
      <c r="W970" s="24">
        <f t="shared" si="313"/>
        <v>1.1505477459323608E-4</v>
      </c>
      <c r="X970" s="25">
        <f t="shared" si="314"/>
        <v>7.9078125941350574E-5</v>
      </c>
      <c r="Y970" s="8">
        <f t="shared" si="322"/>
        <v>1.8797122737853816E-2</v>
      </c>
      <c r="Z970" s="27">
        <f t="shared" si="323"/>
        <v>7.0039997515581182E-3</v>
      </c>
      <c r="AC970" s="56">
        <f t="shared" si="307"/>
        <v>2.0227273353658247E-3</v>
      </c>
      <c r="AE970" s="20">
        <f t="shared" si="315"/>
        <v>0</v>
      </c>
      <c r="AF970" s="20">
        <f t="shared" si="316"/>
        <v>1515011442.3000002</v>
      </c>
      <c r="AG970">
        <f t="shared" si="319"/>
        <v>12076405.200000001</v>
      </c>
      <c r="AH970">
        <f t="shared" si="320"/>
        <v>12076405.200000001</v>
      </c>
      <c r="AI970">
        <f t="shared" si="321"/>
        <v>16624201242.6</v>
      </c>
    </row>
    <row r="971" spans="2:35" x14ac:dyDescent="0.25">
      <c r="B971" s="4">
        <v>2026</v>
      </c>
      <c r="C971" s="4" t="s">
        <v>241</v>
      </c>
      <c r="D971" s="1" t="s">
        <v>570</v>
      </c>
      <c r="E971" s="4" t="str">
        <f t="shared" si="309"/>
        <v>CtPt-MN</v>
      </c>
      <c r="F971" s="4" t="s">
        <v>143</v>
      </c>
      <c r="G971" s="4">
        <v>1</v>
      </c>
      <c r="H971" s="11" t="s">
        <v>580</v>
      </c>
      <c r="I971" s="4"/>
      <c r="J971" s="4" t="s">
        <v>108</v>
      </c>
      <c r="K971" s="5">
        <v>162850</v>
      </c>
      <c r="L971" s="5">
        <f t="shared" si="318"/>
        <v>162850</v>
      </c>
      <c r="M971" s="8">
        <v>4405094</v>
      </c>
      <c r="N971" s="8">
        <v>0</v>
      </c>
      <c r="O971" s="8">
        <f>SUMIFS(EIAwtransport!$J$2:$J$675,EIAwtransport!$E$2:$E$675,Program_data!$E971,EIAwtransport!$H$2:$H$675,Program_data!$F971,EIAwtransport!$I$2:$I$675,Program_data!O$2)</f>
        <v>0</v>
      </c>
      <c r="P971" s="5">
        <f>SUMIFS(EIAwtransport!$J$2:$J$675,EIAwtransport!$E$2:$E$675,Program_data!$E971,EIAwtransport!$H$2:$H$675,Program_data!$F971,EIAwtransport!$I$2:$I$675,Program_data!P$2)</f>
        <v>0</v>
      </c>
      <c r="Q971" s="5">
        <f>SUMIFS(EIAwtransport!$J$2:$J$675,EIAwtransport!$E$2:$E$675,Program_data!$E971,EIAwtransport!$H$2:$H$675,Program_data!$F971,EIAwtransport!$I$2:$I$675,Program_data!Q$2)</f>
        <v>0</v>
      </c>
      <c r="R971" s="8">
        <f>SUMIFS(EIAwtransport!$J$2:$J$675,EIAwtransport!$E$2:$E$675,Program_data!$E971,EIAwtransport!$I$2:$I$675,Program_data!R$2)</f>
        <v>1122230698</v>
      </c>
      <c r="S971" s="5">
        <f>SUMIFS(EIAwtransport!$J$2:$J$675,EIAwtransport!$E$2:$E$675,Program_data!$E971,EIAwtransport!$I$2:$I$675,Program_data!S$2)</f>
        <v>157605245</v>
      </c>
      <c r="T971" s="5">
        <f>SUMIFS(EIAwtransport!$J$2:$J$675,EIAwtransport!$E$2:$E$675,Program_data!$E971,EIAwtransport!$I$2:$I$675,Program_data!T$2)</f>
        <v>892595</v>
      </c>
      <c r="U971" s="24">
        <f t="shared" si="311"/>
        <v>9.9737238878769356E-5</v>
      </c>
      <c r="V971" s="24">
        <f t="shared" si="317"/>
        <v>9.9737238878769356E-5</v>
      </c>
      <c r="W971" s="24">
        <f t="shared" si="313"/>
        <v>3.925301640607946E-3</v>
      </c>
      <c r="X971" s="25">
        <f t="shared" si="314"/>
        <v>2.6978932303434672E-3</v>
      </c>
      <c r="Y971" s="8">
        <f t="shared" si="322"/>
        <v>9.3593974418901116</v>
      </c>
      <c r="Z971" s="27">
        <f t="shared" si="323"/>
        <v>0.23895411392362148</v>
      </c>
      <c r="AC971" s="56">
        <f t="shared" ref="AC971:AC1034" si="324">IFERROR(K971/SUMIFS($M$3:$M$1234,$E$3:$E$1234,E971,$B$3:$B$1234,B971),"")</f>
        <v>2.8771171854688146E-3</v>
      </c>
      <c r="AE971" s="20">
        <f t="shared" si="315"/>
        <v>0</v>
      </c>
      <c r="AF971" s="20">
        <f t="shared" si="316"/>
        <v>1515011442.3000002</v>
      </c>
      <c r="AG971">
        <f t="shared" si="319"/>
        <v>17177418</v>
      </c>
      <c r="AH971">
        <f t="shared" si="320"/>
        <v>17177418</v>
      </c>
      <c r="AI971">
        <f t="shared" si="321"/>
        <v>16624201242.6</v>
      </c>
    </row>
    <row r="972" spans="2:35" x14ac:dyDescent="0.25">
      <c r="B972" s="4">
        <v>2026</v>
      </c>
      <c r="C972" s="4" t="s">
        <v>241</v>
      </c>
      <c r="D972" s="1" t="s">
        <v>570</v>
      </c>
      <c r="E972" s="4" t="str">
        <f t="shared" si="309"/>
        <v>CtPt-MN</v>
      </c>
      <c r="F972" s="4" t="s">
        <v>143</v>
      </c>
      <c r="G972" s="4">
        <v>1</v>
      </c>
      <c r="H972" s="11" t="s">
        <v>581</v>
      </c>
      <c r="I972" s="4"/>
      <c r="J972" s="4" t="s">
        <v>108</v>
      </c>
      <c r="K972" s="5">
        <v>28460</v>
      </c>
      <c r="L972" s="5">
        <f t="shared" si="318"/>
        <v>28460</v>
      </c>
      <c r="M972" s="8">
        <v>1100894</v>
      </c>
      <c r="N972" s="8">
        <v>0</v>
      </c>
      <c r="O972" s="8">
        <f>SUMIFS(EIAwtransport!$J$2:$J$675,EIAwtransport!$E$2:$E$675,Program_data!$E972,EIAwtransport!$H$2:$H$675,Program_data!$F972,EIAwtransport!$I$2:$I$675,Program_data!O$2)</f>
        <v>0</v>
      </c>
      <c r="P972" s="5">
        <f>SUMIFS(EIAwtransport!$J$2:$J$675,EIAwtransport!$E$2:$E$675,Program_data!$E972,EIAwtransport!$H$2:$H$675,Program_data!$F972,EIAwtransport!$I$2:$I$675,Program_data!P$2)</f>
        <v>0</v>
      </c>
      <c r="Q972" s="5">
        <f>SUMIFS(EIAwtransport!$J$2:$J$675,EIAwtransport!$E$2:$E$675,Program_data!$E972,EIAwtransport!$H$2:$H$675,Program_data!$F972,EIAwtransport!$I$2:$I$675,Program_data!Q$2)</f>
        <v>0</v>
      </c>
      <c r="R972" s="8">
        <f>SUMIFS(EIAwtransport!$J$2:$J$675,EIAwtransport!$E$2:$E$675,Program_data!$E972,EIAwtransport!$I$2:$I$675,Program_data!R$2)</f>
        <v>1122230698</v>
      </c>
      <c r="S972" s="5">
        <f>SUMIFS(EIAwtransport!$J$2:$J$675,EIAwtransport!$E$2:$E$675,Program_data!$E972,EIAwtransport!$I$2:$I$675,Program_data!S$2)</f>
        <v>157605245</v>
      </c>
      <c r="T972" s="5">
        <f>SUMIFS(EIAwtransport!$J$2:$J$675,EIAwtransport!$E$2:$E$675,Program_data!$E972,EIAwtransport!$I$2:$I$675,Program_data!T$2)</f>
        <v>892595</v>
      </c>
      <c r="U972" s="24">
        <f t="shared" si="311"/>
        <v>1.7430284424254074E-5</v>
      </c>
      <c r="V972" s="24">
        <f t="shared" si="317"/>
        <v>1.7430284424254074E-5</v>
      </c>
      <c r="W972" s="24">
        <f t="shared" si="313"/>
        <v>9.8098724438921026E-4</v>
      </c>
      <c r="X972" s="25">
        <f t="shared" si="314"/>
        <v>6.7424088337859325E-4</v>
      </c>
      <c r="Y972" s="8">
        <f t="shared" si="322"/>
        <v>2.3390430459354947</v>
      </c>
      <c r="Z972" s="27">
        <f t="shared" si="323"/>
        <v>5.9717942521506091E-2</v>
      </c>
      <c r="AC972" s="56">
        <f t="shared" si="324"/>
        <v>5.0281090020535743E-4</v>
      </c>
      <c r="AE972" s="20">
        <f t="shared" si="315"/>
        <v>0</v>
      </c>
      <c r="AF972" s="20">
        <f t="shared" si="316"/>
        <v>1515011442.3000002</v>
      </c>
      <c r="AG972">
        <f t="shared" si="319"/>
        <v>3001960.8000000003</v>
      </c>
      <c r="AH972">
        <f t="shared" si="320"/>
        <v>3001960.8000000003</v>
      </c>
      <c r="AI972">
        <f t="shared" si="321"/>
        <v>16624201242.6</v>
      </c>
    </row>
    <row r="973" spans="2:35" x14ac:dyDescent="0.25">
      <c r="B973" s="4">
        <v>2026</v>
      </c>
      <c r="C973" s="4" t="s">
        <v>241</v>
      </c>
      <c r="D973" s="1" t="s">
        <v>570</v>
      </c>
      <c r="E973" s="4" t="str">
        <f t="shared" si="309"/>
        <v>CtPt-MN</v>
      </c>
      <c r="F973" s="4" t="s">
        <v>143</v>
      </c>
      <c r="G973" s="4">
        <v>1</v>
      </c>
      <c r="H973" s="11" t="s">
        <v>582</v>
      </c>
      <c r="I973" s="4"/>
      <c r="J973" s="4" t="s">
        <v>108</v>
      </c>
      <c r="K973" s="5">
        <v>135110</v>
      </c>
      <c r="L973" s="5">
        <f t="shared" si="318"/>
        <v>135110</v>
      </c>
      <c r="M973" s="8">
        <v>4052731</v>
      </c>
      <c r="N973" s="8">
        <v>0</v>
      </c>
      <c r="O973" s="8">
        <f>SUMIFS(EIAwtransport!$J$2:$J$675,EIAwtransport!$E$2:$E$675,Program_data!$E973,EIAwtransport!$H$2:$H$675,Program_data!$F973,EIAwtransport!$I$2:$I$675,Program_data!O$2)</f>
        <v>0</v>
      </c>
      <c r="P973" s="5">
        <f>SUMIFS(EIAwtransport!$J$2:$J$675,EIAwtransport!$E$2:$E$675,Program_data!$E973,EIAwtransport!$H$2:$H$675,Program_data!$F973,EIAwtransport!$I$2:$I$675,Program_data!P$2)</f>
        <v>0</v>
      </c>
      <c r="Q973" s="5">
        <f>SUMIFS(EIAwtransport!$J$2:$J$675,EIAwtransport!$E$2:$E$675,Program_data!$E973,EIAwtransport!$H$2:$H$675,Program_data!$F973,EIAwtransport!$I$2:$I$675,Program_data!Q$2)</f>
        <v>0</v>
      </c>
      <c r="R973" s="8">
        <f>SUMIFS(EIAwtransport!$J$2:$J$675,EIAwtransport!$E$2:$E$675,Program_data!$E973,EIAwtransport!$I$2:$I$675,Program_data!R$2)</f>
        <v>1122230698</v>
      </c>
      <c r="S973" s="5">
        <f>SUMIFS(EIAwtransport!$J$2:$J$675,EIAwtransport!$E$2:$E$675,Program_data!$E973,EIAwtransport!$I$2:$I$675,Program_data!S$2)</f>
        <v>157605245</v>
      </c>
      <c r="T973" s="5">
        <f>SUMIFS(EIAwtransport!$J$2:$J$675,EIAwtransport!$E$2:$E$675,Program_data!$E973,EIAwtransport!$I$2:$I$675,Program_data!T$2)</f>
        <v>892595</v>
      </c>
      <c r="U973" s="24">
        <f t="shared" si="311"/>
        <v>8.2747917377405756E-5</v>
      </c>
      <c r="V973" s="24">
        <f t="shared" si="317"/>
        <v>8.2747917377405756E-5</v>
      </c>
      <c r="W973" s="24">
        <f t="shared" si="313"/>
        <v>3.6113171803468166E-3</v>
      </c>
      <c r="X973" s="25">
        <f t="shared" si="314"/>
        <v>2.4820890381233884E-3</v>
      </c>
      <c r="Y973" s="8">
        <f t="shared" si="322"/>
        <v>8.6107402371138395</v>
      </c>
      <c r="Z973" s="27">
        <f t="shared" si="323"/>
        <v>0.21984019979500832</v>
      </c>
      <c r="AC973" s="56">
        <f t="shared" si="324"/>
        <v>2.387026729681864E-3</v>
      </c>
      <c r="AE973" s="20">
        <f t="shared" si="315"/>
        <v>0</v>
      </c>
      <c r="AF973" s="20">
        <f t="shared" si="316"/>
        <v>1515011442.3000002</v>
      </c>
      <c r="AG973">
        <f t="shared" si="319"/>
        <v>14251402.800000001</v>
      </c>
      <c r="AH973">
        <f t="shared" si="320"/>
        <v>14251402.800000001</v>
      </c>
      <c r="AI973">
        <f t="shared" si="321"/>
        <v>16624201242.6</v>
      </c>
    </row>
    <row r="974" spans="2:35" x14ac:dyDescent="0.25">
      <c r="B974" s="4">
        <v>2026</v>
      </c>
      <c r="C974" s="4" t="s">
        <v>241</v>
      </c>
      <c r="D974" s="1" t="s">
        <v>570</v>
      </c>
      <c r="E974" s="4" t="str">
        <f t="shared" ref="E974:E1064" si="325">D974&amp;"-"&amp;C974</f>
        <v>CtPt-MN</v>
      </c>
      <c r="F974" s="4" t="s">
        <v>143</v>
      </c>
      <c r="G974" s="4">
        <v>1</v>
      </c>
      <c r="H974" s="11" t="s">
        <v>583</v>
      </c>
      <c r="I974" s="4"/>
      <c r="J974" s="4" t="s">
        <v>108</v>
      </c>
      <c r="K974" s="5">
        <v>18280</v>
      </c>
      <c r="L974" s="5">
        <f t="shared" si="318"/>
        <v>18280</v>
      </c>
      <c r="M974" s="8">
        <v>172121</v>
      </c>
      <c r="N974" s="8">
        <v>0</v>
      </c>
      <c r="O974" s="8">
        <f>SUMIFS(EIAwtransport!$J$2:$J$675,EIAwtransport!$E$2:$E$675,Program_data!$E974,EIAwtransport!$H$2:$H$675,Program_data!$F974,EIAwtransport!$I$2:$I$675,Program_data!O$2)</f>
        <v>0</v>
      </c>
      <c r="P974" s="5">
        <f>SUMIFS(EIAwtransport!$J$2:$J$675,EIAwtransport!$E$2:$E$675,Program_data!$E974,EIAwtransport!$H$2:$H$675,Program_data!$F974,EIAwtransport!$I$2:$I$675,Program_data!P$2)</f>
        <v>0</v>
      </c>
      <c r="Q974" s="5">
        <f>SUMIFS(EIAwtransport!$J$2:$J$675,EIAwtransport!$E$2:$E$675,Program_data!$E974,EIAwtransport!$H$2:$H$675,Program_data!$F974,EIAwtransport!$I$2:$I$675,Program_data!Q$2)</f>
        <v>0</v>
      </c>
      <c r="R974" s="8">
        <f>SUMIFS(EIAwtransport!$J$2:$J$675,EIAwtransport!$E$2:$E$675,Program_data!$E974,EIAwtransport!$I$2:$I$675,Program_data!R$2)</f>
        <v>1122230698</v>
      </c>
      <c r="S974" s="5">
        <f>SUMIFS(EIAwtransport!$J$2:$J$675,EIAwtransport!$E$2:$E$675,Program_data!$E974,EIAwtransport!$I$2:$I$675,Program_data!S$2)</f>
        <v>157605245</v>
      </c>
      <c r="T974" s="5">
        <f>SUMIFS(EIAwtransport!$J$2:$J$675,EIAwtransport!$E$2:$E$675,Program_data!$E974,EIAwtransport!$I$2:$I$675,Program_data!T$2)</f>
        <v>892595</v>
      </c>
      <c r="U974" s="24">
        <f t="shared" ref="U974:U1064" si="326">IFERROR(K974/10.36/S974,"")</f>
        <v>1.1195558653385962E-5</v>
      </c>
      <c r="V974" s="24">
        <f t="shared" si="317"/>
        <v>1.1195558653385962E-5</v>
      </c>
      <c r="W974" s="24">
        <f t="shared" ref="W974:W1064" si="327">IFERROR(M974/R974,"")</f>
        <v>1.5337399013121633E-4</v>
      </c>
      <c r="X974" s="25">
        <f t="shared" ref="X974:X1064" si="328">IFERROR(M974/S974/10.36,"")</f>
        <v>1.0541524895948824E-4</v>
      </c>
      <c r="Y974" s="8">
        <f t="shared" si="322"/>
        <v>0.36570135554327965</v>
      </c>
      <c r="Z974" s="27">
        <f t="shared" si="323"/>
        <v>9.3366954354771204E-3</v>
      </c>
      <c r="AC974" s="56">
        <f t="shared" si="324"/>
        <v>3.2295794995621695E-4</v>
      </c>
      <c r="AE974" s="20">
        <f t="shared" si="315"/>
        <v>0</v>
      </c>
      <c r="AF974" s="20">
        <f t="shared" si="316"/>
        <v>1515011442.3000002</v>
      </c>
      <c r="AG974">
        <f t="shared" si="319"/>
        <v>1928174.4000000001</v>
      </c>
      <c r="AH974">
        <f t="shared" si="320"/>
        <v>1928174.4000000001</v>
      </c>
      <c r="AI974">
        <f t="shared" si="321"/>
        <v>16624201242.6</v>
      </c>
    </row>
    <row r="975" spans="2:35" x14ac:dyDescent="0.25">
      <c r="B975" s="4">
        <v>2026</v>
      </c>
      <c r="C975" s="4" t="s">
        <v>241</v>
      </c>
      <c r="D975" s="1" t="s">
        <v>570</v>
      </c>
      <c r="E975" s="4" t="str">
        <f t="shared" si="325"/>
        <v>CtPt-MN</v>
      </c>
      <c r="F975" s="4" t="s">
        <v>143</v>
      </c>
      <c r="G975" s="4">
        <v>1</v>
      </c>
      <c r="H975" s="11" t="s">
        <v>584</v>
      </c>
      <c r="I975" s="4"/>
      <c r="J975" s="4" t="s">
        <v>108</v>
      </c>
      <c r="K975" s="5">
        <v>27080</v>
      </c>
      <c r="L975" s="5">
        <f t="shared" si="318"/>
        <v>27080</v>
      </c>
      <c r="M975" s="8">
        <v>697954</v>
      </c>
      <c r="N975" s="8">
        <v>525400</v>
      </c>
      <c r="O975" s="8">
        <f>SUMIFS(EIAwtransport!$J$2:$J$675,EIAwtransport!$E$2:$E$675,Program_data!$E975,EIAwtransport!$H$2:$H$675,Program_data!$F975,EIAwtransport!$I$2:$I$675,Program_data!O$2)</f>
        <v>0</v>
      </c>
      <c r="P975" s="5">
        <f>SUMIFS(EIAwtransport!$J$2:$J$675,EIAwtransport!$E$2:$E$675,Program_data!$E975,EIAwtransport!$H$2:$H$675,Program_data!$F975,EIAwtransport!$I$2:$I$675,Program_data!P$2)</f>
        <v>0</v>
      </c>
      <c r="Q975" s="5">
        <f>SUMIFS(EIAwtransport!$J$2:$J$675,EIAwtransport!$E$2:$E$675,Program_data!$E975,EIAwtransport!$H$2:$H$675,Program_data!$F975,EIAwtransport!$I$2:$I$675,Program_data!Q$2)</f>
        <v>0</v>
      </c>
      <c r="R975" s="8">
        <f>SUMIFS(EIAwtransport!$J$2:$J$675,EIAwtransport!$E$2:$E$675,Program_data!$E975,EIAwtransport!$I$2:$I$675,Program_data!R$2)</f>
        <v>1122230698</v>
      </c>
      <c r="S975" s="5">
        <f>SUMIFS(EIAwtransport!$J$2:$J$675,EIAwtransport!$E$2:$E$675,Program_data!$E975,EIAwtransport!$I$2:$I$675,Program_data!S$2)</f>
        <v>157605245</v>
      </c>
      <c r="T975" s="5">
        <f>SUMIFS(EIAwtransport!$J$2:$J$675,EIAwtransport!$E$2:$E$675,Program_data!$E975,EIAwtransport!$I$2:$I$675,Program_data!T$2)</f>
        <v>892595</v>
      </c>
      <c r="U975" s="24">
        <f t="shared" si="326"/>
        <v>1.6585105488713994E-5</v>
      </c>
      <c r="V975" s="24">
        <f t="shared" si="317"/>
        <v>1.6585105488713994E-5</v>
      </c>
      <c r="W975" s="24">
        <f t="shared" si="327"/>
        <v>6.2193451065263941E-4</v>
      </c>
      <c r="X975" s="25">
        <f t="shared" si="328"/>
        <v>4.2746088317097077E-4</v>
      </c>
      <c r="Y975" s="8">
        <f t="shared" si="322"/>
        <v>1.4829261037691752</v>
      </c>
      <c r="Z975" s="27">
        <f t="shared" si="323"/>
        <v>3.7860481440225184E-2</v>
      </c>
      <c r="AC975" s="56">
        <f t="shared" si="324"/>
        <v>4.7843004840341107E-4</v>
      </c>
      <c r="AE975" s="20">
        <f t="shared" si="315"/>
        <v>709290</v>
      </c>
      <c r="AF975" s="20">
        <f t="shared" si="316"/>
        <v>1515011442.3000002</v>
      </c>
      <c r="AG975">
        <f t="shared" si="319"/>
        <v>2856398.4</v>
      </c>
      <c r="AH975">
        <f t="shared" si="320"/>
        <v>2856398.4</v>
      </c>
      <c r="AI975">
        <f t="shared" si="321"/>
        <v>16624201242.6</v>
      </c>
    </row>
    <row r="976" spans="2:35" x14ac:dyDescent="0.25">
      <c r="B976" s="4">
        <v>2026</v>
      </c>
      <c r="C976" s="4" t="s">
        <v>241</v>
      </c>
      <c r="D976" s="1" t="s">
        <v>570</v>
      </c>
      <c r="E976" s="4" t="str">
        <f t="shared" si="325"/>
        <v>CtPt-MN</v>
      </c>
      <c r="F976" s="4" t="s">
        <v>143</v>
      </c>
      <c r="G976" s="4">
        <v>1</v>
      </c>
      <c r="H976" s="11" t="s">
        <v>585</v>
      </c>
      <c r="I976" s="4"/>
      <c r="J976" s="4" t="s">
        <v>108</v>
      </c>
      <c r="K976" s="5">
        <v>98880</v>
      </c>
      <c r="L976" s="5">
        <f t="shared" si="318"/>
        <v>98880</v>
      </c>
      <c r="M976" s="8">
        <v>829847</v>
      </c>
      <c r="N976" s="8">
        <v>253214</v>
      </c>
      <c r="O976" s="8">
        <f>SUMIFS(EIAwtransport!$J$2:$J$675,EIAwtransport!$E$2:$E$675,Program_data!$E976,EIAwtransport!$H$2:$H$675,Program_data!$F976,EIAwtransport!$I$2:$I$675,Program_data!O$2)</f>
        <v>0</v>
      </c>
      <c r="P976" s="5">
        <f>SUMIFS(EIAwtransport!$J$2:$J$675,EIAwtransport!$E$2:$E$675,Program_data!$E976,EIAwtransport!$H$2:$H$675,Program_data!$F976,EIAwtransport!$I$2:$I$675,Program_data!P$2)</f>
        <v>0</v>
      </c>
      <c r="Q976" s="5">
        <f>SUMIFS(EIAwtransport!$J$2:$J$675,EIAwtransport!$E$2:$E$675,Program_data!$E976,EIAwtransport!$H$2:$H$675,Program_data!$F976,EIAwtransport!$I$2:$I$675,Program_data!Q$2)</f>
        <v>0</v>
      </c>
      <c r="R976" s="8">
        <f>SUMIFS(EIAwtransport!$J$2:$J$675,EIAwtransport!$E$2:$E$675,Program_data!$E976,EIAwtransport!$I$2:$I$675,Program_data!R$2)</f>
        <v>1122230698</v>
      </c>
      <c r="S976" s="5">
        <f>SUMIFS(EIAwtransport!$J$2:$J$675,EIAwtransport!$E$2:$E$675,Program_data!$E976,EIAwtransport!$I$2:$I$675,Program_data!S$2)</f>
        <v>157605245</v>
      </c>
      <c r="T976" s="5">
        <f>SUMIFS(EIAwtransport!$J$2:$J$675,EIAwtransport!$E$2:$E$675,Program_data!$E976,EIAwtransport!$I$2:$I$675,Program_data!T$2)</f>
        <v>892595</v>
      </c>
      <c r="U976" s="24">
        <f t="shared" si="326"/>
        <v>6.0558908076958645E-5</v>
      </c>
      <c r="V976" s="24">
        <f t="shared" si="317"/>
        <v>6.0558908076958645E-5</v>
      </c>
      <c r="W976" s="24">
        <f t="shared" si="327"/>
        <v>7.3946203884720321E-4</v>
      </c>
      <c r="X976" s="25">
        <f t="shared" si="328"/>
        <v>5.0823855371096179E-4</v>
      </c>
      <c r="Y976" s="8">
        <f t="shared" si="322"/>
        <v>1.7631559937109591</v>
      </c>
      <c r="Z976" s="27">
        <f t="shared" si="323"/>
        <v>4.501501093442626E-2</v>
      </c>
      <c r="AC976" s="56">
        <f t="shared" si="324"/>
        <v>1.7469410334611996E-3</v>
      </c>
      <c r="AE976" s="20">
        <f t="shared" si="315"/>
        <v>341838.9</v>
      </c>
      <c r="AF976" s="20">
        <f t="shared" si="316"/>
        <v>1515011442.3000002</v>
      </c>
      <c r="AG976">
        <f t="shared" si="319"/>
        <v>10429862.4</v>
      </c>
      <c r="AH976">
        <f t="shared" si="320"/>
        <v>10429862.4</v>
      </c>
      <c r="AI976">
        <f t="shared" si="321"/>
        <v>16624201242.6</v>
      </c>
    </row>
    <row r="977" spans="2:35" x14ac:dyDescent="0.25">
      <c r="B977" s="4">
        <v>2026</v>
      </c>
      <c r="C977" s="4" t="s">
        <v>241</v>
      </c>
      <c r="D977" s="1" t="s">
        <v>570</v>
      </c>
      <c r="E977" s="4" t="str">
        <f t="shared" si="325"/>
        <v>CtPt-MN</v>
      </c>
      <c r="F977" s="4" t="s">
        <v>143</v>
      </c>
      <c r="G977" s="4">
        <v>1</v>
      </c>
      <c r="H977" s="11" t="s">
        <v>586</v>
      </c>
      <c r="I977" s="4"/>
      <c r="J977" s="4" t="s">
        <v>155</v>
      </c>
      <c r="K977" s="5">
        <v>0</v>
      </c>
      <c r="L977" s="5">
        <f t="shared" si="318"/>
        <v>0</v>
      </c>
      <c r="M977" s="8">
        <v>335345</v>
      </c>
      <c r="N977" s="8">
        <v>0</v>
      </c>
      <c r="O977" s="8">
        <f>SUMIFS(EIAwtransport!$J$2:$J$675,EIAwtransport!$E$2:$E$675,Program_data!$E977,EIAwtransport!$H$2:$H$675,Program_data!$F977,EIAwtransport!$I$2:$I$675,Program_data!O$2)</f>
        <v>0</v>
      </c>
      <c r="P977" s="5">
        <f>SUMIFS(EIAwtransport!$J$2:$J$675,EIAwtransport!$E$2:$E$675,Program_data!$E977,EIAwtransport!$H$2:$H$675,Program_data!$F977,EIAwtransport!$I$2:$I$675,Program_data!P$2)</f>
        <v>0</v>
      </c>
      <c r="Q977" s="5">
        <f>SUMIFS(EIAwtransport!$J$2:$J$675,EIAwtransport!$E$2:$E$675,Program_data!$E977,EIAwtransport!$H$2:$H$675,Program_data!$F977,EIAwtransport!$I$2:$I$675,Program_data!Q$2)</f>
        <v>0</v>
      </c>
      <c r="R977" s="8">
        <f>SUMIFS(EIAwtransport!$J$2:$J$675,EIAwtransport!$E$2:$E$675,Program_data!$E977,EIAwtransport!$I$2:$I$675,Program_data!R$2)</f>
        <v>1122230698</v>
      </c>
      <c r="S977" s="5">
        <f>SUMIFS(EIAwtransport!$J$2:$J$675,EIAwtransport!$E$2:$E$675,Program_data!$E977,EIAwtransport!$I$2:$I$675,Program_data!S$2)</f>
        <v>157605245</v>
      </c>
      <c r="T977" s="5">
        <f>SUMIFS(EIAwtransport!$J$2:$J$675,EIAwtransport!$E$2:$E$675,Program_data!$E977,EIAwtransport!$I$2:$I$675,Program_data!T$2)</f>
        <v>892595</v>
      </c>
      <c r="U977" s="24">
        <f t="shared" si="326"/>
        <v>0</v>
      </c>
      <c r="V977" s="24">
        <f t="shared" si="317"/>
        <v>0</v>
      </c>
      <c r="W977" s="24">
        <f t="shared" si="327"/>
        <v>2.9882002033774341E-4</v>
      </c>
      <c r="X977" s="25">
        <f t="shared" si="328"/>
        <v>2.0538154357875905E-4</v>
      </c>
      <c r="Y977" s="8">
        <f t="shared" si="322"/>
        <v>0.71249946883100324</v>
      </c>
      <c r="Z977" s="27">
        <f t="shared" si="323"/>
        <v>1.8190773530307604E-2</v>
      </c>
      <c r="AC977" s="56">
        <f t="shared" si="324"/>
        <v>0</v>
      </c>
      <c r="AE977" s="20">
        <f t="shared" si="315"/>
        <v>0</v>
      </c>
      <c r="AF977" s="20">
        <f t="shared" si="316"/>
        <v>1515011442.3000002</v>
      </c>
      <c r="AG977">
        <f t="shared" si="319"/>
        <v>0</v>
      </c>
      <c r="AH977">
        <f t="shared" si="320"/>
        <v>0</v>
      </c>
      <c r="AI977">
        <f t="shared" si="321"/>
        <v>16624201242.6</v>
      </c>
    </row>
    <row r="978" spans="2:35" x14ac:dyDescent="0.25">
      <c r="B978" s="4">
        <v>2026</v>
      </c>
      <c r="C978" s="4" t="s">
        <v>241</v>
      </c>
      <c r="D978" s="1" t="s">
        <v>570</v>
      </c>
      <c r="E978" s="4" t="str">
        <f t="shared" si="325"/>
        <v>CtPt-MN</v>
      </c>
      <c r="F978" s="4" t="s">
        <v>146</v>
      </c>
      <c r="G978" s="4"/>
      <c r="H978" s="11" t="s">
        <v>587</v>
      </c>
      <c r="I978" s="4"/>
      <c r="J978" s="4" t="s">
        <v>142</v>
      </c>
      <c r="K978" s="5">
        <v>490050</v>
      </c>
      <c r="L978" s="5">
        <f t="shared" si="318"/>
        <v>490050</v>
      </c>
      <c r="M978" s="8">
        <v>799495</v>
      </c>
      <c r="N978" s="8">
        <v>502531</v>
      </c>
      <c r="O978" s="8">
        <f>SUMIFS(EIAwtransport!$J$2:$J$675,EIAwtransport!$E$2:$E$675,Program_data!$E978,EIAwtransport!$H$2:$H$675,Program_data!$F978,EIAwtransport!$I$2:$I$675,Program_data!O$2)</f>
        <v>450708420</v>
      </c>
      <c r="P978" s="5">
        <f>SUMIFS(EIAwtransport!$J$2:$J$675,EIAwtransport!$E$2:$E$675,Program_data!$E978,EIAwtransport!$H$2:$H$675,Program_data!$F978,EIAwtransport!$I$2:$I$675,Program_data!P$2)</f>
        <v>89362251</v>
      </c>
      <c r="Q978" s="5">
        <f>SUMIFS(EIAwtransport!$J$2:$J$675,EIAwtransport!$E$2:$E$675,Program_data!$E978,EIAwtransport!$H$2:$H$675,Program_data!$F978,EIAwtransport!$I$2:$I$675,Program_data!Q$2)</f>
        <v>71286</v>
      </c>
      <c r="R978" s="8">
        <f>SUMIFS(EIAwtransport!$J$2:$J$675,EIAwtransport!$E$2:$E$675,Program_data!$E978,EIAwtransport!$I$2:$I$675,Program_data!R$2)</f>
        <v>1122230698</v>
      </c>
      <c r="S978" s="5">
        <f>SUMIFS(EIAwtransport!$J$2:$J$675,EIAwtransport!$E$2:$E$675,Program_data!$E978,EIAwtransport!$I$2:$I$675,Program_data!S$2)</f>
        <v>157605245</v>
      </c>
      <c r="T978" s="5">
        <f>SUMIFS(EIAwtransport!$J$2:$J$675,EIAwtransport!$E$2:$E$675,Program_data!$E978,EIAwtransport!$I$2:$I$675,Program_data!T$2)</f>
        <v>892595</v>
      </c>
      <c r="U978" s="24">
        <f t="shared" si="326"/>
        <v>3.0013038939232992E-4</v>
      </c>
      <c r="V978" s="24">
        <f t="shared" si="317"/>
        <v>3.0013038939232992E-4</v>
      </c>
      <c r="W978" s="24">
        <f t="shared" si="327"/>
        <v>7.1241590648414078E-4</v>
      </c>
      <c r="X978" s="25">
        <f t="shared" si="328"/>
        <v>4.8964951671711212E-4</v>
      </c>
      <c r="Y978" s="8">
        <f t="shared" si="322"/>
        <v>7.2057704206456755E-2</v>
      </c>
      <c r="Z978" s="27">
        <f t="shared" si="323"/>
        <v>4.336856814210225E-2</v>
      </c>
      <c r="AC978" s="56">
        <f t="shared" si="324"/>
        <v>8.6578524822781243E-3</v>
      </c>
      <c r="AE978" s="20">
        <f t="shared" si="315"/>
        <v>678416.85000000009</v>
      </c>
      <c r="AF978" s="20">
        <f t="shared" si="316"/>
        <v>1515011442.3000002</v>
      </c>
      <c r="AG978">
        <f t="shared" si="319"/>
        <v>51690474</v>
      </c>
      <c r="AH978">
        <f t="shared" si="320"/>
        <v>51690474</v>
      </c>
      <c r="AI978">
        <f t="shared" si="321"/>
        <v>16624201242.6</v>
      </c>
    </row>
    <row r="979" spans="2:35" x14ac:dyDescent="0.25">
      <c r="B979" s="4">
        <v>2026</v>
      </c>
      <c r="C979" s="4" t="s">
        <v>241</v>
      </c>
      <c r="D979" s="1" t="s">
        <v>570</v>
      </c>
      <c r="E979" s="4" t="str">
        <f t="shared" si="325"/>
        <v>CtPt-MN</v>
      </c>
      <c r="F979" s="4" t="s">
        <v>146</v>
      </c>
      <c r="G979" s="4"/>
      <c r="H979" s="11" t="s">
        <v>588</v>
      </c>
      <c r="I979" s="4"/>
      <c r="J979" s="4" t="s">
        <v>142</v>
      </c>
      <c r="K979" s="5">
        <v>7292630</v>
      </c>
      <c r="L979" s="5">
        <f t="shared" si="318"/>
        <v>7292630</v>
      </c>
      <c r="M979" s="8">
        <v>3411393</v>
      </c>
      <c r="N979" s="8">
        <v>1802479</v>
      </c>
      <c r="O979" s="8">
        <f>SUMIFS(EIAwtransport!$J$2:$J$675,EIAwtransport!$E$2:$E$675,Program_data!$E979,EIAwtransport!$H$2:$H$675,Program_data!$F979,EIAwtransport!$I$2:$I$675,Program_data!O$2)</f>
        <v>450708420</v>
      </c>
      <c r="P979" s="5">
        <f>SUMIFS(EIAwtransport!$J$2:$J$675,EIAwtransport!$E$2:$E$675,Program_data!$E979,EIAwtransport!$H$2:$H$675,Program_data!$F979,EIAwtransport!$I$2:$I$675,Program_data!P$2)</f>
        <v>89362251</v>
      </c>
      <c r="Q979" s="5">
        <f>SUMIFS(EIAwtransport!$J$2:$J$675,EIAwtransport!$E$2:$E$675,Program_data!$E979,EIAwtransport!$H$2:$H$675,Program_data!$F979,EIAwtransport!$I$2:$I$675,Program_data!Q$2)</f>
        <v>71286</v>
      </c>
      <c r="R979" s="8">
        <f>SUMIFS(EIAwtransport!$J$2:$J$675,EIAwtransport!$E$2:$E$675,Program_data!$E979,EIAwtransport!$I$2:$I$675,Program_data!R$2)</f>
        <v>1122230698</v>
      </c>
      <c r="S979" s="5">
        <f>SUMIFS(EIAwtransport!$J$2:$J$675,EIAwtransport!$E$2:$E$675,Program_data!$E979,EIAwtransport!$I$2:$I$675,Program_data!S$2)</f>
        <v>157605245</v>
      </c>
      <c r="T979" s="5">
        <f>SUMIFS(EIAwtransport!$J$2:$J$675,EIAwtransport!$E$2:$E$675,Program_data!$E979,EIAwtransport!$I$2:$I$675,Program_data!T$2)</f>
        <v>892595</v>
      </c>
      <c r="U979" s="24">
        <f t="shared" si="326"/>
        <v>4.4663603338316229E-3</v>
      </c>
      <c r="V979" s="24">
        <f t="shared" si="317"/>
        <v>4.4663603338316229E-3</v>
      </c>
      <c r="W979" s="24">
        <f t="shared" si="327"/>
        <v>3.0398321896555353E-3</v>
      </c>
      <c r="X979" s="25">
        <f t="shared" si="328"/>
        <v>2.0893025394557053E-3</v>
      </c>
      <c r="Y979" s="8">
        <f t="shared" si="322"/>
        <v>0.30746552226840335</v>
      </c>
      <c r="Z979" s="27">
        <f t="shared" si="323"/>
        <v>0.18505085057441337</v>
      </c>
      <c r="AC979" s="56">
        <f t="shared" si="324"/>
        <v>0.1288409646930638</v>
      </c>
      <c r="AE979" s="20">
        <f t="shared" si="315"/>
        <v>2433346.6500000004</v>
      </c>
      <c r="AF979" s="20">
        <f t="shared" si="316"/>
        <v>1515011442.3000002</v>
      </c>
      <c r="AG979">
        <f t="shared" si="319"/>
        <v>769226612.39999998</v>
      </c>
      <c r="AH979">
        <f t="shared" si="320"/>
        <v>769226612.39999998</v>
      </c>
      <c r="AI979">
        <f t="shared" si="321"/>
        <v>16624201242.6</v>
      </c>
    </row>
    <row r="980" spans="2:35" x14ac:dyDescent="0.25">
      <c r="B980" s="4">
        <v>2026</v>
      </c>
      <c r="C980" s="4" t="s">
        <v>241</v>
      </c>
      <c r="D980" s="1" t="s">
        <v>570</v>
      </c>
      <c r="E980" s="4" t="str">
        <f t="shared" si="325"/>
        <v>CtPt-MN</v>
      </c>
      <c r="F980" s="4" t="s">
        <v>146</v>
      </c>
      <c r="G980" s="4"/>
      <c r="H980" s="11" t="s">
        <v>589</v>
      </c>
      <c r="I980" s="4"/>
      <c r="J980" s="4" t="s">
        <v>142</v>
      </c>
      <c r="K980" s="5">
        <v>135005</v>
      </c>
      <c r="L980" s="5">
        <f t="shared" si="318"/>
        <v>135005</v>
      </c>
      <c r="M980" s="8">
        <v>1948600</v>
      </c>
      <c r="N980" s="8">
        <v>690026</v>
      </c>
      <c r="O980" s="8">
        <f>SUMIFS(EIAwtransport!$J$2:$J$675,EIAwtransport!$E$2:$E$675,Program_data!$E980,EIAwtransport!$H$2:$H$675,Program_data!$F980,EIAwtransport!$I$2:$I$675,Program_data!O$2)</f>
        <v>450708420</v>
      </c>
      <c r="P980" s="5">
        <f>SUMIFS(EIAwtransport!$J$2:$J$675,EIAwtransport!$E$2:$E$675,Program_data!$E980,EIAwtransport!$H$2:$H$675,Program_data!$F980,EIAwtransport!$I$2:$I$675,Program_data!P$2)</f>
        <v>89362251</v>
      </c>
      <c r="Q980" s="5">
        <f>SUMIFS(EIAwtransport!$J$2:$J$675,EIAwtransport!$E$2:$E$675,Program_data!$E980,EIAwtransport!$H$2:$H$675,Program_data!$F980,EIAwtransport!$I$2:$I$675,Program_data!Q$2)</f>
        <v>71286</v>
      </c>
      <c r="R980" s="8">
        <f>SUMIFS(EIAwtransport!$J$2:$J$675,EIAwtransport!$E$2:$E$675,Program_data!$E980,EIAwtransport!$I$2:$I$675,Program_data!R$2)</f>
        <v>1122230698</v>
      </c>
      <c r="S980" s="5">
        <f>SUMIFS(EIAwtransport!$J$2:$J$675,EIAwtransport!$E$2:$E$675,Program_data!$E980,EIAwtransport!$I$2:$I$675,Program_data!S$2)</f>
        <v>157605245</v>
      </c>
      <c r="T980" s="5">
        <f>SUMIFS(EIAwtransport!$J$2:$J$675,EIAwtransport!$E$2:$E$675,Program_data!$E980,EIAwtransport!$I$2:$I$675,Program_data!T$2)</f>
        <v>892595</v>
      </c>
      <c r="U980" s="24">
        <f t="shared" si="326"/>
        <v>8.2683610284484224E-5</v>
      </c>
      <c r="V980" s="24">
        <f t="shared" si="317"/>
        <v>8.2683610284484224E-5</v>
      </c>
      <c r="W980" s="24">
        <f t="shared" si="327"/>
        <v>1.7363631234404175E-3</v>
      </c>
      <c r="X980" s="25">
        <f t="shared" si="328"/>
        <v>1.1934171549227508E-3</v>
      </c>
      <c r="Y980" s="8">
        <f t="shared" si="322"/>
        <v>0.17562541656508374</v>
      </c>
      <c r="Z980" s="27">
        <f t="shared" si="323"/>
        <v>0.10570171405912537</v>
      </c>
      <c r="AC980" s="56">
        <f t="shared" si="324"/>
        <v>2.385171664870846E-3</v>
      </c>
      <c r="AE980" s="20">
        <f t="shared" si="315"/>
        <v>931535.10000000009</v>
      </c>
      <c r="AF980" s="20">
        <f t="shared" si="316"/>
        <v>1515011442.3000002</v>
      </c>
      <c r="AG980">
        <f t="shared" si="319"/>
        <v>14240327.4</v>
      </c>
      <c r="AH980">
        <f t="shared" si="320"/>
        <v>14240327.4</v>
      </c>
      <c r="AI980">
        <f t="shared" si="321"/>
        <v>16624201242.6</v>
      </c>
    </row>
    <row r="981" spans="2:35" x14ac:dyDescent="0.25">
      <c r="B981" s="4">
        <v>2026</v>
      </c>
      <c r="C981" s="4" t="s">
        <v>241</v>
      </c>
      <c r="D981" s="1" t="s">
        <v>570</v>
      </c>
      <c r="E981" s="4" t="str">
        <f t="shared" si="325"/>
        <v>CtPt-MN</v>
      </c>
      <c r="F981" s="4" t="s">
        <v>146</v>
      </c>
      <c r="G981" s="4"/>
      <c r="H981" s="11" t="s">
        <v>590</v>
      </c>
      <c r="I981" s="4"/>
      <c r="J981" s="4" t="s">
        <v>142</v>
      </c>
      <c r="K981" s="5">
        <v>85380</v>
      </c>
      <c r="L981" s="5">
        <f t="shared" si="318"/>
        <v>85380</v>
      </c>
      <c r="M981" s="8">
        <v>852640</v>
      </c>
      <c r="N981" s="8">
        <v>29625</v>
      </c>
      <c r="O981" s="8">
        <f>SUMIFS(EIAwtransport!$J$2:$J$675,EIAwtransport!$E$2:$E$675,Program_data!$E981,EIAwtransport!$H$2:$H$675,Program_data!$F981,EIAwtransport!$I$2:$I$675,Program_data!O$2)</f>
        <v>450708420</v>
      </c>
      <c r="P981" s="5">
        <f>SUMIFS(EIAwtransport!$J$2:$J$675,EIAwtransport!$E$2:$E$675,Program_data!$E981,EIAwtransport!$H$2:$H$675,Program_data!$F981,EIAwtransport!$I$2:$I$675,Program_data!P$2)</f>
        <v>89362251</v>
      </c>
      <c r="Q981" s="5">
        <f>SUMIFS(EIAwtransport!$J$2:$J$675,EIAwtransport!$E$2:$E$675,Program_data!$E981,EIAwtransport!$H$2:$H$675,Program_data!$F981,EIAwtransport!$I$2:$I$675,Program_data!Q$2)</f>
        <v>71286</v>
      </c>
      <c r="R981" s="8">
        <f>SUMIFS(EIAwtransport!$J$2:$J$675,EIAwtransport!$E$2:$E$675,Program_data!$E981,EIAwtransport!$I$2:$I$675,Program_data!R$2)</f>
        <v>1122230698</v>
      </c>
      <c r="S981" s="5">
        <f>SUMIFS(EIAwtransport!$J$2:$J$675,EIAwtransport!$E$2:$E$675,Program_data!$E981,EIAwtransport!$I$2:$I$675,Program_data!S$2)</f>
        <v>157605245</v>
      </c>
      <c r="T981" s="5">
        <f>SUMIFS(EIAwtransport!$J$2:$J$675,EIAwtransport!$E$2:$E$675,Program_data!$E981,EIAwtransport!$I$2:$I$675,Program_data!T$2)</f>
        <v>892595</v>
      </c>
      <c r="U981" s="24">
        <f t="shared" si="326"/>
        <v>5.2290853272762223E-5</v>
      </c>
      <c r="V981" s="24">
        <f t="shared" si="317"/>
        <v>5.2290853272762223E-5</v>
      </c>
      <c r="W981" s="24">
        <f t="shared" si="327"/>
        <v>7.5977247950848698E-4</v>
      </c>
      <c r="X981" s="25">
        <f t="shared" si="328"/>
        <v>5.2219809246296532E-4</v>
      </c>
      <c r="Y981" s="8">
        <f t="shared" si="322"/>
        <v>7.6847611197810223E-2</v>
      </c>
      <c r="Z981" s="27">
        <f t="shared" si="323"/>
        <v>4.6251416132286081E-2</v>
      </c>
      <c r="AC981" s="56">
        <f t="shared" si="324"/>
        <v>1.5084327006160724E-3</v>
      </c>
      <c r="AE981" s="20">
        <f t="shared" si="315"/>
        <v>39993.75</v>
      </c>
      <c r="AF981" s="20">
        <f t="shared" si="316"/>
        <v>1515011442.3000002</v>
      </c>
      <c r="AG981">
        <f t="shared" si="319"/>
        <v>9005882.4000000004</v>
      </c>
      <c r="AH981">
        <f t="shared" si="320"/>
        <v>9005882.4000000004</v>
      </c>
      <c r="AI981">
        <f t="shared" si="321"/>
        <v>16624201242.6</v>
      </c>
    </row>
    <row r="982" spans="2:35" x14ac:dyDescent="0.25">
      <c r="B982" s="4">
        <v>2026</v>
      </c>
      <c r="C982" s="4" t="s">
        <v>241</v>
      </c>
      <c r="D982" s="1" t="s">
        <v>570</v>
      </c>
      <c r="E982" s="4" t="str">
        <f t="shared" si="325"/>
        <v>CtPt-MN</v>
      </c>
      <c r="F982" s="4" t="s">
        <v>146</v>
      </c>
      <c r="G982" s="4"/>
      <c r="H982" s="11" t="s">
        <v>591</v>
      </c>
      <c r="I982" s="4"/>
      <c r="J982" s="4" t="s">
        <v>142</v>
      </c>
      <c r="K982" s="5">
        <v>1557720</v>
      </c>
      <c r="L982" s="5">
        <f t="shared" si="318"/>
        <v>1557720</v>
      </c>
      <c r="M982" s="8">
        <v>1781282</v>
      </c>
      <c r="N982" s="8">
        <v>778862</v>
      </c>
      <c r="O982" s="8">
        <f>SUMIFS(EIAwtransport!$J$2:$J$675,EIAwtransport!$E$2:$E$675,Program_data!$E982,EIAwtransport!$H$2:$H$675,Program_data!$F982,EIAwtransport!$I$2:$I$675,Program_data!O$2)</f>
        <v>450708420</v>
      </c>
      <c r="P982" s="5">
        <f>SUMIFS(EIAwtransport!$J$2:$J$675,EIAwtransport!$E$2:$E$675,Program_data!$E982,EIAwtransport!$H$2:$H$675,Program_data!$F982,EIAwtransport!$I$2:$I$675,Program_data!P$2)</f>
        <v>89362251</v>
      </c>
      <c r="Q982" s="5">
        <f>SUMIFS(EIAwtransport!$J$2:$J$675,EIAwtransport!$E$2:$E$675,Program_data!$E982,EIAwtransport!$H$2:$H$675,Program_data!$F982,EIAwtransport!$I$2:$I$675,Program_data!Q$2)</f>
        <v>71286</v>
      </c>
      <c r="R982" s="8">
        <f>SUMIFS(EIAwtransport!$J$2:$J$675,EIAwtransport!$E$2:$E$675,Program_data!$E982,EIAwtransport!$I$2:$I$675,Program_data!R$2)</f>
        <v>1122230698</v>
      </c>
      <c r="S982" s="5">
        <f>SUMIFS(EIAwtransport!$J$2:$J$675,EIAwtransport!$E$2:$E$675,Program_data!$E982,EIAwtransport!$I$2:$I$675,Program_data!S$2)</f>
        <v>157605245</v>
      </c>
      <c r="T982" s="5">
        <f>SUMIFS(EIAwtransport!$J$2:$J$675,EIAwtransport!$E$2:$E$675,Program_data!$E982,EIAwtransport!$I$2:$I$675,Program_data!T$2)</f>
        <v>892595</v>
      </c>
      <c r="U982" s="24">
        <f t="shared" si="326"/>
        <v>9.5402328367354377E-4</v>
      </c>
      <c r="V982" s="24">
        <f t="shared" si="317"/>
        <v>9.5402328367354377E-4</v>
      </c>
      <c r="W982" s="24">
        <f t="shared" si="327"/>
        <v>1.5872690019748507E-3</v>
      </c>
      <c r="X982" s="25">
        <f t="shared" si="328"/>
        <v>1.0909434961280445E-3</v>
      </c>
      <c r="Y982" s="8">
        <f t="shared" si="322"/>
        <v>0.16054520849321846</v>
      </c>
      <c r="Z982" s="27">
        <f t="shared" si="323"/>
        <v>9.662555712956325E-2</v>
      </c>
      <c r="AC982" s="56">
        <f t="shared" si="324"/>
        <v>2.7520681499223099E-2</v>
      </c>
      <c r="AE982" s="20">
        <f t="shared" si="315"/>
        <v>1051463.7</v>
      </c>
      <c r="AF982" s="20">
        <f t="shared" si="316"/>
        <v>1515011442.3000002</v>
      </c>
      <c r="AG982">
        <f t="shared" si="319"/>
        <v>164308305.59999999</v>
      </c>
      <c r="AH982">
        <f t="shared" si="320"/>
        <v>164308305.59999999</v>
      </c>
      <c r="AI982">
        <f t="shared" si="321"/>
        <v>16624201242.6</v>
      </c>
    </row>
    <row r="983" spans="2:35" x14ac:dyDescent="0.25">
      <c r="B983" s="4">
        <v>2026</v>
      </c>
      <c r="C983" s="4" t="s">
        <v>241</v>
      </c>
      <c r="D983" s="1" t="s">
        <v>570</v>
      </c>
      <c r="E983" s="4" t="str">
        <f t="shared" si="325"/>
        <v>CtPt-MN</v>
      </c>
      <c r="F983" s="4" t="s">
        <v>146</v>
      </c>
      <c r="G983" s="4"/>
      <c r="H983" s="11" t="s">
        <v>592</v>
      </c>
      <c r="I983" s="4"/>
      <c r="J983" s="4" t="s">
        <v>142</v>
      </c>
      <c r="K983" s="5">
        <v>540080</v>
      </c>
      <c r="L983" s="5">
        <f t="shared" si="318"/>
        <v>540080</v>
      </c>
      <c r="M983" s="8">
        <v>86563</v>
      </c>
      <c r="N983" s="8">
        <v>0</v>
      </c>
      <c r="O983" s="8">
        <f>SUMIFS(EIAwtransport!$J$2:$J$675,EIAwtransport!$E$2:$E$675,Program_data!$E983,EIAwtransport!$H$2:$H$675,Program_data!$F983,EIAwtransport!$I$2:$I$675,Program_data!O$2)</f>
        <v>450708420</v>
      </c>
      <c r="P983" s="5">
        <f>SUMIFS(EIAwtransport!$J$2:$J$675,EIAwtransport!$E$2:$E$675,Program_data!$E983,EIAwtransport!$H$2:$H$675,Program_data!$F983,EIAwtransport!$I$2:$I$675,Program_data!P$2)</f>
        <v>89362251</v>
      </c>
      <c r="Q983" s="5">
        <f>SUMIFS(EIAwtransport!$J$2:$J$675,EIAwtransport!$E$2:$E$675,Program_data!$E983,EIAwtransport!$H$2:$H$675,Program_data!$F983,EIAwtransport!$I$2:$I$675,Program_data!Q$2)</f>
        <v>71286</v>
      </c>
      <c r="R983" s="8">
        <f>SUMIFS(EIAwtransport!$J$2:$J$675,EIAwtransport!$E$2:$E$675,Program_data!$E983,EIAwtransport!$I$2:$I$675,Program_data!R$2)</f>
        <v>1122230698</v>
      </c>
      <c r="S983" s="5">
        <f>SUMIFS(EIAwtransport!$J$2:$J$675,EIAwtransport!$E$2:$E$675,Program_data!$E983,EIAwtransport!$I$2:$I$675,Program_data!S$2)</f>
        <v>157605245</v>
      </c>
      <c r="T983" s="5">
        <f>SUMIFS(EIAwtransport!$J$2:$J$675,EIAwtransport!$E$2:$E$675,Program_data!$E983,EIAwtransport!$I$2:$I$675,Program_data!T$2)</f>
        <v>892595</v>
      </c>
      <c r="U983" s="24">
        <f t="shared" si="326"/>
        <v>3.3077118804817783E-4</v>
      </c>
      <c r="V983" s="24">
        <f t="shared" si="317"/>
        <v>3.3077118804817783E-4</v>
      </c>
      <c r="W983" s="24">
        <f t="shared" si="327"/>
        <v>7.7134763960983718E-5</v>
      </c>
      <c r="X983" s="25">
        <f t="shared" si="328"/>
        <v>5.3015379853011438E-5</v>
      </c>
      <c r="Y983" s="8">
        <f t="shared" si="322"/>
        <v>7.8018387222227982E-3</v>
      </c>
      <c r="Z983" s="27">
        <f t="shared" si="323"/>
        <v>4.6956058062712046E-3</v>
      </c>
      <c r="AC983" s="56">
        <f t="shared" si="324"/>
        <v>9.5417466965182513E-3</v>
      </c>
      <c r="AE983" s="20">
        <f t="shared" si="315"/>
        <v>0</v>
      </c>
      <c r="AF983" s="20">
        <f t="shared" si="316"/>
        <v>1515011442.3000002</v>
      </c>
      <c r="AG983">
        <f t="shared" si="319"/>
        <v>56967638.399999999</v>
      </c>
      <c r="AH983">
        <f t="shared" si="320"/>
        <v>56967638.399999999</v>
      </c>
      <c r="AI983">
        <f t="shared" si="321"/>
        <v>16624201242.6</v>
      </c>
    </row>
    <row r="984" spans="2:35" x14ac:dyDescent="0.25">
      <c r="B984" s="4">
        <v>2026</v>
      </c>
      <c r="C984" s="4" t="s">
        <v>241</v>
      </c>
      <c r="D984" s="1" t="s">
        <v>570</v>
      </c>
      <c r="E984" s="4" t="str">
        <f t="shared" si="325"/>
        <v>CtPt-MN</v>
      </c>
      <c r="F984" s="4" t="s">
        <v>146</v>
      </c>
      <c r="G984" s="4"/>
      <c r="H984" s="11" t="s">
        <v>593</v>
      </c>
      <c r="I984" s="4"/>
      <c r="J984" s="4" t="s">
        <v>142</v>
      </c>
      <c r="K984" s="5">
        <v>143260</v>
      </c>
      <c r="L984" s="5">
        <f t="shared" si="318"/>
        <v>143260</v>
      </c>
      <c r="M984" s="8">
        <v>326943</v>
      </c>
      <c r="N984" s="8">
        <v>82714</v>
      </c>
      <c r="O984" s="8">
        <f>SUMIFS(EIAwtransport!$J$2:$J$675,EIAwtransport!$E$2:$E$675,Program_data!$E984,EIAwtransport!$H$2:$H$675,Program_data!$F984,EIAwtransport!$I$2:$I$675,Program_data!O$2)</f>
        <v>450708420</v>
      </c>
      <c r="P984" s="5">
        <f>SUMIFS(EIAwtransport!$J$2:$J$675,EIAwtransport!$E$2:$E$675,Program_data!$E984,EIAwtransport!$H$2:$H$675,Program_data!$F984,EIAwtransport!$I$2:$I$675,Program_data!P$2)</f>
        <v>89362251</v>
      </c>
      <c r="Q984" s="5">
        <f>SUMIFS(EIAwtransport!$J$2:$J$675,EIAwtransport!$E$2:$E$675,Program_data!$E984,EIAwtransport!$H$2:$H$675,Program_data!$F984,EIAwtransport!$I$2:$I$675,Program_data!Q$2)</f>
        <v>71286</v>
      </c>
      <c r="R984" s="8">
        <f>SUMIFS(EIAwtransport!$J$2:$J$675,EIAwtransport!$E$2:$E$675,Program_data!$E984,EIAwtransport!$I$2:$I$675,Program_data!R$2)</f>
        <v>1122230698</v>
      </c>
      <c r="S984" s="5">
        <f>SUMIFS(EIAwtransport!$J$2:$J$675,EIAwtransport!$E$2:$E$675,Program_data!$E984,EIAwtransport!$I$2:$I$675,Program_data!S$2)</f>
        <v>157605245</v>
      </c>
      <c r="T984" s="5">
        <f>SUMIFS(EIAwtransport!$J$2:$J$675,EIAwtransport!$E$2:$E$675,Program_data!$E984,EIAwtransport!$I$2:$I$675,Program_data!T$2)</f>
        <v>892595</v>
      </c>
      <c r="U984" s="24">
        <f t="shared" si="326"/>
        <v>8.7739372685124333E-5</v>
      </c>
      <c r="V984" s="24">
        <f t="shared" si="317"/>
        <v>8.7739372685124333E-5</v>
      </c>
      <c r="W984" s="24">
        <f t="shared" si="327"/>
        <v>2.9133314619058835E-4</v>
      </c>
      <c r="X984" s="25">
        <f t="shared" si="328"/>
        <v>2.0023575124802882E-4</v>
      </c>
      <c r="Y984" s="8">
        <f t="shared" si="322"/>
        <v>2.9467053560524568E-2</v>
      </c>
      <c r="Z984" s="27">
        <f t="shared" si="323"/>
        <v>1.7735007441051331E-2</v>
      </c>
      <c r="AC984" s="56">
        <f t="shared" si="324"/>
        <v>2.5310150935846628E-3</v>
      </c>
      <c r="AE984" s="20">
        <f t="shared" si="315"/>
        <v>111663.90000000001</v>
      </c>
      <c r="AF984" s="20">
        <f t="shared" si="316"/>
        <v>1515011442.3000002</v>
      </c>
      <c r="AG984">
        <f t="shared" si="319"/>
        <v>15111064.800000001</v>
      </c>
      <c r="AH984">
        <f t="shared" si="320"/>
        <v>15111064.800000001</v>
      </c>
      <c r="AI984">
        <f t="shared" si="321"/>
        <v>16624201242.6</v>
      </c>
    </row>
    <row r="985" spans="2:35" x14ac:dyDescent="0.25">
      <c r="B985" s="4">
        <v>2026</v>
      </c>
      <c r="C985" s="4" t="s">
        <v>241</v>
      </c>
      <c r="D985" s="1" t="s">
        <v>570</v>
      </c>
      <c r="E985" s="4" t="str">
        <f t="shared" si="325"/>
        <v>CtPt-MN</v>
      </c>
      <c r="F985" s="4" t="s">
        <v>146</v>
      </c>
      <c r="G985" s="4"/>
      <c r="H985" s="11" t="s">
        <v>594</v>
      </c>
      <c r="I985" s="4"/>
      <c r="J985" s="4" t="s">
        <v>142</v>
      </c>
      <c r="K985" s="5">
        <v>16120</v>
      </c>
      <c r="L985" s="5">
        <f t="shared" si="318"/>
        <v>16120</v>
      </c>
      <c r="M985" s="8">
        <v>152071</v>
      </c>
      <c r="N985" s="8">
        <v>10000</v>
      </c>
      <c r="O985" s="8">
        <f>SUMIFS(EIAwtransport!$J$2:$J$675,EIAwtransport!$E$2:$E$675,Program_data!$E985,EIAwtransport!$H$2:$H$675,Program_data!$F985,EIAwtransport!$I$2:$I$675,Program_data!O$2)</f>
        <v>450708420</v>
      </c>
      <c r="P985" s="5">
        <f>SUMIFS(EIAwtransport!$J$2:$J$675,EIAwtransport!$E$2:$E$675,Program_data!$E985,EIAwtransport!$H$2:$H$675,Program_data!$F985,EIAwtransport!$I$2:$I$675,Program_data!P$2)</f>
        <v>89362251</v>
      </c>
      <c r="Q985" s="5">
        <f>SUMIFS(EIAwtransport!$J$2:$J$675,EIAwtransport!$E$2:$E$675,Program_data!$E985,EIAwtransport!$H$2:$H$675,Program_data!$F985,EIAwtransport!$I$2:$I$675,Program_data!Q$2)</f>
        <v>71286</v>
      </c>
      <c r="R985" s="8">
        <f>SUMIFS(EIAwtransport!$J$2:$J$675,EIAwtransport!$E$2:$E$675,Program_data!$E985,EIAwtransport!$I$2:$I$675,Program_data!R$2)</f>
        <v>1122230698</v>
      </c>
      <c r="S985" s="5">
        <f>SUMIFS(EIAwtransport!$J$2:$J$675,EIAwtransport!$E$2:$E$675,Program_data!$E985,EIAwtransport!$I$2:$I$675,Program_data!S$2)</f>
        <v>157605245</v>
      </c>
      <c r="T985" s="5">
        <f>SUMIFS(EIAwtransport!$J$2:$J$675,EIAwtransport!$E$2:$E$675,Program_data!$E985,EIAwtransport!$I$2:$I$675,Program_data!T$2)</f>
        <v>892595</v>
      </c>
      <c r="U985" s="24">
        <f t="shared" si="326"/>
        <v>9.8726698847145341E-6</v>
      </c>
      <c r="V985" s="24">
        <f t="shared" si="317"/>
        <v>9.8726698847145341E-6</v>
      </c>
      <c r="W985" s="24">
        <f t="shared" si="327"/>
        <v>1.3550778843513688E-4</v>
      </c>
      <c r="X985" s="25">
        <f t="shared" si="328"/>
        <v>9.313565645399653E-5</v>
      </c>
      <c r="Y985" s="8">
        <f t="shared" si="322"/>
        <v>1.3706010839817741E-2</v>
      </c>
      <c r="Z985" s="27">
        <f t="shared" si="323"/>
        <v>8.2490841417865411E-3</v>
      </c>
      <c r="AC985" s="56">
        <f t="shared" si="324"/>
        <v>2.8479661670099656E-4</v>
      </c>
      <c r="AE985" s="20">
        <f t="shared" si="315"/>
        <v>13500</v>
      </c>
      <c r="AF985" s="20">
        <f t="shared" si="316"/>
        <v>1515011442.3000002</v>
      </c>
      <c r="AG985">
        <f t="shared" si="319"/>
        <v>1700337.6</v>
      </c>
      <c r="AH985">
        <f t="shared" si="320"/>
        <v>1700337.6</v>
      </c>
      <c r="AI985">
        <f t="shared" si="321"/>
        <v>16624201242.6</v>
      </c>
    </row>
    <row r="986" spans="2:35" x14ac:dyDescent="0.25">
      <c r="B986" s="4">
        <v>2026</v>
      </c>
      <c r="C986" s="4" t="s">
        <v>241</v>
      </c>
      <c r="D986" s="1" t="s">
        <v>570</v>
      </c>
      <c r="E986" s="4" t="str">
        <f t="shared" si="325"/>
        <v>CtPt-MN</v>
      </c>
      <c r="F986" s="4" t="s">
        <v>146</v>
      </c>
      <c r="G986" s="4"/>
      <c r="H986" s="11" t="s">
        <v>595</v>
      </c>
      <c r="I986" s="4"/>
      <c r="J986" s="4" t="s">
        <v>155</v>
      </c>
      <c r="K986" s="5">
        <v>0</v>
      </c>
      <c r="L986" s="5">
        <f t="shared" ref="L986:L997" si="329">K986</f>
        <v>0</v>
      </c>
      <c r="M986" s="8">
        <v>185379</v>
      </c>
      <c r="N986" s="8">
        <v>19500</v>
      </c>
      <c r="O986" s="8">
        <f>SUMIFS(EIAwtransport!$J$2:$J$675,EIAwtransport!$E$2:$E$675,Program_data!$E986,EIAwtransport!$H$2:$H$675,Program_data!$F986,EIAwtransport!$I$2:$I$675,Program_data!O$2)</f>
        <v>450708420</v>
      </c>
      <c r="P986" s="5">
        <f>SUMIFS(EIAwtransport!$J$2:$J$675,EIAwtransport!$E$2:$E$675,Program_data!$E986,EIAwtransport!$H$2:$H$675,Program_data!$F986,EIAwtransport!$I$2:$I$675,Program_data!P$2)</f>
        <v>89362251</v>
      </c>
      <c r="Q986" s="5">
        <f>SUMIFS(EIAwtransport!$J$2:$J$675,EIAwtransport!$E$2:$E$675,Program_data!$E986,EIAwtransport!$H$2:$H$675,Program_data!$F986,EIAwtransport!$I$2:$I$675,Program_data!Q$2)</f>
        <v>71286</v>
      </c>
      <c r="R986" s="8">
        <f>SUMIFS(EIAwtransport!$J$2:$J$675,EIAwtransport!$E$2:$E$675,Program_data!$E986,EIAwtransport!$I$2:$I$675,Program_data!R$2)</f>
        <v>1122230698</v>
      </c>
      <c r="S986" s="5">
        <f>SUMIFS(EIAwtransport!$J$2:$J$675,EIAwtransport!$E$2:$E$675,Program_data!$E986,EIAwtransport!$I$2:$I$675,Program_data!S$2)</f>
        <v>157605245</v>
      </c>
      <c r="T986" s="5">
        <f>SUMIFS(EIAwtransport!$J$2:$J$675,EIAwtransport!$E$2:$E$675,Program_data!$E986,EIAwtransport!$I$2:$I$675,Program_data!T$2)</f>
        <v>892595</v>
      </c>
      <c r="U986" s="24">
        <f t="shared" si="326"/>
        <v>0</v>
      </c>
      <c r="V986" s="24">
        <f t="shared" si="317"/>
        <v>0</v>
      </c>
      <c r="W986" s="24">
        <f t="shared" si="327"/>
        <v>1.6518796031010017E-4</v>
      </c>
      <c r="X986" s="25">
        <f t="shared" si="328"/>
        <v>1.1353509122571313E-4</v>
      </c>
      <c r="Y986" s="8">
        <f t="shared" si="322"/>
        <v>1.6708028378024559E-2</v>
      </c>
      <c r="Z986" s="27">
        <f t="shared" si="323"/>
        <v>1.0055875013120498E-2</v>
      </c>
      <c r="AC986" s="56">
        <f t="shared" si="324"/>
        <v>0</v>
      </c>
      <c r="AE986" s="20">
        <f t="shared" si="315"/>
        <v>26325</v>
      </c>
      <c r="AF986" s="20">
        <f t="shared" si="316"/>
        <v>1515011442.3000002</v>
      </c>
      <c r="AG986">
        <f t="shared" si="319"/>
        <v>0</v>
      </c>
      <c r="AH986">
        <f t="shared" si="320"/>
        <v>0</v>
      </c>
      <c r="AI986">
        <f t="shared" si="321"/>
        <v>16624201242.6</v>
      </c>
    </row>
    <row r="987" spans="2:35" x14ac:dyDescent="0.25">
      <c r="B987" s="4">
        <v>2026</v>
      </c>
      <c r="C987" s="4" t="s">
        <v>241</v>
      </c>
      <c r="D987" s="1" t="s">
        <v>570</v>
      </c>
      <c r="E987" s="4" t="str">
        <f t="shared" si="325"/>
        <v>CtPt-MN</v>
      </c>
      <c r="F987" s="4" t="s">
        <v>146</v>
      </c>
      <c r="G987" s="4"/>
      <c r="H987" s="11" t="s">
        <v>596</v>
      </c>
      <c r="I987" s="4"/>
      <c r="J987" s="4" t="s">
        <v>71</v>
      </c>
      <c r="K987" s="5">
        <v>157300</v>
      </c>
      <c r="L987" s="5">
        <f t="shared" si="329"/>
        <v>157300</v>
      </c>
      <c r="M987" s="8">
        <v>238006</v>
      </c>
      <c r="N987" s="8">
        <v>125840</v>
      </c>
      <c r="O987" s="8">
        <f>SUMIFS(EIAwtransport!$J$2:$J$675,EIAwtransport!$E$2:$E$675,Program_data!$E987,EIAwtransport!$H$2:$H$675,Program_data!$F987,EIAwtransport!$I$2:$I$675,Program_data!O$2)</f>
        <v>450708420</v>
      </c>
      <c r="P987" s="5">
        <f>SUMIFS(EIAwtransport!$J$2:$J$675,EIAwtransport!$E$2:$E$675,Program_data!$E987,EIAwtransport!$H$2:$H$675,Program_data!$F987,EIAwtransport!$I$2:$I$675,Program_data!P$2)</f>
        <v>89362251</v>
      </c>
      <c r="Q987" s="5">
        <f>SUMIFS(EIAwtransport!$J$2:$J$675,EIAwtransport!$E$2:$E$675,Program_data!$E987,EIAwtransport!$H$2:$H$675,Program_data!$F987,EIAwtransport!$I$2:$I$675,Program_data!Q$2)</f>
        <v>71286</v>
      </c>
      <c r="R987" s="8">
        <f>SUMIFS(EIAwtransport!$J$2:$J$675,EIAwtransport!$E$2:$E$675,Program_data!$E987,EIAwtransport!$I$2:$I$675,Program_data!R$2)</f>
        <v>1122230698</v>
      </c>
      <c r="S987" s="5">
        <f>SUMIFS(EIAwtransport!$J$2:$J$675,EIAwtransport!$E$2:$E$675,Program_data!$E987,EIAwtransport!$I$2:$I$675,Program_data!S$2)</f>
        <v>157605245</v>
      </c>
      <c r="T987" s="5">
        <f>SUMIFS(EIAwtransport!$J$2:$J$675,EIAwtransport!$E$2:$E$675,Program_data!$E987,EIAwtransport!$I$2:$I$675,Program_data!T$2)</f>
        <v>892595</v>
      </c>
      <c r="U987" s="24">
        <f t="shared" si="326"/>
        <v>9.633814968148861E-5</v>
      </c>
      <c r="V987" s="24">
        <f t="shared" si="317"/>
        <v>9.633814968148861E-5</v>
      </c>
      <c r="W987" s="24">
        <f t="shared" si="327"/>
        <v>2.1208295266219852E-4</v>
      </c>
      <c r="X987" s="25">
        <f t="shared" si="328"/>
        <v>1.4576641864648683E-4</v>
      </c>
      <c r="Y987" s="8">
        <f t="shared" si="322"/>
        <v>2.145124853484005E-2</v>
      </c>
      <c r="Z987" s="27">
        <f t="shared" si="323"/>
        <v>1.2910624118010978E-2</v>
      </c>
      <c r="AC987" s="56">
        <f t="shared" si="324"/>
        <v>2.7790637597435953E-3</v>
      </c>
      <c r="AE987" s="20">
        <f t="shared" si="315"/>
        <v>169884</v>
      </c>
      <c r="AF987" s="20">
        <f t="shared" si="316"/>
        <v>1515011442.3000002</v>
      </c>
      <c r="AG987">
        <f t="shared" si="319"/>
        <v>16592004</v>
      </c>
      <c r="AH987">
        <f t="shared" si="320"/>
        <v>16592004</v>
      </c>
      <c r="AI987">
        <f t="shared" si="321"/>
        <v>16624201242.6</v>
      </c>
    </row>
    <row r="988" spans="2:35" x14ac:dyDescent="0.25">
      <c r="B988" s="4">
        <v>2026</v>
      </c>
      <c r="C988" s="4" t="s">
        <v>241</v>
      </c>
      <c r="D988" s="1" t="s">
        <v>570</v>
      </c>
      <c r="E988" s="4" t="str">
        <f t="shared" si="325"/>
        <v>CtPt-MN</v>
      </c>
      <c r="F988" s="4" t="s">
        <v>146</v>
      </c>
      <c r="G988" s="4"/>
      <c r="H988" s="11" t="s">
        <v>597</v>
      </c>
      <c r="I988" s="4"/>
      <c r="J988" s="4" t="s">
        <v>142</v>
      </c>
      <c r="K988" s="5">
        <v>677660</v>
      </c>
      <c r="L988" s="5">
        <f t="shared" si="329"/>
        <v>677660</v>
      </c>
      <c r="M988" s="8">
        <v>1730158</v>
      </c>
      <c r="N988" s="8">
        <v>526283</v>
      </c>
      <c r="O988" s="8">
        <f>SUMIFS(EIAwtransport!$J$2:$J$675,EIAwtransport!$E$2:$E$675,Program_data!$E988,EIAwtransport!$H$2:$H$675,Program_data!$F988,EIAwtransport!$I$2:$I$675,Program_data!O$2)</f>
        <v>450708420</v>
      </c>
      <c r="P988" s="5">
        <f>SUMIFS(EIAwtransport!$J$2:$J$675,EIAwtransport!$E$2:$E$675,Program_data!$E988,EIAwtransport!$H$2:$H$675,Program_data!$F988,EIAwtransport!$I$2:$I$675,Program_data!P$2)</f>
        <v>89362251</v>
      </c>
      <c r="Q988" s="5">
        <f>SUMIFS(EIAwtransport!$J$2:$J$675,EIAwtransport!$E$2:$E$675,Program_data!$E988,EIAwtransport!$H$2:$H$675,Program_data!$F988,EIAwtransport!$I$2:$I$675,Program_data!Q$2)</f>
        <v>71286</v>
      </c>
      <c r="R988" s="8">
        <f>SUMIFS(EIAwtransport!$J$2:$J$675,EIAwtransport!$E$2:$E$675,Program_data!$E988,EIAwtransport!$I$2:$I$675,Program_data!R$2)</f>
        <v>1122230698</v>
      </c>
      <c r="S988" s="5">
        <f>SUMIFS(EIAwtransport!$J$2:$J$675,EIAwtransport!$E$2:$E$675,Program_data!$E988,EIAwtransport!$I$2:$I$675,Program_data!S$2)</f>
        <v>157605245</v>
      </c>
      <c r="T988" s="5">
        <f>SUMIFS(EIAwtransport!$J$2:$J$675,EIAwtransport!$E$2:$E$675,Program_data!$E988,EIAwtransport!$I$2:$I$675,Program_data!T$2)</f>
        <v>892595</v>
      </c>
      <c r="U988" s="24">
        <f t="shared" si="326"/>
        <v>4.150318532304995E-4</v>
      </c>
      <c r="V988" s="24">
        <f t="shared" si="317"/>
        <v>4.150318532304995E-4</v>
      </c>
      <c r="W988" s="24">
        <f t="shared" si="327"/>
        <v>1.541713306438174E-3</v>
      </c>
      <c r="X988" s="25">
        <f t="shared" si="328"/>
        <v>1.0596326788088045E-3</v>
      </c>
      <c r="Y988" s="8">
        <f t="shared" si="322"/>
        <v>0.15593745225978251</v>
      </c>
      <c r="Z988" s="27">
        <f t="shared" si="323"/>
        <v>9.3852338187985343E-2</v>
      </c>
      <c r="AC988" s="56">
        <f t="shared" si="324"/>
        <v>1.1972411617468816E-2</v>
      </c>
      <c r="AE988" s="20">
        <f t="shared" si="315"/>
        <v>710482.05</v>
      </c>
      <c r="AF988" s="20">
        <f t="shared" si="316"/>
        <v>1515011442.3000002</v>
      </c>
      <c r="AG988">
        <f t="shared" si="319"/>
        <v>71479576.799999997</v>
      </c>
      <c r="AH988">
        <f t="shared" si="320"/>
        <v>71479576.799999997</v>
      </c>
      <c r="AI988">
        <f t="shared" si="321"/>
        <v>16624201242.6</v>
      </c>
    </row>
    <row r="989" spans="2:35" x14ac:dyDescent="0.25">
      <c r="B989" s="4">
        <v>2026</v>
      </c>
      <c r="C989" s="4" t="s">
        <v>241</v>
      </c>
      <c r="D989" s="1" t="s">
        <v>570</v>
      </c>
      <c r="E989" s="4" t="str">
        <f t="shared" si="325"/>
        <v>CtPt-MN</v>
      </c>
      <c r="F989" s="4" t="s">
        <v>155</v>
      </c>
      <c r="G989" s="4"/>
      <c r="H989" s="11" t="s">
        <v>598</v>
      </c>
      <c r="I989" s="4"/>
      <c r="J989" s="4" t="s">
        <v>155</v>
      </c>
      <c r="K989" s="5">
        <v>0</v>
      </c>
      <c r="L989" s="5">
        <f t="shared" si="329"/>
        <v>0</v>
      </c>
      <c r="M989" s="8">
        <v>1503178</v>
      </c>
      <c r="N989" s="8">
        <v>0</v>
      </c>
      <c r="O989" s="8">
        <f>SUMIFS(EIAwtransport!$J$2:$J$675,EIAwtransport!$E$2:$E$675,Program_data!$E989,EIAwtransport!$H$2:$H$675,Program_data!$F989,EIAwtransport!$I$2:$I$675,Program_data!O$2)</f>
        <v>0</v>
      </c>
      <c r="P989" s="5">
        <f>SUMIFS(EIAwtransport!$J$2:$J$675,EIAwtransport!$E$2:$E$675,Program_data!$E989,EIAwtransport!$H$2:$H$675,Program_data!$F989,EIAwtransport!$I$2:$I$675,Program_data!P$2)</f>
        <v>0</v>
      </c>
      <c r="Q989" s="5">
        <f>SUMIFS(EIAwtransport!$J$2:$J$675,EIAwtransport!$E$2:$E$675,Program_data!$E989,EIAwtransport!$H$2:$H$675,Program_data!$F989,EIAwtransport!$I$2:$I$675,Program_data!Q$2)</f>
        <v>0</v>
      </c>
      <c r="R989" s="8">
        <f>SUMIFS(EIAwtransport!$J$2:$J$675,EIAwtransport!$E$2:$E$675,Program_data!$E989,EIAwtransport!$I$2:$I$675,Program_data!R$2)</f>
        <v>1122230698</v>
      </c>
      <c r="S989" s="5">
        <f>SUMIFS(EIAwtransport!$J$2:$J$675,EIAwtransport!$E$2:$E$675,Program_data!$E989,EIAwtransport!$I$2:$I$675,Program_data!S$2)</f>
        <v>157605245</v>
      </c>
      <c r="T989" s="5">
        <f>SUMIFS(EIAwtransport!$J$2:$J$675,EIAwtransport!$E$2:$E$675,Program_data!$E989,EIAwtransport!$I$2:$I$675,Program_data!T$2)</f>
        <v>892595</v>
      </c>
      <c r="U989" s="24">
        <f t="shared" si="326"/>
        <v>0</v>
      </c>
      <c r="V989" s="24">
        <f t="shared" si="317"/>
        <v>0</v>
      </c>
      <c r="W989" s="24">
        <f t="shared" si="327"/>
        <v>1.3394554280852509E-3</v>
      </c>
      <c r="X989" s="25">
        <f t="shared" si="328"/>
        <v>9.2061911736758214E-4</v>
      </c>
      <c r="Y989" s="8" t="str">
        <f t="shared" si="322"/>
        <v/>
      </c>
      <c r="Z989" s="27">
        <f t="shared" si="323"/>
        <v>8.1539818914075718E-2</v>
      </c>
      <c r="AC989" s="56">
        <f t="shared" si="324"/>
        <v>0</v>
      </c>
      <c r="AE989" s="20">
        <f t="shared" si="315"/>
        <v>0</v>
      </c>
      <c r="AF989" s="20">
        <f t="shared" si="316"/>
        <v>1515011442.3000002</v>
      </c>
      <c r="AG989">
        <f t="shared" si="319"/>
        <v>0</v>
      </c>
      <c r="AH989">
        <f t="shared" si="320"/>
        <v>0</v>
      </c>
      <c r="AI989">
        <f t="shared" si="321"/>
        <v>16624201242.6</v>
      </c>
    </row>
    <row r="990" spans="2:35" x14ac:dyDescent="0.25">
      <c r="B990" s="4">
        <v>2026</v>
      </c>
      <c r="C990" s="4" t="s">
        <v>241</v>
      </c>
      <c r="D990" s="1" t="s">
        <v>570</v>
      </c>
      <c r="E990" s="4" t="str">
        <f t="shared" si="325"/>
        <v>CtPt-MN</v>
      </c>
      <c r="F990" s="4" t="s">
        <v>155</v>
      </c>
      <c r="G990" s="4"/>
      <c r="H990" s="11" t="s">
        <v>599</v>
      </c>
      <c r="I990" s="4"/>
      <c r="J990" s="4" t="s">
        <v>155</v>
      </c>
      <c r="K990" s="5">
        <v>0</v>
      </c>
      <c r="L990" s="5">
        <f t="shared" si="329"/>
        <v>0</v>
      </c>
      <c r="M990" s="8">
        <v>1002000</v>
      </c>
      <c r="N990" s="8">
        <v>0</v>
      </c>
      <c r="O990" s="8">
        <f>SUMIFS(EIAwtransport!$J$2:$J$675,EIAwtransport!$E$2:$E$675,Program_data!$E990,EIAwtransport!$H$2:$H$675,Program_data!$F990,EIAwtransport!$I$2:$I$675,Program_data!O$2)</f>
        <v>0</v>
      </c>
      <c r="P990" s="5">
        <f>SUMIFS(EIAwtransport!$J$2:$J$675,EIAwtransport!$E$2:$E$675,Program_data!$E990,EIAwtransport!$H$2:$H$675,Program_data!$F990,EIAwtransport!$I$2:$I$675,Program_data!P$2)</f>
        <v>0</v>
      </c>
      <c r="Q990" s="5">
        <f>SUMIFS(EIAwtransport!$J$2:$J$675,EIAwtransport!$E$2:$E$675,Program_data!$E990,EIAwtransport!$H$2:$H$675,Program_data!$F990,EIAwtransport!$I$2:$I$675,Program_data!Q$2)</f>
        <v>0</v>
      </c>
      <c r="R990" s="8">
        <f>SUMIFS(EIAwtransport!$J$2:$J$675,EIAwtransport!$E$2:$E$675,Program_data!$E990,EIAwtransport!$I$2:$I$675,Program_data!R$2)</f>
        <v>1122230698</v>
      </c>
      <c r="S990" s="5">
        <f>SUMIFS(EIAwtransport!$J$2:$J$675,EIAwtransport!$E$2:$E$675,Program_data!$E990,EIAwtransport!$I$2:$I$675,Program_data!S$2)</f>
        <v>157605245</v>
      </c>
      <c r="T990" s="5">
        <f>SUMIFS(EIAwtransport!$J$2:$J$675,EIAwtransport!$E$2:$E$675,Program_data!$E990,EIAwtransport!$I$2:$I$675,Program_data!T$2)</f>
        <v>892595</v>
      </c>
      <c r="U990" s="24">
        <f t="shared" si="326"/>
        <v>0</v>
      </c>
      <c r="V990" s="24">
        <f t="shared" si="317"/>
        <v>0</v>
      </c>
      <c r="W990" s="24">
        <f t="shared" si="327"/>
        <v>8.9286454361454297E-4</v>
      </c>
      <c r="X990" s="25">
        <f t="shared" si="328"/>
        <v>6.1367340102257844E-4</v>
      </c>
      <c r="Y990" s="8" t="str">
        <f t="shared" si="322"/>
        <v/>
      </c>
      <c r="Z990" s="27">
        <f t="shared" si="323"/>
        <v>5.4353442208377102E-2</v>
      </c>
      <c r="AC990" s="56">
        <f t="shared" si="324"/>
        <v>0</v>
      </c>
      <c r="AE990" s="20">
        <f t="shared" si="315"/>
        <v>0</v>
      </c>
      <c r="AF990" s="20">
        <f t="shared" si="316"/>
        <v>1515011442.3000002</v>
      </c>
      <c r="AG990">
        <f t="shared" si="319"/>
        <v>0</v>
      </c>
      <c r="AH990">
        <f t="shared" si="320"/>
        <v>0</v>
      </c>
      <c r="AI990">
        <f t="shared" si="321"/>
        <v>16624201242.6</v>
      </c>
    </row>
    <row r="991" spans="2:35" x14ac:dyDescent="0.25">
      <c r="B991" s="4">
        <v>2026</v>
      </c>
      <c r="C991" s="4" t="s">
        <v>241</v>
      </c>
      <c r="D991" s="1" t="s">
        <v>570</v>
      </c>
      <c r="E991" s="4" t="str">
        <f t="shared" si="325"/>
        <v>CtPt-MN</v>
      </c>
      <c r="F991" s="4" t="s">
        <v>155</v>
      </c>
      <c r="G991" s="4"/>
      <c r="H991" s="11" t="s">
        <v>600</v>
      </c>
      <c r="I991" s="4"/>
      <c r="J991" s="4" t="s">
        <v>155</v>
      </c>
      <c r="K991" s="5">
        <v>0</v>
      </c>
      <c r="L991" s="5">
        <f t="shared" si="329"/>
        <v>0</v>
      </c>
      <c r="M991" s="8">
        <v>270000</v>
      </c>
      <c r="N991" s="8">
        <v>0</v>
      </c>
      <c r="O991" s="8">
        <f>SUMIFS(EIAwtransport!$J$2:$J$675,EIAwtransport!$E$2:$E$675,Program_data!$E991,EIAwtransport!$H$2:$H$675,Program_data!$F991,EIAwtransport!$I$2:$I$675,Program_data!O$2)</f>
        <v>0</v>
      </c>
      <c r="P991" s="5">
        <f>SUMIFS(EIAwtransport!$J$2:$J$675,EIAwtransport!$E$2:$E$675,Program_data!$E991,EIAwtransport!$H$2:$H$675,Program_data!$F991,EIAwtransport!$I$2:$I$675,Program_data!P$2)</f>
        <v>0</v>
      </c>
      <c r="Q991" s="5">
        <f>SUMIFS(EIAwtransport!$J$2:$J$675,EIAwtransport!$E$2:$E$675,Program_data!$E991,EIAwtransport!$H$2:$H$675,Program_data!$F991,EIAwtransport!$I$2:$I$675,Program_data!Q$2)</f>
        <v>0</v>
      </c>
      <c r="R991" s="8">
        <f>SUMIFS(EIAwtransport!$J$2:$J$675,EIAwtransport!$E$2:$E$675,Program_data!$E991,EIAwtransport!$I$2:$I$675,Program_data!R$2)</f>
        <v>1122230698</v>
      </c>
      <c r="S991" s="5">
        <f>SUMIFS(EIAwtransport!$J$2:$J$675,EIAwtransport!$E$2:$E$675,Program_data!$E991,EIAwtransport!$I$2:$I$675,Program_data!S$2)</f>
        <v>157605245</v>
      </c>
      <c r="T991" s="5">
        <f>SUMIFS(EIAwtransport!$J$2:$J$675,EIAwtransport!$E$2:$E$675,Program_data!$E991,EIAwtransport!$I$2:$I$675,Program_data!T$2)</f>
        <v>892595</v>
      </c>
      <c r="U991" s="24">
        <f t="shared" si="326"/>
        <v>0</v>
      </c>
      <c r="V991" s="24">
        <f t="shared" si="317"/>
        <v>0</v>
      </c>
      <c r="W991" s="24">
        <f t="shared" si="327"/>
        <v>2.4059224229134392E-4</v>
      </c>
      <c r="X991" s="25">
        <f t="shared" si="328"/>
        <v>1.6536109608392832E-4</v>
      </c>
      <c r="Y991" s="8" t="str">
        <f t="shared" si="322"/>
        <v/>
      </c>
      <c r="Z991" s="27">
        <f t="shared" si="323"/>
        <v>1.4646137122017781E-2</v>
      </c>
      <c r="AC991" s="56">
        <f t="shared" si="324"/>
        <v>0</v>
      </c>
      <c r="AE991" s="20">
        <f t="shared" si="315"/>
        <v>0</v>
      </c>
      <c r="AF991" s="20">
        <f t="shared" si="316"/>
        <v>1515011442.3000002</v>
      </c>
      <c r="AG991">
        <f t="shared" si="319"/>
        <v>0</v>
      </c>
      <c r="AH991">
        <f t="shared" si="320"/>
        <v>0</v>
      </c>
      <c r="AI991">
        <f t="shared" si="321"/>
        <v>16624201242.6</v>
      </c>
    </row>
    <row r="992" spans="2:35" x14ac:dyDescent="0.25">
      <c r="B992" s="4">
        <v>2026</v>
      </c>
      <c r="C992" s="4" t="s">
        <v>241</v>
      </c>
      <c r="D992" s="1" t="s">
        <v>570</v>
      </c>
      <c r="E992" s="4" t="str">
        <f t="shared" si="325"/>
        <v>CtPt-MN</v>
      </c>
      <c r="F992" s="4" t="s">
        <v>155</v>
      </c>
      <c r="G992" s="4"/>
      <c r="H992" s="11" t="s">
        <v>601</v>
      </c>
      <c r="I992" s="4"/>
      <c r="J992" s="4" t="s">
        <v>155</v>
      </c>
      <c r="K992" s="5">
        <v>0</v>
      </c>
      <c r="L992" s="5">
        <f t="shared" si="329"/>
        <v>0</v>
      </c>
      <c r="M992" s="8">
        <v>522803</v>
      </c>
      <c r="N992" s="8">
        <v>0</v>
      </c>
      <c r="O992" s="8">
        <f>SUMIFS(EIAwtransport!$J$2:$J$675,EIAwtransport!$E$2:$E$675,Program_data!$E992,EIAwtransport!$H$2:$H$675,Program_data!$F992,EIAwtransport!$I$2:$I$675,Program_data!O$2)</f>
        <v>0</v>
      </c>
      <c r="P992" s="5">
        <f>SUMIFS(EIAwtransport!$J$2:$J$675,EIAwtransport!$E$2:$E$675,Program_data!$E992,EIAwtransport!$H$2:$H$675,Program_data!$F992,EIAwtransport!$I$2:$I$675,Program_data!P$2)</f>
        <v>0</v>
      </c>
      <c r="Q992" s="5">
        <f>SUMIFS(EIAwtransport!$J$2:$J$675,EIAwtransport!$E$2:$E$675,Program_data!$E992,EIAwtransport!$H$2:$H$675,Program_data!$F992,EIAwtransport!$I$2:$I$675,Program_data!Q$2)</f>
        <v>0</v>
      </c>
      <c r="R992" s="8">
        <f>SUMIFS(EIAwtransport!$J$2:$J$675,EIAwtransport!$E$2:$E$675,Program_data!$E992,EIAwtransport!$I$2:$I$675,Program_data!R$2)</f>
        <v>1122230698</v>
      </c>
      <c r="S992" s="5">
        <f>SUMIFS(EIAwtransport!$J$2:$J$675,EIAwtransport!$E$2:$E$675,Program_data!$E992,EIAwtransport!$I$2:$I$675,Program_data!S$2)</f>
        <v>157605245</v>
      </c>
      <c r="T992" s="5">
        <f>SUMIFS(EIAwtransport!$J$2:$J$675,EIAwtransport!$E$2:$E$675,Program_data!$E992,EIAwtransport!$I$2:$I$675,Program_data!T$2)</f>
        <v>892595</v>
      </c>
      <c r="U992" s="24">
        <f t="shared" si="326"/>
        <v>0</v>
      </c>
      <c r="V992" s="24">
        <f t="shared" si="317"/>
        <v>0</v>
      </c>
      <c r="W992" s="24">
        <f t="shared" si="327"/>
        <v>4.6586054091348692E-4</v>
      </c>
      <c r="X992" s="25">
        <f t="shared" si="328"/>
        <v>3.2018991524431845E-4</v>
      </c>
      <c r="Y992" s="8" t="str">
        <f t="shared" si="322"/>
        <v/>
      </c>
      <c r="Z992" s="27">
        <f t="shared" si="323"/>
        <v>2.835942379926764E-2</v>
      </c>
      <c r="AC992" s="56">
        <f t="shared" si="324"/>
        <v>0</v>
      </c>
      <c r="AE992" s="20">
        <f t="shared" si="315"/>
        <v>0</v>
      </c>
      <c r="AF992" s="20">
        <f t="shared" si="316"/>
        <v>1515011442.3000002</v>
      </c>
      <c r="AG992">
        <f t="shared" si="319"/>
        <v>0</v>
      </c>
      <c r="AH992">
        <f t="shared" si="320"/>
        <v>0</v>
      </c>
      <c r="AI992">
        <f t="shared" si="321"/>
        <v>16624201242.6</v>
      </c>
    </row>
    <row r="993" spans="2:35" x14ac:dyDescent="0.25">
      <c r="B993" s="4">
        <v>2026</v>
      </c>
      <c r="C993" s="4" t="s">
        <v>241</v>
      </c>
      <c r="D993" s="1" t="s">
        <v>570</v>
      </c>
      <c r="E993" s="4" t="str">
        <f t="shared" si="325"/>
        <v>CtPt-MN</v>
      </c>
      <c r="F993" s="4" t="s">
        <v>135</v>
      </c>
      <c r="G993" s="4"/>
      <c r="H993" s="11" t="s">
        <v>602</v>
      </c>
      <c r="I993" s="4"/>
      <c r="J993" s="4" t="s">
        <v>556</v>
      </c>
      <c r="K993" s="5">
        <v>201210</v>
      </c>
      <c r="L993" s="5">
        <f t="shared" si="329"/>
        <v>201210</v>
      </c>
      <c r="M993" s="8">
        <v>825844</v>
      </c>
      <c r="N993" s="8">
        <v>750000</v>
      </c>
      <c r="O993" s="8">
        <f>SUMIFS(EIAwtransport!$J$2:$J$675,EIAwtransport!$E$2:$E$675,Program_data!$E993,EIAwtransport!$H$2:$H$675,Program_data!$F993,EIAwtransport!$I$2:$I$675,Program_data!O$2)</f>
        <v>671522278</v>
      </c>
      <c r="P993" s="5">
        <f>SUMIFS(EIAwtransport!$J$2:$J$675,EIAwtransport!$E$2:$E$675,Program_data!$E993,EIAwtransport!$H$2:$H$675,Program_data!$F993,EIAwtransport!$I$2:$I$675,Program_data!P$2)</f>
        <v>68242994</v>
      </c>
      <c r="Q993" s="5">
        <f>SUMIFS(EIAwtransport!$J$2:$J$675,EIAwtransport!$E$2:$E$675,Program_data!$E993,EIAwtransport!$H$2:$H$675,Program_data!$F993,EIAwtransport!$I$2:$I$675,Program_data!Q$2)</f>
        <v>821309</v>
      </c>
      <c r="R993" s="8">
        <f>SUMIFS(EIAwtransport!$J$2:$J$675,EIAwtransport!$E$2:$E$675,Program_data!$E993,EIAwtransport!$I$2:$I$675,Program_data!R$2)</f>
        <v>1122230698</v>
      </c>
      <c r="S993" s="5">
        <f>SUMIFS(EIAwtransport!$J$2:$J$675,EIAwtransport!$E$2:$E$675,Program_data!$E993,EIAwtransport!$I$2:$I$675,Program_data!S$2)</f>
        <v>157605245</v>
      </c>
      <c r="T993" s="5">
        <f>SUMIFS(EIAwtransport!$J$2:$J$675,EIAwtransport!$E$2:$E$675,Program_data!$E993,EIAwtransport!$I$2:$I$675,Program_data!T$2)</f>
        <v>892595</v>
      </c>
      <c r="U993" s="24">
        <f t="shared" si="326"/>
        <v>1.2323076349276749E-4</v>
      </c>
      <c r="V993" s="24">
        <f t="shared" si="317"/>
        <v>1.2323076349276749E-4</v>
      </c>
      <c r="W993" s="24">
        <f t="shared" si="327"/>
        <v>7.3589503608463937E-4</v>
      </c>
      <c r="X993" s="25">
        <f t="shared" si="328"/>
        <v>5.0578692234939146E-4</v>
      </c>
      <c r="Y993" s="8">
        <f t="shared" si="322"/>
        <v>0.1202271645341482</v>
      </c>
      <c r="Z993" s="27">
        <f t="shared" si="323"/>
        <v>4.4797868390354274E-2</v>
      </c>
      <c r="AC993" s="56">
        <f t="shared" si="324"/>
        <v>3.5548341964272653E-3</v>
      </c>
      <c r="AE993" s="20">
        <f t="shared" si="315"/>
        <v>1012500.0000000001</v>
      </c>
      <c r="AF993" s="20">
        <f t="shared" si="316"/>
        <v>1515011442.3000002</v>
      </c>
      <c r="AG993">
        <f t="shared" si="319"/>
        <v>21223630.800000001</v>
      </c>
      <c r="AH993">
        <f t="shared" si="320"/>
        <v>21223630.800000001</v>
      </c>
      <c r="AI993">
        <f t="shared" si="321"/>
        <v>16624201242.6</v>
      </c>
    </row>
    <row r="994" spans="2:35" x14ac:dyDescent="0.25">
      <c r="B994" s="4">
        <v>2026</v>
      </c>
      <c r="C994" s="4" t="s">
        <v>241</v>
      </c>
      <c r="D994" s="1" t="s">
        <v>570</v>
      </c>
      <c r="E994" s="4" t="str">
        <f t="shared" si="325"/>
        <v>CtPt-MN</v>
      </c>
      <c r="F994" s="4" t="s">
        <v>155</v>
      </c>
      <c r="G994" s="4"/>
      <c r="H994" s="11" t="s">
        <v>603</v>
      </c>
      <c r="I994" s="4"/>
      <c r="J994" s="4" t="s">
        <v>155</v>
      </c>
      <c r="K994" s="5">
        <v>0</v>
      </c>
      <c r="L994" s="5">
        <f t="shared" si="329"/>
        <v>0</v>
      </c>
      <c r="M994" s="8">
        <v>60846</v>
      </c>
      <c r="N994" s="8">
        <v>0</v>
      </c>
      <c r="O994" s="8">
        <f>SUMIFS(EIAwtransport!$J$2:$J$675,EIAwtransport!$E$2:$E$675,Program_data!$E994,EIAwtransport!$H$2:$H$675,Program_data!$F994,EIAwtransport!$I$2:$I$675,Program_data!O$2)</f>
        <v>0</v>
      </c>
      <c r="P994" s="5">
        <f>SUMIFS(EIAwtransport!$J$2:$J$675,EIAwtransport!$E$2:$E$675,Program_data!$E994,EIAwtransport!$H$2:$H$675,Program_data!$F994,EIAwtransport!$I$2:$I$675,Program_data!P$2)</f>
        <v>0</v>
      </c>
      <c r="Q994" s="5">
        <f>SUMIFS(EIAwtransport!$J$2:$J$675,EIAwtransport!$E$2:$E$675,Program_data!$E994,EIAwtransport!$H$2:$H$675,Program_data!$F994,EIAwtransport!$I$2:$I$675,Program_data!Q$2)</f>
        <v>0</v>
      </c>
      <c r="R994" s="8">
        <f>SUMIFS(EIAwtransport!$J$2:$J$675,EIAwtransport!$E$2:$E$675,Program_data!$E994,EIAwtransport!$I$2:$I$675,Program_data!R$2)</f>
        <v>1122230698</v>
      </c>
      <c r="S994" s="5">
        <f>SUMIFS(EIAwtransport!$J$2:$J$675,EIAwtransport!$E$2:$E$675,Program_data!$E994,EIAwtransport!$I$2:$I$675,Program_data!S$2)</f>
        <v>157605245</v>
      </c>
      <c r="T994" s="5">
        <f>SUMIFS(EIAwtransport!$J$2:$J$675,EIAwtransport!$E$2:$E$675,Program_data!$E994,EIAwtransport!$I$2:$I$675,Program_data!T$2)</f>
        <v>892595</v>
      </c>
      <c r="U994" s="24">
        <f t="shared" si="326"/>
        <v>0</v>
      </c>
      <c r="V994" s="24">
        <f t="shared" si="317"/>
        <v>0</v>
      </c>
      <c r="W994" s="24">
        <f t="shared" si="327"/>
        <v>5.4218798423922634E-5</v>
      </c>
      <c r="X994" s="25">
        <f t="shared" si="328"/>
        <v>3.726504167526927E-5</v>
      </c>
      <c r="Y994" s="8" t="str">
        <f t="shared" si="322"/>
        <v/>
      </c>
      <c r="Z994" s="27">
        <f t="shared" si="323"/>
        <v>3.3005883678751628E-3</v>
      </c>
      <c r="AC994" s="56">
        <f t="shared" si="324"/>
        <v>0</v>
      </c>
      <c r="AE994" s="20">
        <f t="shared" si="315"/>
        <v>0</v>
      </c>
      <c r="AF994" s="20">
        <f t="shared" si="316"/>
        <v>1515011442.3000002</v>
      </c>
      <c r="AG994">
        <f t="shared" si="319"/>
        <v>0</v>
      </c>
      <c r="AH994">
        <f t="shared" si="320"/>
        <v>0</v>
      </c>
      <c r="AI994">
        <f t="shared" si="321"/>
        <v>16624201242.6</v>
      </c>
    </row>
    <row r="995" spans="2:35" x14ac:dyDescent="0.25">
      <c r="B995" s="4">
        <v>2026</v>
      </c>
      <c r="C995" s="4" t="s">
        <v>241</v>
      </c>
      <c r="D995" s="1" t="s">
        <v>570</v>
      </c>
      <c r="E995" s="4" t="str">
        <f t="shared" si="325"/>
        <v>CtPt-MN</v>
      </c>
      <c r="F995" s="4" t="s">
        <v>135</v>
      </c>
      <c r="G995" s="4"/>
      <c r="H995" s="11" t="s">
        <v>604</v>
      </c>
      <c r="I995" s="4"/>
      <c r="J995" s="4" t="s">
        <v>556</v>
      </c>
      <c r="K995" s="5">
        <v>30350</v>
      </c>
      <c r="L995" s="5">
        <f t="shared" si="329"/>
        <v>30350</v>
      </c>
      <c r="M995" s="8">
        <v>216487</v>
      </c>
      <c r="N995" s="8">
        <v>200000</v>
      </c>
      <c r="O995" s="8">
        <f>SUMIFS(EIAwtransport!$J$2:$J$675,EIAwtransport!$E$2:$E$675,Program_data!$E995,EIAwtransport!$H$2:$H$675,Program_data!$F995,EIAwtransport!$I$2:$I$675,Program_data!O$2)</f>
        <v>671522278</v>
      </c>
      <c r="P995" s="5">
        <f>SUMIFS(EIAwtransport!$J$2:$J$675,EIAwtransport!$E$2:$E$675,Program_data!$E995,EIAwtransport!$H$2:$H$675,Program_data!$F995,EIAwtransport!$I$2:$I$675,Program_data!P$2)</f>
        <v>68242994</v>
      </c>
      <c r="Q995" s="5">
        <f>SUMIFS(EIAwtransport!$J$2:$J$675,EIAwtransport!$E$2:$E$675,Program_data!$E995,EIAwtransport!$H$2:$H$675,Program_data!$F995,EIAwtransport!$I$2:$I$675,Program_data!Q$2)</f>
        <v>821309</v>
      </c>
      <c r="R995" s="8">
        <f>SUMIFS(EIAwtransport!$J$2:$J$675,EIAwtransport!$E$2:$E$675,Program_data!$E995,EIAwtransport!$I$2:$I$675,Program_data!R$2)</f>
        <v>1122230698</v>
      </c>
      <c r="S995" s="5">
        <f>SUMIFS(EIAwtransport!$J$2:$J$675,EIAwtransport!$E$2:$E$675,Program_data!$E995,EIAwtransport!$I$2:$I$675,Program_data!S$2)</f>
        <v>157605245</v>
      </c>
      <c r="T995" s="5">
        <f>SUMIFS(EIAwtransport!$J$2:$J$675,EIAwtransport!$E$2:$E$675,Program_data!$E995,EIAwtransport!$I$2:$I$675,Program_data!T$2)</f>
        <v>892595</v>
      </c>
      <c r="U995" s="24">
        <f t="shared" si="326"/>
        <v>1.8587812096841573E-5</v>
      </c>
      <c r="V995" s="24">
        <f t="shared" si="317"/>
        <v>1.8587812096841573E-5</v>
      </c>
      <c r="W995" s="24">
        <f t="shared" si="327"/>
        <v>1.929077509515784E-4</v>
      </c>
      <c r="X995" s="25">
        <f t="shared" si="328"/>
        <v>1.3258713928859776E-4</v>
      </c>
      <c r="Y995" s="8">
        <f t="shared" si="322"/>
        <v>3.1516385865253176E-2</v>
      </c>
      <c r="Z995" s="27">
        <f t="shared" si="323"/>
        <v>1.1743326989386162E-2</v>
      </c>
      <c r="AC995" s="56">
        <f t="shared" si="324"/>
        <v>5.3620206680367528E-4</v>
      </c>
      <c r="AE995" s="20">
        <f t="shared" si="315"/>
        <v>270000</v>
      </c>
      <c r="AF995" s="20">
        <f t="shared" si="316"/>
        <v>1515011442.3000002</v>
      </c>
      <c r="AG995">
        <f t="shared" si="319"/>
        <v>3201318</v>
      </c>
      <c r="AH995">
        <f t="shared" si="320"/>
        <v>3201318</v>
      </c>
      <c r="AI995">
        <f t="shared" si="321"/>
        <v>16624201242.6</v>
      </c>
    </row>
    <row r="996" spans="2:35" x14ac:dyDescent="0.25">
      <c r="B996" s="4">
        <v>2026</v>
      </c>
      <c r="C996" s="4" t="s">
        <v>241</v>
      </c>
      <c r="D996" s="1" t="s">
        <v>570</v>
      </c>
      <c r="E996" s="4" t="str">
        <f t="shared" si="325"/>
        <v>CtPt-MN</v>
      </c>
      <c r="F996" s="4" t="s">
        <v>135</v>
      </c>
      <c r="G996" s="4"/>
      <c r="H996" s="11" t="s">
        <v>605</v>
      </c>
      <c r="I996" s="4"/>
      <c r="J996" s="4" t="s">
        <v>556</v>
      </c>
      <c r="K996" s="5">
        <v>4030</v>
      </c>
      <c r="L996" s="5">
        <f t="shared" si="329"/>
        <v>4030</v>
      </c>
      <c r="M996" s="8">
        <v>50237</v>
      </c>
      <c r="N996" s="8">
        <v>0</v>
      </c>
      <c r="O996" s="8">
        <f>SUMIFS(EIAwtransport!$J$2:$J$675,EIAwtransport!$E$2:$E$675,Program_data!$E996,EIAwtransport!$H$2:$H$675,Program_data!$F996,EIAwtransport!$I$2:$I$675,Program_data!O$2)</f>
        <v>671522278</v>
      </c>
      <c r="P996" s="5">
        <f>SUMIFS(EIAwtransport!$J$2:$J$675,EIAwtransport!$E$2:$E$675,Program_data!$E996,EIAwtransport!$H$2:$H$675,Program_data!$F996,EIAwtransport!$I$2:$I$675,Program_data!P$2)</f>
        <v>68242994</v>
      </c>
      <c r="Q996" s="5">
        <f>SUMIFS(EIAwtransport!$J$2:$J$675,EIAwtransport!$E$2:$E$675,Program_data!$E996,EIAwtransport!$H$2:$H$675,Program_data!$F996,EIAwtransport!$I$2:$I$675,Program_data!Q$2)</f>
        <v>821309</v>
      </c>
      <c r="R996" s="8">
        <f>SUMIFS(EIAwtransport!$J$2:$J$675,EIAwtransport!$E$2:$E$675,Program_data!$E996,EIAwtransport!$I$2:$I$675,Program_data!R$2)</f>
        <v>1122230698</v>
      </c>
      <c r="S996" s="5">
        <f>SUMIFS(EIAwtransport!$J$2:$J$675,EIAwtransport!$E$2:$E$675,Program_data!$E996,EIAwtransport!$I$2:$I$675,Program_data!S$2)</f>
        <v>157605245</v>
      </c>
      <c r="T996" s="5">
        <f>SUMIFS(EIAwtransport!$J$2:$J$675,EIAwtransport!$E$2:$E$675,Program_data!$E996,EIAwtransport!$I$2:$I$675,Program_data!T$2)</f>
        <v>892595</v>
      </c>
      <c r="U996" s="24">
        <f t="shared" si="326"/>
        <v>2.4681674711786335E-6</v>
      </c>
      <c r="V996" s="24">
        <f t="shared" si="317"/>
        <v>2.4681674711786335E-6</v>
      </c>
      <c r="W996" s="24">
        <f t="shared" si="327"/>
        <v>4.4765305466630536E-5</v>
      </c>
      <c r="X996" s="25">
        <f t="shared" si="328"/>
        <v>3.0767575496178915E-5</v>
      </c>
      <c r="Y996" s="8">
        <f t="shared" si="322"/>
        <v>7.3135508215861631E-3</v>
      </c>
      <c r="Z996" s="27">
        <f t="shared" si="323"/>
        <v>2.7251036688844717E-3</v>
      </c>
      <c r="AC996" s="56">
        <f t="shared" si="324"/>
        <v>7.119915417524914E-5</v>
      </c>
      <c r="AE996" s="20">
        <f t="shared" si="315"/>
        <v>0</v>
      </c>
      <c r="AF996" s="20">
        <f t="shared" si="316"/>
        <v>1515011442.3000002</v>
      </c>
      <c r="AG996">
        <f t="shared" si="319"/>
        <v>425084.4</v>
      </c>
      <c r="AH996">
        <f t="shared" si="320"/>
        <v>425084.4</v>
      </c>
      <c r="AI996">
        <f t="shared" si="321"/>
        <v>16624201242.6</v>
      </c>
    </row>
    <row r="997" spans="2:35" x14ac:dyDescent="0.25">
      <c r="B997" s="4">
        <v>2026</v>
      </c>
      <c r="C997" s="4" t="s">
        <v>241</v>
      </c>
      <c r="D997" s="1" t="s">
        <v>570</v>
      </c>
      <c r="E997" s="4" t="str">
        <f t="shared" si="325"/>
        <v>CtPt-MN</v>
      </c>
      <c r="F997" s="4" t="s">
        <v>155</v>
      </c>
      <c r="G997" s="4"/>
      <c r="H997" s="11" t="s">
        <v>606</v>
      </c>
      <c r="I997" s="4"/>
      <c r="J997" s="4" t="s">
        <v>155</v>
      </c>
      <c r="K997" s="5">
        <v>0</v>
      </c>
      <c r="L997" s="5">
        <f t="shared" si="329"/>
        <v>0</v>
      </c>
      <c r="M997" s="8">
        <v>1648309</v>
      </c>
      <c r="N997" s="8">
        <v>0</v>
      </c>
      <c r="O997" s="8">
        <f>SUMIFS(EIAwtransport!$J$2:$J$675,EIAwtransport!$E$2:$E$675,Program_data!$E997,EIAwtransport!$H$2:$H$675,Program_data!$F997,EIAwtransport!$I$2:$I$675,Program_data!O$2)</f>
        <v>0</v>
      </c>
      <c r="P997" s="5">
        <f>SUMIFS(EIAwtransport!$J$2:$J$675,EIAwtransport!$E$2:$E$675,Program_data!$E997,EIAwtransport!$H$2:$H$675,Program_data!$F997,EIAwtransport!$I$2:$I$675,Program_data!P$2)</f>
        <v>0</v>
      </c>
      <c r="Q997" s="5">
        <f>SUMIFS(EIAwtransport!$J$2:$J$675,EIAwtransport!$E$2:$E$675,Program_data!$E997,EIAwtransport!$H$2:$H$675,Program_data!$F997,EIAwtransport!$I$2:$I$675,Program_data!Q$2)</f>
        <v>0</v>
      </c>
      <c r="R997" s="8">
        <f>SUMIFS(EIAwtransport!$J$2:$J$675,EIAwtransport!$E$2:$E$675,Program_data!$E997,EIAwtransport!$I$2:$I$675,Program_data!R$2)</f>
        <v>1122230698</v>
      </c>
      <c r="S997" s="5">
        <f>SUMIFS(EIAwtransport!$J$2:$J$675,EIAwtransport!$E$2:$E$675,Program_data!$E997,EIAwtransport!$I$2:$I$675,Program_data!S$2)</f>
        <v>157605245</v>
      </c>
      <c r="T997" s="5">
        <f>SUMIFS(EIAwtransport!$J$2:$J$675,EIAwtransport!$E$2:$E$675,Program_data!$E997,EIAwtransport!$I$2:$I$675,Program_data!T$2)</f>
        <v>892595</v>
      </c>
      <c r="U997" s="24">
        <f t="shared" si="326"/>
        <v>0</v>
      </c>
      <c r="V997" s="24">
        <f t="shared" si="317"/>
        <v>0</v>
      </c>
      <c r="W997" s="24">
        <f t="shared" si="327"/>
        <v>1.4687791048111215E-3</v>
      </c>
      <c r="X997" s="25">
        <f t="shared" si="328"/>
        <v>1.0095043812037177E-3</v>
      </c>
      <c r="Y997" s="8" t="str">
        <f t="shared" si="322"/>
        <v/>
      </c>
      <c r="Z997" s="27">
        <f t="shared" si="323"/>
        <v>8.9412443086874099E-2</v>
      </c>
      <c r="AC997" s="56">
        <f t="shared" si="324"/>
        <v>0</v>
      </c>
      <c r="AE997" s="20">
        <f t="shared" ref="AE997:AE1060" si="330">N997*1.35</f>
        <v>0</v>
      </c>
      <c r="AF997" s="20">
        <f t="shared" ref="AF997:AF1060" si="331">R997*1.35</f>
        <v>1515011442.3000002</v>
      </c>
      <c r="AG997">
        <f t="shared" si="319"/>
        <v>0</v>
      </c>
      <c r="AH997">
        <f t="shared" si="320"/>
        <v>0</v>
      </c>
      <c r="AI997">
        <f t="shared" si="321"/>
        <v>16624201242.6</v>
      </c>
    </row>
    <row r="998" spans="2:35" x14ac:dyDescent="0.25">
      <c r="B998" s="4">
        <v>2024</v>
      </c>
      <c r="C998" s="4" t="s">
        <v>28</v>
      </c>
      <c r="D998" s="1" t="s">
        <v>607</v>
      </c>
      <c r="E998" s="4" t="str">
        <f t="shared" ref="E998:E1025" si="332">D998&amp;"-"&amp;C998</f>
        <v>Nicor-IL</v>
      </c>
      <c r="F998" s="4" t="s">
        <v>608</v>
      </c>
      <c r="G998" s="4"/>
      <c r="H998" s="11" t="s">
        <v>609</v>
      </c>
      <c r="I998" s="4"/>
      <c r="J998" s="4" t="s">
        <v>21</v>
      </c>
      <c r="K998" s="5">
        <v>1694301.3137061258</v>
      </c>
      <c r="L998" s="5">
        <v>1943979.4263191284</v>
      </c>
      <c r="M998" s="8">
        <v>1259084.652008187</v>
      </c>
      <c r="N998" s="8">
        <v>675044.8273753291</v>
      </c>
      <c r="O998" s="8">
        <f>SUMIFS(EIAwtransport!$J$2:$J$675,EIAwtransport!$E$2:$E$675,Program_data!$E998,EIAwtransport!$H$2:$H$675,Program_data!$F998,EIAwtransport!$I$2:$I$675,Program_data!O$2)</f>
        <v>1709383229</v>
      </c>
      <c r="P998" s="5">
        <f>SUMIFS(EIAwtransport!$J$2:$J$675,EIAwtransport!$E$2:$E$675,Program_data!$E998,EIAwtransport!$H$2:$H$675,Program_data!$F998,EIAwtransport!$I$2:$I$675,Program_data!P$2)</f>
        <v>214205766</v>
      </c>
      <c r="Q998" s="5">
        <f>SUMIFS(EIAwtransport!$J$2:$J$675,EIAwtransport!$E$2:$E$675,Program_data!$E998,EIAwtransport!$H$2:$H$675,Program_data!$F998,EIAwtransport!$I$2:$I$675,Program_data!Q$2)</f>
        <v>2082068</v>
      </c>
      <c r="R998" s="8">
        <f>SUMIFS(EIAwtransport!$J$2:$J$675,EIAwtransport!$E$2:$E$675,Program_data!$E998,EIAwtransport!$I$2:$I$675,Program_data!R$2)</f>
        <v>2196912418</v>
      </c>
      <c r="S998" s="5">
        <f>SUMIFS(EIAwtransport!$J$2:$J$675,EIAwtransport!$E$2:$E$675,Program_data!$E998,EIAwtransport!$I$2:$I$675,Program_data!S$2)</f>
        <v>441162766</v>
      </c>
      <c r="T998" s="5">
        <f>SUMIFS(EIAwtransport!$J$2:$J$675,EIAwtransport!$E$2:$E$675,Program_data!$E998,EIAwtransport!$I$2:$I$675,Program_data!T$2)</f>
        <v>2252419</v>
      </c>
      <c r="U998" s="24">
        <f t="shared" si="326"/>
        <v>3.7070807069897112E-4</v>
      </c>
      <c r="V998" s="24">
        <f t="shared" si="317"/>
        <v>4.2533689655997769E-4</v>
      </c>
      <c r="W998" s="24">
        <f t="shared" si="327"/>
        <v>5.7311554238216654E-4</v>
      </c>
      <c r="X998" s="25">
        <f t="shared" si="328"/>
        <v>2.7548396404867458E-4</v>
      </c>
      <c r="Y998" s="8">
        <f t="shared" si="322"/>
        <v>0.23316382444596057</v>
      </c>
      <c r="Z998" s="27">
        <f t="shared" si="323"/>
        <v>8.9550828734579466E-2</v>
      </c>
      <c r="AA998" s="27"/>
      <c r="AB998" s="40"/>
      <c r="AC998" s="56">
        <f t="shared" si="324"/>
        <v>3.7071182253328498E-2</v>
      </c>
      <c r="AE998" s="20">
        <f t="shared" si="330"/>
        <v>911310.51695669431</v>
      </c>
      <c r="AF998" s="20">
        <f t="shared" si="331"/>
        <v>2965831764.3000002</v>
      </c>
      <c r="AG998">
        <f t="shared" si="319"/>
        <v>178714902.56972215</v>
      </c>
      <c r="AH998">
        <f t="shared" si="320"/>
        <v>205050949.88814166</v>
      </c>
      <c r="AI998">
        <f t="shared" si="321"/>
        <v>46533848557.68</v>
      </c>
    </row>
    <row r="999" spans="2:35" x14ac:dyDescent="0.25">
      <c r="B999" s="4">
        <v>2024</v>
      </c>
      <c r="C999" s="4" t="s">
        <v>28</v>
      </c>
      <c r="D999" s="1" t="s">
        <v>607</v>
      </c>
      <c r="E999" s="4" t="str">
        <f t="shared" si="332"/>
        <v>Nicor-IL</v>
      </c>
      <c r="F999" s="4" t="s">
        <v>608</v>
      </c>
      <c r="G999" s="4"/>
      <c r="H999" s="11" t="s">
        <v>609</v>
      </c>
      <c r="I999" s="4"/>
      <c r="J999" s="4" t="s">
        <v>48</v>
      </c>
      <c r="K999" s="5">
        <v>1491698.6862938744</v>
      </c>
      <c r="L999" s="5">
        <v>1711520.5736808719</v>
      </c>
      <c r="M999" s="8">
        <v>2773915.3479918134</v>
      </c>
      <c r="N999" s="8">
        <v>1487205.1726246711</v>
      </c>
      <c r="O999" s="8">
        <f>SUMIFS(EIAwtransport!$J$2:$J$675,EIAwtransport!$E$2:$E$675,Program_data!$E999,EIAwtransport!$H$2:$H$675,Program_data!$F999,EIAwtransport!$I$2:$I$675,Program_data!O$2)</f>
        <v>1709383229</v>
      </c>
      <c r="P999" s="5">
        <f>SUMIFS(EIAwtransport!$J$2:$J$675,EIAwtransport!$E$2:$E$675,Program_data!$E999,EIAwtransport!$H$2:$H$675,Program_data!$F999,EIAwtransport!$I$2:$I$675,Program_data!P$2)</f>
        <v>214205766</v>
      </c>
      <c r="Q999" s="5">
        <f>SUMIFS(EIAwtransport!$J$2:$J$675,EIAwtransport!$E$2:$E$675,Program_data!$E999,EIAwtransport!$H$2:$H$675,Program_data!$F999,EIAwtransport!$I$2:$I$675,Program_data!Q$2)</f>
        <v>2082068</v>
      </c>
      <c r="R999" s="8">
        <f>SUMIFS(EIAwtransport!$J$2:$J$675,EIAwtransport!$E$2:$E$675,Program_data!$E999,EIAwtransport!$I$2:$I$675,Program_data!R$2)</f>
        <v>2196912418</v>
      </c>
      <c r="S999" s="5">
        <f>SUMIFS(EIAwtransport!$J$2:$J$675,EIAwtransport!$E$2:$E$675,Program_data!$E999,EIAwtransport!$I$2:$I$675,Program_data!S$2)</f>
        <v>441162766</v>
      </c>
      <c r="T999" s="5">
        <f>SUMIFS(EIAwtransport!$J$2:$J$675,EIAwtransport!$E$2:$E$675,Program_data!$E999,EIAwtransport!$I$2:$I$675,Program_data!T$2)</f>
        <v>2252419</v>
      </c>
      <c r="U999" s="24">
        <f t="shared" si="326"/>
        <v>3.2637922050038988E-4</v>
      </c>
      <c r="V999" s="24">
        <f t="shared" si="317"/>
        <v>3.7447559338957162E-4</v>
      </c>
      <c r="W999" s="24">
        <f t="shared" si="327"/>
        <v>1.2626426639788849E-3</v>
      </c>
      <c r="X999" s="25">
        <f t="shared" si="328"/>
        <v>6.06924399230366E-4</v>
      </c>
      <c r="Y999" s="8">
        <f t="shared" si="322"/>
        <v>0.51368802740589137</v>
      </c>
      <c r="Z999" s="27">
        <f t="shared" si="323"/>
        <v>0.1972912765285785</v>
      </c>
      <c r="AA999" s="27"/>
      <c r="AB999" s="40"/>
      <c r="AC999" s="56">
        <f t="shared" si="324"/>
        <v>3.2638252369461628E-2</v>
      </c>
      <c r="AE999" s="20">
        <f t="shared" si="330"/>
        <v>2007726.9830433063</v>
      </c>
      <c r="AF999" s="20">
        <f t="shared" si="331"/>
        <v>2965831764.3000002</v>
      </c>
      <c r="AG999">
        <f t="shared" si="319"/>
        <v>157344377.43027788</v>
      </c>
      <c r="AH999">
        <f t="shared" si="320"/>
        <v>180531190.11185837</v>
      </c>
      <c r="AI999">
        <f t="shared" si="321"/>
        <v>46533848557.68</v>
      </c>
    </row>
    <row r="1000" spans="2:35" x14ac:dyDescent="0.25">
      <c r="B1000" s="4">
        <v>2024</v>
      </c>
      <c r="C1000" s="4" t="s">
        <v>28</v>
      </c>
      <c r="D1000" s="1" t="s">
        <v>607</v>
      </c>
      <c r="E1000" s="4" t="str">
        <f t="shared" si="332"/>
        <v>Nicor-IL</v>
      </c>
      <c r="F1000" s="4" t="s">
        <v>608</v>
      </c>
      <c r="G1000" s="4"/>
      <c r="H1000" s="11" t="s">
        <v>277</v>
      </c>
      <c r="I1000" s="4"/>
      <c r="J1000" s="4" t="s">
        <v>21</v>
      </c>
      <c r="K1000" s="5">
        <v>82368.434667689638</v>
      </c>
      <c r="L1000" s="5">
        <v>85665.200833576237</v>
      </c>
      <c r="M1000" s="8">
        <v>550809.34797183902</v>
      </c>
      <c r="N1000" s="8">
        <v>302826.90291813703</v>
      </c>
      <c r="O1000" s="8">
        <f>SUMIFS(EIAwtransport!$J$2:$J$675,EIAwtransport!$E$2:$E$675,Program_data!$E1000,EIAwtransport!$H$2:$H$675,Program_data!$F1000,EIAwtransport!$I$2:$I$675,Program_data!O$2)</f>
        <v>1709383229</v>
      </c>
      <c r="P1000" s="5">
        <f>SUMIFS(EIAwtransport!$J$2:$J$675,EIAwtransport!$E$2:$E$675,Program_data!$E1000,EIAwtransport!$H$2:$H$675,Program_data!$F1000,EIAwtransport!$I$2:$I$675,Program_data!P$2)</f>
        <v>214205766</v>
      </c>
      <c r="Q1000" s="5">
        <f>SUMIFS(EIAwtransport!$J$2:$J$675,EIAwtransport!$E$2:$E$675,Program_data!$E1000,EIAwtransport!$H$2:$H$675,Program_data!$F1000,EIAwtransport!$I$2:$I$675,Program_data!Q$2)</f>
        <v>2082068</v>
      </c>
      <c r="R1000" s="8">
        <f>SUMIFS(EIAwtransport!$J$2:$J$675,EIAwtransport!$E$2:$E$675,Program_data!$E1000,EIAwtransport!$I$2:$I$675,Program_data!R$2)</f>
        <v>2196912418</v>
      </c>
      <c r="S1000" s="5">
        <f>SUMIFS(EIAwtransport!$J$2:$J$675,EIAwtransport!$E$2:$E$675,Program_data!$E1000,EIAwtransport!$I$2:$I$675,Program_data!S$2)</f>
        <v>441162766</v>
      </c>
      <c r="T1000" s="5">
        <f>SUMIFS(EIAwtransport!$J$2:$J$675,EIAwtransport!$E$2:$E$675,Program_data!$E1000,EIAwtransport!$I$2:$I$675,Program_data!T$2)</f>
        <v>2252419</v>
      </c>
      <c r="U1000" s="24">
        <f t="shared" si="326"/>
        <v>1.8021967671949564E-5</v>
      </c>
      <c r="V1000" s="24">
        <f t="shared" si="317"/>
        <v>1.8743290269656903E-5</v>
      </c>
      <c r="W1000" s="24">
        <f t="shared" si="327"/>
        <v>2.5071975717324158E-4</v>
      </c>
      <c r="X1000" s="25">
        <f t="shared" si="328"/>
        <v>1.2051544141399106E-4</v>
      </c>
      <c r="Y1000" s="8">
        <f t="shared" si="322"/>
        <v>0.10200173110589611</v>
      </c>
      <c r="Z1000" s="27">
        <f t="shared" si="323"/>
        <v>3.917562930098429E-2</v>
      </c>
      <c r="AA1000" s="27"/>
      <c r="AB1000" s="40"/>
      <c r="AC1000" s="56">
        <f t="shared" si="324"/>
        <v>1.8022150067322253E-3</v>
      </c>
      <c r="AE1000" s="20">
        <f t="shared" si="330"/>
        <v>408816.31893948501</v>
      </c>
      <c r="AF1000" s="20">
        <f t="shared" si="331"/>
        <v>2965831764.3000002</v>
      </c>
      <c r="AG1000">
        <f t="shared" si="319"/>
        <v>8688222.4887479041</v>
      </c>
      <c r="AH1000">
        <f t="shared" si="320"/>
        <v>9035965.3839256223</v>
      </c>
      <c r="AI1000">
        <f t="shared" si="321"/>
        <v>46533848557.68</v>
      </c>
    </row>
    <row r="1001" spans="2:35" x14ac:dyDescent="0.25">
      <c r="B1001" s="4">
        <v>2024</v>
      </c>
      <c r="C1001" s="4" t="s">
        <v>28</v>
      </c>
      <c r="D1001" s="1" t="s">
        <v>607</v>
      </c>
      <c r="E1001" s="4" t="str">
        <f t="shared" si="332"/>
        <v>Nicor-IL</v>
      </c>
      <c r="F1001" s="4" t="s">
        <v>608</v>
      </c>
      <c r="G1001" s="4"/>
      <c r="H1001" s="11" t="s">
        <v>277</v>
      </c>
      <c r="I1001" s="4"/>
      <c r="J1001" s="4" t="s">
        <v>42</v>
      </c>
      <c r="K1001" s="5">
        <v>54076.846557562269</v>
      </c>
      <c r="L1001" s="5">
        <v>56241.252361898194</v>
      </c>
      <c r="M1001" s="8">
        <v>166913.12916717707</v>
      </c>
      <c r="N1001" s="8">
        <v>91766.390944867249</v>
      </c>
      <c r="O1001" s="8">
        <f>SUMIFS(EIAwtransport!$J$2:$J$675,EIAwtransport!$E$2:$E$675,Program_data!$E1001,EIAwtransport!$H$2:$H$675,Program_data!$F1001,EIAwtransport!$I$2:$I$675,Program_data!O$2)</f>
        <v>1709383229</v>
      </c>
      <c r="P1001" s="5">
        <f>SUMIFS(EIAwtransport!$J$2:$J$675,EIAwtransport!$E$2:$E$675,Program_data!$E1001,EIAwtransport!$H$2:$H$675,Program_data!$F1001,EIAwtransport!$I$2:$I$675,Program_data!P$2)</f>
        <v>214205766</v>
      </c>
      <c r="Q1001" s="5">
        <f>SUMIFS(EIAwtransport!$J$2:$J$675,EIAwtransport!$E$2:$E$675,Program_data!$E1001,EIAwtransport!$H$2:$H$675,Program_data!$F1001,EIAwtransport!$I$2:$I$675,Program_data!Q$2)</f>
        <v>2082068</v>
      </c>
      <c r="R1001" s="8">
        <f>SUMIFS(EIAwtransport!$J$2:$J$675,EIAwtransport!$E$2:$E$675,Program_data!$E1001,EIAwtransport!$I$2:$I$675,Program_data!R$2)</f>
        <v>2196912418</v>
      </c>
      <c r="S1001" s="5">
        <f>SUMIFS(EIAwtransport!$J$2:$J$675,EIAwtransport!$E$2:$E$675,Program_data!$E1001,EIAwtransport!$I$2:$I$675,Program_data!S$2)</f>
        <v>441162766</v>
      </c>
      <c r="T1001" s="5">
        <f>SUMIFS(EIAwtransport!$J$2:$J$675,EIAwtransport!$E$2:$E$675,Program_data!$E1001,EIAwtransport!$I$2:$I$675,Program_data!T$2)</f>
        <v>2252419</v>
      </c>
      <c r="U1001" s="24">
        <f t="shared" si="326"/>
        <v>1.1831852631329117E-5</v>
      </c>
      <c r="V1001" s="24">
        <f t="shared" si="317"/>
        <v>1.230541816152394E-5</v>
      </c>
      <c r="W1001" s="24">
        <f t="shared" si="327"/>
        <v>7.5976232734452633E-5</v>
      </c>
      <c r="X1001" s="25">
        <f t="shared" si="328"/>
        <v>3.6520094499923575E-5</v>
      </c>
      <c r="Y1001" s="8">
        <f t="shared" si="322"/>
        <v>3.090983873466242E-2</v>
      </c>
      <c r="Z1001" s="27">
        <f t="shared" si="323"/>
        <v>1.1871488560965654E-2</v>
      </c>
      <c r="AA1001" s="27"/>
      <c r="AB1001" s="40"/>
      <c r="AC1001" s="56">
        <f t="shared" si="324"/>
        <v>1.1831972378251851E-3</v>
      </c>
      <c r="AE1001" s="20">
        <f t="shared" si="330"/>
        <v>123884.6277755708</v>
      </c>
      <c r="AF1001" s="20">
        <f t="shared" si="331"/>
        <v>2965831764.3000002</v>
      </c>
      <c r="AG1001">
        <f t="shared" si="319"/>
        <v>5704025.774891668</v>
      </c>
      <c r="AH1001">
        <f t="shared" si="320"/>
        <v>5932327.2991330214</v>
      </c>
      <c r="AI1001">
        <f t="shared" si="321"/>
        <v>46533848557.68</v>
      </c>
    </row>
    <row r="1002" spans="2:35" x14ac:dyDescent="0.25">
      <c r="B1002" s="4">
        <v>2024</v>
      </c>
      <c r="C1002" s="4" t="s">
        <v>28</v>
      </c>
      <c r="D1002" s="1" t="s">
        <v>607</v>
      </c>
      <c r="E1002" s="4" t="str">
        <f t="shared" si="332"/>
        <v>Nicor-IL</v>
      </c>
      <c r="F1002" s="4" t="s">
        <v>608</v>
      </c>
      <c r="G1002" s="4"/>
      <c r="H1002" s="11" t="s">
        <v>277</v>
      </c>
      <c r="I1002" s="4"/>
      <c r="J1002" s="4" t="s">
        <v>27</v>
      </c>
      <c r="K1002" s="5">
        <v>269554.71877474809</v>
      </c>
      <c r="L1002" s="5">
        <v>280343.54680452554</v>
      </c>
      <c r="M1002" s="8">
        <v>2310277.5228609839</v>
      </c>
      <c r="N1002" s="8">
        <v>1270156.7061369957</v>
      </c>
      <c r="O1002" s="8">
        <f>SUMIFS(EIAwtransport!$J$2:$J$675,EIAwtransport!$E$2:$E$675,Program_data!$E1002,EIAwtransport!$H$2:$H$675,Program_data!$F1002,EIAwtransport!$I$2:$I$675,Program_data!O$2)</f>
        <v>1709383229</v>
      </c>
      <c r="P1002" s="5">
        <f>SUMIFS(EIAwtransport!$J$2:$J$675,EIAwtransport!$E$2:$E$675,Program_data!$E1002,EIAwtransport!$H$2:$H$675,Program_data!$F1002,EIAwtransport!$I$2:$I$675,Program_data!P$2)</f>
        <v>214205766</v>
      </c>
      <c r="Q1002" s="5">
        <f>SUMIFS(EIAwtransport!$J$2:$J$675,EIAwtransport!$E$2:$E$675,Program_data!$E1002,EIAwtransport!$H$2:$H$675,Program_data!$F1002,EIAwtransport!$I$2:$I$675,Program_data!Q$2)</f>
        <v>2082068</v>
      </c>
      <c r="R1002" s="8">
        <f>SUMIFS(EIAwtransport!$J$2:$J$675,EIAwtransport!$E$2:$E$675,Program_data!$E1002,EIAwtransport!$I$2:$I$675,Program_data!R$2)</f>
        <v>2196912418</v>
      </c>
      <c r="S1002" s="5">
        <f>SUMIFS(EIAwtransport!$J$2:$J$675,EIAwtransport!$E$2:$E$675,Program_data!$E1002,EIAwtransport!$I$2:$I$675,Program_data!S$2)</f>
        <v>441162766</v>
      </c>
      <c r="T1002" s="5">
        <f>SUMIFS(EIAwtransport!$J$2:$J$675,EIAwtransport!$E$2:$E$675,Program_data!$E1002,EIAwtransport!$I$2:$I$675,Program_data!T$2)</f>
        <v>2252419</v>
      </c>
      <c r="U1002" s="24">
        <f t="shared" si="326"/>
        <v>5.8977767966319736E-5</v>
      </c>
      <c r="V1002" s="24">
        <f t="shared" si="317"/>
        <v>6.1338331339355924E-5</v>
      </c>
      <c r="W1002" s="24">
        <f t="shared" si="327"/>
        <v>1.0516020137772209E-3</v>
      </c>
      <c r="X1002" s="25">
        <f t="shared" si="328"/>
        <v>5.054818268455534E-4</v>
      </c>
      <c r="Y1002" s="8">
        <f t="shared" si="322"/>
        <v>0.42782917090018219</v>
      </c>
      <c r="Z1002" s="27">
        <f t="shared" si="323"/>
        <v>0.16431561329025493</v>
      </c>
      <c r="AA1002" s="27"/>
      <c r="AB1002" s="40"/>
      <c r="AC1002" s="56">
        <f t="shared" si="324"/>
        <v>5.8978364864070553E-3</v>
      </c>
      <c r="AE1002" s="20">
        <f t="shared" si="330"/>
        <v>1714711.5532849443</v>
      </c>
      <c r="AF1002" s="20">
        <f t="shared" si="331"/>
        <v>2965831764.3000002</v>
      </c>
      <c r="AG1002">
        <f t="shared" si="319"/>
        <v>28432631.736360431</v>
      </c>
      <c r="AH1002">
        <f t="shared" si="320"/>
        <v>29570637.316941354</v>
      </c>
      <c r="AI1002">
        <f t="shared" si="321"/>
        <v>46533848557.68</v>
      </c>
    </row>
    <row r="1003" spans="2:35" x14ac:dyDescent="0.25">
      <c r="B1003" s="4">
        <v>2024</v>
      </c>
      <c r="C1003" s="4" t="s">
        <v>28</v>
      </c>
      <c r="D1003" s="1" t="s">
        <v>607</v>
      </c>
      <c r="E1003" s="4" t="str">
        <f t="shared" si="332"/>
        <v>Nicor-IL</v>
      </c>
      <c r="F1003" s="4" t="s">
        <v>608</v>
      </c>
      <c r="G1003" s="4"/>
      <c r="H1003" s="11" t="s">
        <v>203</v>
      </c>
      <c r="I1003" s="4"/>
      <c r="J1003" s="4" t="s">
        <v>21</v>
      </c>
      <c r="K1003" s="5">
        <v>279662.35090433934</v>
      </c>
      <c r="L1003" s="5">
        <v>298247.50713532395</v>
      </c>
      <c r="M1003" s="8">
        <v>1438849.1384684877</v>
      </c>
      <c r="N1003" s="8">
        <v>721615.88118364522</v>
      </c>
      <c r="O1003" s="8">
        <f>SUMIFS(EIAwtransport!$J$2:$J$675,EIAwtransport!$E$2:$E$675,Program_data!$E1003,EIAwtransport!$H$2:$H$675,Program_data!$F1003,EIAwtransport!$I$2:$I$675,Program_data!O$2)</f>
        <v>1709383229</v>
      </c>
      <c r="P1003" s="5">
        <f>SUMIFS(EIAwtransport!$J$2:$J$675,EIAwtransport!$E$2:$E$675,Program_data!$E1003,EIAwtransport!$H$2:$H$675,Program_data!$F1003,EIAwtransport!$I$2:$I$675,Program_data!P$2)</f>
        <v>214205766</v>
      </c>
      <c r="Q1003" s="5">
        <f>SUMIFS(EIAwtransport!$J$2:$J$675,EIAwtransport!$E$2:$E$675,Program_data!$E1003,EIAwtransport!$H$2:$H$675,Program_data!$F1003,EIAwtransport!$I$2:$I$675,Program_data!Q$2)</f>
        <v>2082068</v>
      </c>
      <c r="R1003" s="8">
        <f>SUMIFS(EIAwtransport!$J$2:$J$675,EIAwtransport!$E$2:$E$675,Program_data!$E1003,EIAwtransport!$I$2:$I$675,Program_data!R$2)</f>
        <v>2196912418</v>
      </c>
      <c r="S1003" s="5">
        <f>SUMIFS(EIAwtransport!$J$2:$J$675,EIAwtransport!$E$2:$E$675,Program_data!$E1003,EIAwtransport!$I$2:$I$675,Program_data!S$2)</f>
        <v>441162766</v>
      </c>
      <c r="T1003" s="5">
        <f>SUMIFS(EIAwtransport!$J$2:$J$675,EIAwtransport!$E$2:$E$675,Program_data!$E1003,EIAwtransport!$I$2:$I$675,Program_data!T$2)</f>
        <v>2252419</v>
      </c>
      <c r="U1003" s="24">
        <f t="shared" si="326"/>
        <v>6.1189287709463607E-5</v>
      </c>
      <c r="V1003" s="24">
        <f t="shared" si="317"/>
        <v>6.5255664424333041E-5</v>
      </c>
      <c r="W1003" s="24">
        <f t="shared" si="327"/>
        <v>6.5494151094943091E-4</v>
      </c>
      <c r="X1003" s="25">
        <f t="shared" si="328"/>
        <v>3.14815897168717E-4</v>
      </c>
      <c r="Y1003" s="8">
        <f t="shared" si="322"/>
        <v>0.26645354416083106</v>
      </c>
      <c r="Z1003" s="27">
        <f t="shared" si="323"/>
        <v>0.10233635408737467</v>
      </c>
      <c r="AA1003" s="27"/>
      <c r="AB1003" s="40"/>
      <c r="AC1003" s="56">
        <f t="shared" si="324"/>
        <v>6.1189906989396834E-3</v>
      </c>
      <c r="AE1003" s="20">
        <f t="shared" si="330"/>
        <v>974181.4395979211</v>
      </c>
      <c r="AF1003" s="20">
        <f t="shared" si="331"/>
        <v>2965831764.3000002</v>
      </c>
      <c r="AG1003">
        <f t="shared" si="319"/>
        <v>29498784.773389716</v>
      </c>
      <c r="AH1003">
        <f t="shared" si="320"/>
        <v>31459147.052633971</v>
      </c>
      <c r="AI1003">
        <f t="shared" si="321"/>
        <v>46533848557.68</v>
      </c>
    </row>
    <row r="1004" spans="2:35" x14ac:dyDescent="0.25">
      <c r="B1004" s="4">
        <v>2024</v>
      </c>
      <c r="C1004" s="4" t="s">
        <v>28</v>
      </c>
      <c r="D1004" s="1" t="s">
        <v>607</v>
      </c>
      <c r="E1004" s="4" t="str">
        <f t="shared" si="332"/>
        <v>Nicor-IL</v>
      </c>
      <c r="F1004" s="4" t="s">
        <v>608</v>
      </c>
      <c r="G1004" s="4"/>
      <c r="H1004" s="11" t="s">
        <v>203</v>
      </c>
      <c r="I1004" s="4"/>
      <c r="J1004" s="52" t="s">
        <v>48</v>
      </c>
      <c r="K1004" s="5">
        <v>1547.1112396580522</v>
      </c>
      <c r="L1004">
        <v>1649.9255941922897</v>
      </c>
      <c r="M1004" s="8">
        <v>12442.527468168517</v>
      </c>
      <c r="N1004" s="8">
        <v>6240.213225308039</v>
      </c>
      <c r="O1004" s="8">
        <f>SUMIFS(EIAwtransport!$J$2:$J$675,EIAwtransport!$E$2:$E$675,Program_data!$E1004,EIAwtransport!$H$2:$H$675,Program_data!$F1004,EIAwtransport!$I$2:$I$675,Program_data!O$2)</f>
        <v>1709383229</v>
      </c>
      <c r="P1004" s="5">
        <f>SUMIFS(EIAwtransport!$J$2:$J$675,EIAwtransport!$E$2:$E$675,Program_data!$E1004,EIAwtransport!$H$2:$H$675,Program_data!$F1004,EIAwtransport!$I$2:$I$675,Program_data!P$2)</f>
        <v>214205766</v>
      </c>
      <c r="Q1004" s="5">
        <f>SUMIFS(EIAwtransport!$J$2:$J$675,EIAwtransport!$E$2:$E$675,Program_data!$E1004,EIAwtransport!$H$2:$H$675,Program_data!$F1004,EIAwtransport!$I$2:$I$675,Program_data!Q$2)</f>
        <v>2082068</v>
      </c>
      <c r="R1004" s="8">
        <f>SUMIFS(EIAwtransport!$J$2:$J$675,EIAwtransport!$E$2:$E$675,Program_data!$E1004,EIAwtransport!$I$2:$I$675,Program_data!R$2)</f>
        <v>2196912418</v>
      </c>
      <c r="S1004" s="5">
        <f>SUMIFS(EIAwtransport!$J$2:$J$675,EIAwtransport!$E$2:$E$675,Program_data!$E1004,EIAwtransport!$I$2:$I$675,Program_data!S$2)</f>
        <v>441162766</v>
      </c>
      <c r="T1004" s="5">
        <f>SUMIFS(EIAwtransport!$J$2:$J$675,EIAwtransport!$E$2:$E$675,Program_data!$E1004,EIAwtransport!$I$2:$I$675,Program_data!T$2)</f>
        <v>2252419</v>
      </c>
      <c r="U1004" s="24">
        <f t="shared" si="326"/>
        <v>3.3850332179451256E-7</v>
      </c>
      <c r="V1004" s="24">
        <f t="shared" si="317"/>
        <v>3.6099879571123645E-7</v>
      </c>
      <c r="W1004" s="24">
        <f t="shared" si="327"/>
        <v>5.6636429227778692E-6</v>
      </c>
      <c r="X1004" s="25">
        <f t="shared" si="328"/>
        <v>2.7223878745948634E-6</v>
      </c>
      <c r="Y1004" s="8">
        <f t="shared" si="322"/>
        <v>2.3041717533645403E-3</v>
      </c>
      <c r="Z1004" s="27">
        <f t="shared" si="323"/>
        <v>8.8495927938609666E-4</v>
      </c>
      <c r="AA1004" s="27"/>
      <c r="AB1004" s="40"/>
      <c r="AC1004" s="56">
        <f t="shared" si="324"/>
        <v>3.385067476934299E-5</v>
      </c>
      <c r="AE1004" s="20">
        <f t="shared" si="330"/>
        <v>8424.2878541658538</v>
      </c>
      <c r="AF1004" s="20">
        <f t="shared" si="331"/>
        <v>2965831764.3000002</v>
      </c>
      <c r="AG1004">
        <f t="shared" si="319"/>
        <v>163189.29355913136</v>
      </c>
      <c r="AH1004">
        <f t="shared" si="320"/>
        <v>174034.15167540274</v>
      </c>
      <c r="AI1004">
        <f t="shared" si="321"/>
        <v>46533848557.68</v>
      </c>
    </row>
    <row r="1005" spans="2:35" x14ac:dyDescent="0.25">
      <c r="B1005" s="4">
        <v>2024</v>
      </c>
      <c r="C1005" s="4" t="s">
        <v>28</v>
      </c>
      <c r="D1005" s="1" t="s">
        <v>607</v>
      </c>
      <c r="E1005" s="4" t="str">
        <f t="shared" si="332"/>
        <v>Nicor-IL</v>
      </c>
      <c r="F1005" s="4" t="s">
        <v>608</v>
      </c>
      <c r="G1005" s="4"/>
      <c r="H1005" s="11" t="s">
        <v>203</v>
      </c>
      <c r="I1005" s="4"/>
      <c r="J1005" s="4" t="s">
        <v>42</v>
      </c>
      <c r="K1005" s="5">
        <v>22207.185935370897</v>
      </c>
      <c r="L1005" s="5">
        <v>23682.979937405038</v>
      </c>
      <c r="M1005" s="8">
        <v>76206.466831026773</v>
      </c>
      <c r="N1005" s="8">
        <v>38219.292936226055</v>
      </c>
      <c r="O1005" s="8">
        <f>SUMIFS(EIAwtransport!$J$2:$J$675,EIAwtransport!$E$2:$E$675,Program_data!$E1005,EIAwtransport!$H$2:$H$675,Program_data!$F1005,EIAwtransport!$I$2:$I$675,Program_data!O$2)</f>
        <v>1709383229</v>
      </c>
      <c r="P1005" s="5">
        <f>SUMIFS(EIAwtransport!$J$2:$J$675,EIAwtransport!$E$2:$E$675,Program_data!$E1005,EIAwtransport!$H$2:$H$675,Program_data!$F1005,EIAwtransport!$I$2:$I$675,Program_data!P$2)</f>
        <v>214205766</v>
      </c>
      <c r="Q1005" s="5">
        <f>SUMIFS(EIAwtransport!$J$2:$J$675,EIAwtransport!$E$2:$E$675,Program_data!$E1005,EIAwtransport!$H$2:$H$675,Program_data!$F1005,EIAwtransport!$I$2:$I$675,Program_data!Q$2)</f>
        <v>2082068</v>
      </c>
      <c r="R1005" s="8">
        <f>SUMIFS(EIAwtransport!$J$2:$J$675,EIAwtransport!$E$2:$E$675,Program_data!$E1005,EIAwtransport!$I$2:$I$675,Program_data!R$2)</f>
        <v>2196912418</v>
      </c>
      <c r="S1005" s="5">
        <f>SUMIFS(EIAwtransport!$J$2:$J$675,EIAwtransport!$E$2:$E$675,Program_data!$E1005,EIAwtransport!$I$2:$I$675,Program_data!S$2)</f>
        <v>441162766</v>
      </c>
      <c r="T1005" s="5">
        <f>SUMIFS(EIAwtransport!$J$2:$J$675,EIAwtransport!$E$2:$E$675,Program_data!$E1005,EIAwtransport!$I$2:$I$675,Program_data!T$2)</f>
        <v>2252419</v>
      </c>
      <c r="U1005" s="24">
        <f t="shared" si="326"/>
        <v>4.8588660040327201E-6</v>
      </c>
      <c r="V1005" s="24">
        <f t="shared" si="317"/>
        <v>5.1817653270855268E-6</v>
      </c>
      <c r="W1005" s="24">
        <f t="shared" si="327"/>
        <v>3.4687985832590788E-5</v>
      </c>
      <c r="X1005" s="25">
        <f t="shared" si="328"/>
        <v>1.667374750003591E-5</v>
      </c>
      <c r="Y1005" s="8">
        <f t="shared" si="322"/>
        <v>1.4112308672412366E-2</v>
      </c>
      <c r="Z1005" s="27">
        <f t="shared" si="323"/>
        <v>5.4200901017799992E-3</v>
      </c>
      <c r="AA1005" s="27"/>
      <c r="AB1005" s="40"/>
      <c r="AC1005" s="56">
        <f t="shared" si="324"/>
        <v>4.8589151792777203E-4</v>
      </c>
      <c r="AE1005" s="20">
        <f t="shared" si="330"/>
        <v>51596.045463905175</v>
      </c>
      <c r="AF1005" s="20">
        <f t="shared" si="331"/>
        <v>2965831764.3000002</v>
      </c>
      <c r="AG1005">
        <f t="shared" si="319"/>
        <v>2342413.9724629223</v>
      </c>
      <c r="AH1005">
        <f t="shared" si="320"/>
        <v>2498080.7237974834</v>
      </c>
      <c r="AI1005">
        <f t="shared" si="321"/>
        <v>46533848557.68</v>
      </c>
    </row>
    <row r="1006" spans="2:35" x14ac:dyDescent="0.25">
      <c r="B1006" s="4">
        <v>2024</v>
      </c>
      <c r="C1006" s="4" t="s">
        <v>28</v>
      </c>
      <c r="D1006" s="1" t="s">
        <v>607</v>
      </c>
      <c r="E1006" s="4" t="str">
        <f t="shared" si="332"/>
        <v>Nicor-IL</v>
      </c>
      <c r="F1006" s="4" t="s">
        <v>608</v>
      </c>
      <c r="G1006" s="4"/>
      <c r="H1006" s="11" t="s">
        <v>203</v>
      </c>
      <c r="I1006" s="4"/>
      <c r="J1006" s="52" t="s">
        <v>27</v>
      </c>
      <c r="K1006" s="5">
        <v>91583.351920631729</v>
      </c>
      <c r="L1006" s="5">
        <v>97669.587333078773</v>
      </c>
      <c r="M1006" s="8">
        <v>606501.86723231745</v>
      </c>
      <c r="N1006" s="8">
        <v>304174.61265482084</v>
      </c>
      <c r="O1006" s="8">
        <f>SUMIFS(EIAwtransport!$J$2:$J$675,EIAwtransport!$E$2:$E$675,Program_data!$E1006,EIAwtransport!$H$2:$H$675,Program_data!$F1006,EIAwtransport!$I$2:$I$675,Program_data!O$2)</f>
        <v>1709383229</v>
      </c>
      <c r="P1006" s="5">
        <f>SUMIFS(EIAwtransport!$J$2:$J$675,EIAwtransport!$E$2:$E$675,Program_data!$E1006,EIAwtransport!$H$2:$H$675,Program_data!$F1006,EIAwtransport!$I$2:$I$675,Program_data!P$2)</f>
        <v>214205766</v>
      </c>
      <c r="Q1006" s="5">
        <f>SUMIFS(EIAwtransport!$J$2:$J$675,EIAwtransport!$E$2:$E$675,Program_data!$E1006,EIAwtransport!$H$2:$H$675,Program_data!$F1006,EIAwtransport!$I$2:$I$675,Program_data!Q$2)</f>
        <v>2082068</v>
      </c>
      <c r="R1006" s="8">
        <f>SUMIFS(EIAwtransport!$J$2:$J$675,EIAwtransport!$E$2:$E$675,Program_data!$E1006,EIAwtransport!$I$2:$I$675,Program_data!R$2)</f>
        <v>2196912418</v>
      </c>
      <c r="S1006" s="5">
        <f>SUMIFS(EIAwtransport!$J$2:$J$675,EIAwtransport!$E$2:$E$675,Program_data!$E1006,EIAwtransport!$I$2:$I$675,Program_data!S$2)</f>
        <v>441162766</v>
      </c>
      <c r="T1006" s="5">
        <f>SUMIFS(EIAwtransport!$J$2:$J$675,EIAwtransport!$E$2:$E$675,Program_data!$E1006,EIAwtransport!$I$2:$I$675,Program_data!T$2)</f>
        <v>2252419</v>
      </c>
      <c r="U1006" s="24">
        <f t="shared" si="326"/>
        <v>2.0038164064441608E-5</v>
      </c>
      <c r="V1006" s="24">
        <f t="shared" si="317"/>
        <v>2.1369814207964625E-5</v>
      </c>
      <c r="W1006" s="24">
        <f t="shared" si="327"/>
        <v>2.7607011652492621E-4</v>
      </c>
      <c r="X1006" s="25">
        <f t="shared" si="328"/>
        <v>1.3270079841064993E-4</v>
      </c>
      <c r="Y1006" s="8">
        <f t="shared" si="322"/>
        <v>0.11231516059857731</v>
      </c>
      <c r="Z1006" s="27">
        <f t="shared" si="323"/>
        <v>4.3136690414816325E-2</v>
      </c>
      <c r="AA1006" s="27"/>
      <c r="AB1006" s="40"/>
      <c r="AC1006" s="56">
        <f t="shared" si="324"/>
        <v>2.0038366865182855E-3</v>
      </c>
      <c r="AE1006" s="20">
        <f t="shared" si="330"/>
        <v>410635.72708400816</v>
      </c>
      <c r="AF1006" s="20">
        <f t="shared" si="331"/>
        <v>2965831764.3000002</v>
      </c>
      <c r="AG1006">
        <f t="shared" si="319"/>
        <v>9660211.9605882354</v>
      </c>
      <c r="AH1006">
        <f t="shared" si="320"/>
        <v>10302188.07189315</v>
      </c>
      <c r="AI1006">
        <f t="shared" si="321"/>
        <v>46533848557.68</v>
      </c>
    </row>
    <row r="1007" spans="2:35" x14ac:dyDescent="0.25">
      <c r="B1007" s="4">
        <v>2024</v>
      </c>
      <c r="C1007" s="4" t="s">
        <v>28</v>
      </c>
      <c r="D1007" s="1" t="s">
        <v>607</v>
      </c>
      <c r="E1007" s="4" t="str">
        <f t="shared" si="332"/>
        <v>Nicor-IL</v>
      </c>
      <c r="F1007" s="4" t="s">
        <v>608</v>
      </c>
      <c r="G1007" s="4"/>
      <c r="H1007" s="11" t="s">
        <v>610</v>
      </c>
      <c r="I1007" s="4"/>
      <c r="J1007" s="4" t="s">
        <v>157</v>
      </c>
      <c r="K1007" s="5">
        <v>616181.56062226184</v>
      </c>
      <c r="L1007" s="5">
        <v>639821.55377374135</v>
      </c>
      <c r="M1007" s="8">
        <v>743703.63497231109</v>
      </c>
      <c r="N1007" s="8">
        <v>341845.09324168373</v>
      </c>
      <c r="O1007" s="8">
        <f>SUMIFS(EIAwtransport!$J$2:$J$675,EIAwtransport!$E$2:$E$675,Program_data!$E1007,EIAwtransport!$H$2:$H$675,Program_data!$F1007,EIAwtransport!$I$2:$I$675,Program_data!O$2)</f>
        <v>1709383229</v>
      </c>
      <c r="P1007" s="5">
        <f>SUMIFS(EIAwtransport!$J$2:$J$675,EIAwtransport!$E$2:$E$675,Program_data!$E1007,EIAwtransport!$H$2:$H$675,Program_data!$F1007,EIAwtransport!$I$2:$I$675,Program_data!P$2)</f>
        <v>214205766</v>
      </c>
      <c r="Q1007" s="5">
        <f>SUMIFS(EIAwtransport!$J$2:$J$675,EIAwtransport!$E$2:$E$675,Program_data!$E1007,EIAwtransport!$H$2:$H$675,Program_data!$F1007,EIAwtransport!$I$2:$I$675,Program_data!Q$2)</f>
        <v>2082068</v>
      </c>
      <c r="R1007" s="8">
        <f>SUMIFS(EIAwtransport!$J$2:$J$675,EIAwtransport!$E$2:$E$675,Program_data!$E1007,EIAwtransport!$I$2:$I$675,Program_data!R$2)</f>
        <v>2196912418</v>
      </c>
      <c r="S1007" s="5">
        <f>SUMIFS(EIAwtransport!$J$2:$J$675,EIAwtransport!$E$2:$E$675,Program_data!$E1007,EIAwtransport!$I$2:$I$675,Program_data!S$2)</f>
        <v>441162766</v>
      </c>
      <c r="T1007" s="5">
        <f>SUMIFS(EIAwtransport!$J$2:$J$675,EIAwtransport!$E$2:$E$675,Program_data!$E1007,EIAwtransport!$I$2:$I$675,Program_data!T$2)</f>
        <v>2252419</v>
      </c>
      <c r="U1007" s="24">
        <f t="shared" si="326"/>
        <v>1.3481868643476689E-4</v>
      </c>
      <c r="V1007" s="24">
        <f t="shared" si="317"/>
        <v>1.3999104638138846E-4</v>
      </c>
      <c r="W1007" s="24">
        <f t="shared" si="327"/>
        <v>3.3852220456259951E-4</v>
      </c>
      <c r="X1007" s="25">
        <f t="shared" si="328"/>
        <v>1.6272013570557648E-4</v>
      </c>
      <c r="Y1007" s="8">
        <f t="shared" si="322"/>
        <v>0.13772289536524279</v>
      </c>
      <c r="Z1007" s="27">
        <f t="shared" si="323"/>
        <v>5.289499537498657E-2</v>
      </c>
      <c r="AA1007" s="27"/>
      <c r="AB1007" s="40"/>
      <c r="AC1007" s="56">
        <f t="shared" si="324"/>
        <v>1.348200508975717E-2</v>
      </c>
      <c r="AE1007" s="20">
        <f t="shared" si="330"/>
        <v>461490.87587627309</v>
      </c>
      <c r="AF1007" s="20">
        <f t="shared" si="331"/>
        <v>2965831764.3000002</v>
      </c>
      <c r="AG1007">
        <f t="shared" si="319"/>
        <v>64994831.014436178</v>
      </c>
      <c r="AH1007">
        <f t="shared" si="320"/>
        <v>67488377.492054239</v>
      </c>
      <c r="AI1007">
        <f t="shared" si="321"/>
        <v>46533848557.68</v>
      </c>
    </row>
    <row r="1008" spans="2:35" x14ac:dyDescent="0.25">
      <c r="B1008" s="4">
        <v>2024</v>
      </c>
      <c r="C1008" s="4" t="s">
        <v>28</v>
      </c>
      <c r="D1008" s="1" t="s">
        <v>607</v>
      </c>
      <c r="E1008" s="4" t="str">
        <f t="shared" si="332"/>
        <v>Nicor-IL</v>
      </c>
      <c r="F1008" s="4" t="s">
        <v>608</v>
      </c>
      <c r="G1008" s="4"/>
      <c r="H1008" s="11" t="s">
        <v>610</v>
      </c>
      <c r="I1008" s="4"/>
      <c r="J1008" s="4" t="s">
        <v>42</v>
      </c>
      <c r="K1008" s="5">
        <v>582818.43937773828</v>
      </c>
      <c r="L1008" s="5">
        <v>605178.44622625865</v>
      </c>
      <c r="M1008" s="8">
        <v>1183296.3650276889</v>
      </c>
      <c r="N1008" s="8">
        <v>543904.90675831621</v>
      </c>
      <c r="O1008" s="8">
        <f>SUMIFS(EIAwtransport!$J$2:$J$675,EIAwtransport!$E$2:$E$675,Program_data!$E1008,EIAwtransport!$H$2:$H$675,Program_data!$F1008,EIAwtransport!$I$2:$I$675,Program_data!O$2)</f>
        <v>1709383229</v>
      </c>
      <c r="P1008" s="5">
        <f>SUMIFS(EIAwtransport!$J$2:$J$675,EIAwtransport!$E$2:$E$675,Program_data!$E1008,EIAwtransport!$H$2:$H$675,Program_data!$F1008,EIAwtransport!$I$2:$I$675,Program_data!P$2)</f>
        <v>214205766</v>
      </c>
      <c r="Q1008" s="5">
        <f>SUMIFS(EIAwtransport!$J$2:$J$675,EIAwtransport!$E$2:$E$675,Program_data!$E1008,EIAwtransport!$H$2:$H$675,Program_data!$F1008,EIAwtransport!$I$2:$I$675,Program_data!Q$2)</f>
        <v>2082068</v>
      </c>
      <c r="R1008" s="8">
        <f>SUMIFS(EIAwtransport!$J$2:$J$675,EIAwtransport!$E$2:$E$675,Program_data!$E1008,EIAwtransport!$I$2:$I$675,Program_data!R$2)</f>
        <v>2196912418</v>
      </c>
      <c r="S1008" s="5">
        <f>SUMIFS(EIAwtransport!$J$2:$J$675,EIAwtransport!$E$2:$E$675,Program_data!$E1008,EIAwtransport!$I$2:$I$675,Program_data!S$2)</f>
        <v>441162766</v>
      </c>
      <c r="T1008" s="5">
        <f>SUMIFS(EIAwtransport!$J$2:$J$675,EIAwtransport!$E$2:$E$675,Program_data!$E1008,EIAwtransport!$I$2:$I$675,Program_data!T$2)</f>
        <v>2252419</v>
      </c>
      <c r="U1008" s="24">
        <f t="shared" si="326"/>
        <v>1.2751893508062352E-4</v>
      </c>
      <c r="V1008" s="24">
        <f t="shared" si="317"/>
        <v>1.3241123784435053E-4</v>
      </c>
      <c r="W1008" s="24">
        <f t="shared" si="327"/>
        <v>5.3861790544428012E-4</v>
      </c>
      <c r="X1008" s="25">
        <f t="shared" si="328"/>
        <v>2.5890171305185245E-4</v>
      </c>
      <c r="Y1008" s="8">
        <f t="shared" si="322"/>
        <v>0.21912895648660904</v>
      </c>
      <c r="Z1008" s="27">
        <f t="shared" si="323"/>
        <v>8.4160481154174183E-2</v>
      </c>
      <c r="AA1008" s="27"/>
      <c r="AB1008" s="40"/>
      <c r="AC1008" s="56">
        <f t="shared" si="324"/>
        <v>1.2752022566465477E-2</v>
      </c>
      <c r="AE1008" s="20">
        <f t="shared" si="330"/>
        <v>734271.62412372697</v>
      </c>
      <c r="AF1008" s="20">
        <f t="shared" si="331"/>
        <v>2965831764.3000002</v>
      </c>
      <c r="AG1008">
        <f t="shared" si="319"/>
        <v>61475688.985563837</v>
      </c>
      <c r="AH1008">
        <f t="shared" si="320"/>
        <v>63834222.507945761</v>
      </c>
      <c r="AI1008">
        <f t="shared" si="321"/>
        <v>46533848557.68</v>
      </c>
    </row>
    <row r="1009" spans="2:35" x14ac:dyDescent="0.25">
      <c r="B1009" s="4">
        <v>2024</v>
      </c>
      <c r="C1009" s="4" t="s">
        <v>28</v>
      </c>
      <c r="D1009" s="1" t="s">
        <v>607</v>
      </c>
      <c r="E1009" s="4" t="str">
        <f t="shared" si="332"/>
        <v>Nicor-IL</v>
      </c>
      <c r="F1009" s="4" t="s">
        <v>608</v>
      </c>
      <c r="G1009" s="4"/>
      <c r="H1009" s="11" t="s">
        <v>611</v>
      </c>
      <c r="I1009" s="4"/>
      <c r="J1009" s="4" t="s">
        <v>32</v>
      </c>
      <c r="K1009" s="5">
        <v>213506.31956083665</v>
      </c>
      <c r="L1009" s="5">
        <v>266384.05291001586</v>
      </c>
      <c r="M1009" s="8">
        <v>791094.44181165798</v>
      </c>
      <c r="N1009" s="8">
        <v>426507.10852345813</v>
      </c>
      <c r="O1009" s="8">
        <f>SUMIFS(EIAwtransport!$J$2:$J$675,EIAwtransport!$E$2:$E$675,Program_data!$E1009,EIAwtransport!$H$2:$H$675,Program_data!$F1009,EIAwtransport!$I$2:$I$675,Program_data!O$2)</f>
        <v>1709383229</v>
      </c>
      <c r="P1009" s="5">
        <f>SUMIFS(EIAwtransport!$J$2:$J$675,EIAwtransport!$E$2:$E$675,Program_data!$E1009,EIAwtransport!$H$2:$H$675,Program_data!$F1009,EIAwtransport!$I$2:$I$675,Program_data!P$2)</f>
        <v>214205766</v>
      </c>
      <c r="Q1009" s="5">
        <f>SUMIFS(EIAwtransport!$J$2:$J$675,EIAwtransport!$E$2:$E$675,Program_data!$E1009,EIAwtransport!$H$2:$H$675,Program_data!$F1009,EIAwtransport!$I$2:$I$675,Program_data!Q$2)</f>
        <v>2082068</v>
      </c>
      <c r="R1009" s="8">
        <f>SUMIFS(EIAwtransport!$J$2:$J$675,EIAwtransport!$E$2:$E$675,Program_data!$E1009,EIAwtransport!$I$2:$I$675,Program_data!R$2)</f>
        <v>2196912418</v>
      </c>
      <c r="S1009" s="5">
        <f>SUMIFS(EIAwtransport!$J$2:$J$675,EIAwtransport!$E$2:$E$675,Program_data!$E1009,EIAwtransport!$I$2:$I$675,Program_data!S$2)</f>
        <v>441162766</v>
      </c>
      <c r="T1009" s="5">
        <f>SUMIFS(EIAwtransport!$J$2:$J$675,EIAwtransport!$E$2:$E$675,Program_data!$E1009,EIAwtransport!$I$2:$I$675,Program_data!T$2)</f>
        <v>2252419</v>
      </c>
      <c r="U1009" s="24">
        <f t="shared" si="326"/>
        <v>4.6714545497993957E-5</v>
      </c>
      <c r="V1009" s="24">
        <f t="shared" si="317"/>
        <v>5.828403573815135E-5</v>
      </c>
      <c r="W1009" s="24">
        <f t="shared" si="327"/>
        <v>3.6009375491256293E-4</v>
      </c>
      <c r="X1009" s="25">
        <f t="shared" si="328"/>
        <v>1.7308910280143099E-4</v>
      </c>
      <c r="Y1009" s="8">
        <f t="shared" si="322"/>
        <v>0.1464989707058626</v>
      </c>
      <c r="Z1009" s="27">
        <f t="shared" si="323"/>
        <v>5.6265607525722482E-2</v>
      </c>
      <c r="AA1009" s="27"/>
      <c r="AB1009" s="40"/>
      <c r="AC1009" s="56">
        <f t="shared" si="324"/>
        <v>4.6715018283046694E-3</v>
      </c>
      <c r="AE1009" s="20">
        <f t="shared" si="330"/>
        <v>575784.59650666849</v>
      </c>
      <c r="AF1009" s="20">
        <f t="shared" si="331"/>
        <v>2965831764.3000002</v>
      </c>
      <c r="AG1009">
        <f t="shared" si="319"/>
        <v>22520646.587277051</v>
      </c>
      <c r="AH1009">
        <f t="shared" si="320"/>
        <v>28098189.900948472</v>
      </c>
      <c r="AI1009">
        <f t="shared" si="321"/>
        <v>46533848557.68</v>
      </c>
    </row>
    <row r="1010" spans="2:35" x14ac:dyDescent="0.25">
      <c r="B1010" s="4">
        <v>2024</v>
      </c>
      <c r="C1010" s="4" t="s">
        <v>28</v>
      </c>
      <c r="D1010" s="1" t="s">
        <v>607</v>
      </c>
      <c r="E1010" s="4" t="str">
        <f t="shared" si="332"/>
        <v>Nicor-IL</v>
      </c>
      <c r="F1010" s="4" t="s">
        <v>608</v>
      </c>
      <c r="G1010" s="4"/>
      <c r="H1010" s="11" t="s">
        <v>611</v>
      </c>
      <c r="I1010" s="4"/>
      <c r="J1010" s="4" t="s">
        <v>32</v>
      </c>
      <c r="K1010" s="5">
        <v>493.68043916332613</v>
      </c>
      <c r="L1010" s="5">
        <v>615.9470899841499</v>
      </c>
      <c r="M1010" s="8">
        <v>64905.558188342024</v>
      </c>
      <c r="N1010" s="8">
        <v>34992.891476541874</v>
      </c>
      <c r="O1010" s="8">
        <f>SUMIFS(EIAwtransport!$J$2:$J$675,EIAwtransport!$E$2:$E$675,Program_data!$E1010,EIAwtransport!$H$2:$H$675,Program_data!$F1010,EIAwtransport!$I$2:$I$675,Program_data!O$2)</f>
        <v>1709383229</v>
      </c>
      <c r="P1010" s="5">
        <f>SUMIFS(EIAwtransport!$J$2:$J$675,EIAwtransport!$E$2:$E$675,Program_data!$E1010,EIAwtransport!$H$2:$H$675,Program_data!$F1010,EIAwtransport!$I$2:$I$675,Program_data!P$2)</f>
        <v>214205766</v>
      </c>
      <c r="Q1010" s="5">
        <f>SUMIFS(EIAwtransport!$J$2:$J$675,EIAwtransport!$E$2:$E$675,Program_data!$E1010,EIAwtransport!$H$2:$H$675,Program_data!$F1010,EIAwtransport!$I$2:$I$675,Program_data!Q$2)</f>
        <v>2082068</v>
      </c>
      <c r="R1010" s="8">
        <f>SUMIFS(EIAwtransport!$J$2:$J$675,EIAwtransport!$E$2:$E$675,Program_data!$E1010,EIAwtransport!$I$2:$I$675,Program_data!R$2)</f>
        <v>2196912418</v>
      </c>
      <c r="S1010" s="5">
        <f>SUMIFS(EIAwtransport!$J$2:$J$675,EIAwtransport!$E$2:$E$675,Program_data!$E1010,EIAwtransport!$I$2:$I$675,Program_data!S$2)</f>
        <v>441162766</v>
      </c>
      <c r="T1010" s="5">
        <f>SUMIFS(EIAwtransport!$J$2:$J$675,EIAwtransport!$E$2:$E$675,Program_data!$E1010,EIAwtransport!$I$2:$I$675,Program_data!T$2)</f>
        <v>2252419</v>
      </c>
      <c r="U1010" s="24">
        <f t="shared" si="326"/>
        <v>1.0801580667120965E-7</v>
      </c>
      <c r="V1010" s="24">
        <f t="shared" si="317"/>
        <v>1.3476738495893912E-7</v>
      </c>
      <c r="W1010" s="24">
        <f t="shared" si="327"/>
        <v>2.9543989854374806E-5</v>
      </c>
      <c r="X1010" s="25">
        <f t="shared" si="328"/>
        <v>1.4201142417229705E-5</v>
      </c>
      <c r="Y1010" s="8">
        <f t="shared" si="322"/>
        <v>1.2019547812655931E-2</v>
      </c>
      <c r="Z1010" s="27">
        <f t="shared" si="323"/>
        <v>4.61632704042262E-3</v>
      </c>
      <c r="AA1010" s="27"/>
      <c r="AB1010" s="40"/>
      <c r="AC1010" s="56">
        <f t="shared" si="324"/>
        <v>1.080168998694482E-5</v>
      </c>
      <c r="AE1010" s="20">
        <f t="shared" si="330"/>
        <v>47240.403493331534</v>
      </c>
      <c r="AF1010" s="20">
        <f t="shared" si="331"/>
        <v>2965831764.3000002</v>
      </c>
      <c r="AG1010">
        <f t="shared" si="319"/>
        <v>52073.412722947643</v>
      </c>
      <c r="AH1010">
        <f t="shared" si="320"/>
        <v>64970.09905152813</v>
      </c>
      <c r="AI1010">
        <f t="shared" si="321"/>
        <v>46533848557.68</v>
      </c>
    </row>
    <row r="1011" spans="2:35" x14ac:dyDescent="0.25">
      <c r="B1011" s="4">
        <v>2024</v>
      </c>
      <c r="C1011" s="4" t="s">
        <v>28</v>
      </c>
      <c r="D1011" s="1" t="s">
        <v>607</v>
      </c>
      <c r="E1011" s="4" t="str">
        <f t="shared" si="332"/>
        <v>Nicor-IL</v>
      </c>
      <c r="F1011" s="4" t="s">
        <v>143</v>
      </c>
      <c r="G1011" s="4">
        <v>1</v>
      </c>
      <c r="H1011" s="11" t="s">
        <v>612</v>
      </c>
      <c r="I1011" s="4"/>
      <c r="J1011" s="4" t="s">
        <v>32</v>
      </c>
      <c r="K1011" s="5">
        <v>50000</v>
      </c>
      <c r="L1011" s="5">
        <v>50250</v>
      </c>
      <c r="M1011" s="8">
        <v>301000</v>
      </c>
      <c r="N1011" s="8">
        <v>136000</v>
      </c>
      <c r="O1011" s="8">
        <f>SUMIFS(EIAwtransport!$J$2:$J$675,EIAwtransport!$E$2:$E$675,Program_data!$E1011,EIAwtransport!$H$2:$H$675,Program_data!$F1011,EIAwtransport!$I$2:$I$675,Program_data!O$2)</f>
        <v>0</v>
      </c>
      <c r="P1011" s="5">
        <f>SUMIFS(EIAwtransport!$J$2:$J$675,EIAwtransport!$E$2:$E$675,Program_data!$E1011,EIAwtransport!$H$2:$H$675,Program_data!$F1011,EIAwtransport!$I$2:$I$675,Program_data!P$2)</f>
        <v>0</v>
      </c>
      <c r="Q1011" s="5">
        <f>SUMIFS(EIAwtransport!$J$2:$J$675,EIAwtransport!$E$2:$E$675,Program_data!$E1011,EIAwtransport!$H$2:$H$675,Program_data!$F1011,EIAwtransport!$I$2:$I$675,Program_data!Q$2)</f>
        <v>0</v>
      </c>
      <c r="R1011" s="8">
        <f>SUMIFS(EIAwtransport!$J$2:$J$675,EIAwtransport!$E$2:$E$675,Program_data!$E1011,EIAwtransport!$I$2:$I$675,Program_data!R$2)</f>
        <v>2196912418</v>
      </c>
      <c r="S1011" s="5">
        <f>SUMIFS(EIAwtransport!$J$2:$J$675,EIAwtransport!$E$2:$E$675,Program_data!$E1011,EIAwtransport!$I$2:$I$675,Program_data!S$2)</f>
        <v>441162766</v>
      </c>
      <c r="T1011" s="5">
        <f>SUMIFS(EIAwtransport!$J$2:$J$675,EIAwtransport!$E$2:$E$675,Program_data!$E1011,EIAwtransport!$I$2:$I$675,Program_data!T$2)</f>
        <v>2252419</v>
      </c>
      <c r="U1011" s="24">
        <f t="shared" si="326"/>
        <v>1.0939850772118031E-5</v>
      </c>
      <c r="V1011" s="24">
        <f t="shared" si="317"/>
        <v>1.099455002597862E-5</v>
      </c>
      <c r="W1011" s="24">
        <f t="shared" si="327"/>
        <v>1.370104686622059E-4</v>
      </c>
      <c r="X1011" s="25">
        <f t="shared" si="328"/>
        <v>6.5857901648150554E-5</v>
      </c>
      <c r="Y1011" s="8">
        <f t="shared" si="322"/>
        <v>0.21242060691601977</v>
      </c>
      <c r="Z1011" s="27">
        <f t="shared" si="323"/>
        <v>2.1408250355618781E-2</v>
      </c>
      <c r="AA1011" s="27"/>
      <c r="AB1011" s="40"/>
      <c r="AC1011" s="56">
        <f t="shared" si="324"/>
        <v>1.093996149133555E-3</v>
      </c>
      <c r="AE1011" s="20">
        <f t="shared" si="330"/>
        <v>183600</v>
      </c>
      <c r="AF1011" s="20">
        <f t="shared" si="331"/>
        <v>2965831764.3000002</v>
      </c>
      <c r="AG1011">
        <f t="shared" si="319"/>
        <v>5274000</v>
      </c>
      <c r="AH1011">
        <f t="shared" si="320"/>
        <v>5300370</v>
      </c>
      <c r="AI1011">
        <f t="shared" si="321"/>
        <v>46533848557.68</v>
      </c>
    </row>
    <row r="1012" spans="2:35" x14ac:dyDescent="0.25">
      <c r="B1012" s="4">
        <v>2024</v>
      </c>
      <c r="C1012" s="4" t="s">
        <v>28</v>
      </c>
      <c r="D1012" s="1" t="s">
        <v>607</v>
      </c>
      <c r="E1012" s="4" t="str">
        <f t="shared" si="332"/>
        <v>Nicor-IL</v>
      </c>
      <c r="F1012" s="4" t="s">
        <v>143</v>
      </c>
      <c r="G1012" s="4">
        <v>1</v>
      </c>
      <c r="H1012" s="11" t="s">
        <v>613</v>
      </c>
      <c r="I1012" s="4"/>
      <c r="J1012" s="4" t="s">
        <v>42</v>
      </c>
      <c r="K1012" s="5">
        <v>530000</v>
      </c>
      <c r="L1012" s="5">
        <v>530250</v>
      </c>
      <c r="M1012" s="8">
        <v>1100000</v>
      </c>
      <c r="N1012" s="8">
        <v>424250</v>
      </c>
      <c r="O1012" s="8">
        <f>SUMIFS(EIAwtransport!$J$2:$J$675,EIAwtransport!$E$2:$E$675,Program_data!$E1012,EIAwtransport!$H$2:$H$675,Program_data!$F1012,EIAwtransport!$I$2:$I$675,Program_data!O$2)</f>
        <v>0</v>
      </c>
      <c r="P1012" s="5">
        <f>SUMIFS(EIAwtransport!$J$2:$J$675,EIAwtransport!$E$2:$E$675,Program_data!$E1012,EIAwtransport!$H$2:$H$675,Program_data!$F1012,EIAwtransport!$I$2:$I$675,Program_data!P$2)</f>
        <v>0</v>
      </c>
      <c r="Q1012" s="5">
        <f>SUMIFS(EIAwtransport!$J$2:$J$675,EIAwtransport!$E$2:$E$675,Program_data!$E1012,EIAwtransport!$H$2:$H$675,Program_data!$F1012,EIAwtransport!$I$2:$I$675,Program_data!Q$2)</f>
        <v>0</v>
      </c>
      <c r="R1012" s="8">
        <f>SUMIFS(EIAwtransport!$J$2:$J$675,EIAwtransport!$E$2:$E$675,Program_data!$E1012,EIAwtransport!$I$2:$I$675,Program_data!R$2)</f>
        <v>2196912418</v>
      </c>
      <c r="S1012" s="5">
        <f>SUMIFS(EIAwtransport!$J$2:$J$675,EIAwtransport!$E$2:$E$675,Program_data!$E1012,EIAwtransport!$I$2:$I$675,Program_data!S$2)</f>
        <v>441162766</v>
      </c>
      <c r="T1012" s="5">
        <f>SUMIFS(EIAwtransport!$J$2:$J$675,EIAwtransport!$E$2:$E$675,Program_data!$E1012,EIAwtransport!$I$2:$I$675,Program_data!T$2)</f>
        <v>2252419</v>
      </c>
      <c r="U1012" s="24">
        <f t="shared" si="326"/>
        <v>1.1596241818445114E-4</v>
      </c>
      <c r="V1012" s="24">
        <f t="shared" si="317"/>
        <v>1.1601711743831172E-4</v>
      </c>
      <c r="W1012" s="24">
        <f t="shared" si="327"/>
        <v>5.0070270939676573E-4</v>
      </c>
      <c r="X1012" s="25">
        <f t="shared" si="328"/>
        <v>2.4067671698659666E-4</v>
      </c>
      <c r="Y1012" s="8">
        <f t="shared" si="322"/>
        <v>0.77628793225123505</v>
      </c>
      <c r="Z1012" s="27">
        <f t="shared" si="323"/>
        <v>7.8236130867709822E-2</v>
      </c>
      <c r="AA1012" s="27"/>
      <c r="AB1012" s="40"/>
      <c r="AC1012" s="56">
        <f t="shared" si="324"/>
        <v>1.1596359180815682E-2</v>
      </c>
      <c r="AE1012" s="20">
        <f t="shared" si="330"/>
        <v>572737.5</v>
      </c>
      <c r="AF1012" s="20">
        <f t="shared" si="331"/>
        <v>2965831764.3000002</v>
      </c>
      <c r="AG1012">
        <f t="shared" si="319"/>
        <v>55904400</v>
      </c>
      <c r="AH1012">
        <f t="shared" si="320"/>
        <v>55930770</v>
      </c>
      <c r="AI1012">
        <f t="shared" si="321"/>
        <v>46533848557.68</v>
      </c>
    </row>
    <row r="1013" spans="2:35" x14ac:dyDescent="0.25">
      <c r="B1013" s="4">
        <v>2024</v>
      </c>
      <c r="C1013" s="4" t="s">
        <v>28</v>
      </c>
      <c r="D1013" s="1" t="s">
        <v>607</v>
      </c>
      <c r="E1013" s="4" t="str">
        <f t="shared" si="332"/>
        <v>Nicor-IL</v>
      </c>
      <c r="F1013" s="4" t="s">
        <v>143</v>
      </c>
      <c r="G1013" s="4">
        <v>1</v>
      </c>
      <c r="H1013" s="11" t="s">
        <v>614</v>
      </c>
      <c r="I1013" s="4"/>
      <c r="J1013" s="4" t="s">
        <v>21</v>
      </c>
      <c r="K1013" s="5">
        <v>7701.6561579011486</v>
      </c>
      <c r="L1013" s="5">
        <v>7600.3185768761332</v>
      </c>
      <c r="M1013" s="8">
        <v>208724.76709131428</v>
      </c>
      <c r="N1013" s="8">
        <v>135309.67044123079</v>
      </c>
      <c r="O1013" s="8">
        <f>SUMIFS(EIAwtransport!$J$2:$J$675,EIAwtransport!$E$2:$E$675,Program_data!$E1013,EIAwtransport!$H$2:$H$675,Program_data!$F1013,EIAwtransport!$I$2:$I$675,Program_data!O$2)</f>
        <v>0</v>
      </c>
      <c r="P1013" s="5">
        <f>SUMIFS(EIAwtransport!$J$2:$J$675,EIAwtransport!$E$2:$E$675,Program_data!$E1013,EIAwtransport!$H$2:$H$675,Program_data!$F1013,EIAwtransport!$I$2:$I$675,Program_data!P$2)</f>
        <v>0</v>
      </c>
      <c r="Q1013" s="5">
        <f>SUMIFS(EIAwtransport!$J$2:$J$675,EIAwtransport!$E$2:$E$675,Program_data!$E1013,EIAwtransport!$H$2:$H$675,Program_data!$F1013,EIAwtransport!$I$2:$I$675,Program_data!Q$2)</f>
        <v>0</v>
      </c>
      <c r="R1013" s="8">
        <f>SUMIFS(EIAwtransport!$J$2:$J$675,EIAwtransport!$E$2:$E$675,Program_data!$E1013,EIAwtransport!$I$2:$I$675,Program_data!R$2)</f>
        <v>2196912418</v>
      </c>
      <c r="S1013" s="5">
        <f>SUMIFS(EIAwtransport!$J$2:$J$675,EIAwtransport!$E$2:$E$675,Program_data!$E1013,EIAwtransport!$I$2:$I$675,Program_data!S$2)</f>
        <v>441162766</v>
      </c>
      <c r="T1013" s="5">
        <f>SUMIFS(EIAwtransport!$J$2:$J$675,EIAwtransport!$E$2:$E$675,Program_data!$E1013,EIAwtransport!$I$2:$I$675,Program_data!T$2)</f>
        <v>2252419</v>
      </c>
      <c r="U1013" s="24">
        <f t="shared" si="326"/>
        <v>1.6850993813120494E-6</v>
      </c>
      <c r="V1013" s="24">
        <f t="shared" si="317"/>
        <v>1.6629270210316279E-6</v>
      </c>
      <c r="W1013" s="24">
        <f t="shared" si="327"/>
        <v>9.5008233091663588E-5</v>
      </c>
      <c r="X1013" s="25">
        <f t="shared" si="328"/>
        <v>4.5668356088481418E-5</v>
      </c>
      <c r="Y1013" s="8">
        <f t="shared" si="322"/>
        <v>0.14730047077721545</v>
      </c>
      <c r="Z1013" s="27">
        <f t="shared" si="323"/>
        <v>1.4845289266807562E-2</v>
      </c>
      <c r="AA1013" s="27"/>
      <c r="AB1013" s="40"/>
      <c r="AC1013" s="56">
        <f t="shared" si="324"/>
        <v>1.6851164357389173E-4</v>
      </c>
      <c r="AE1013" s="20">
        <f t="shared" si="330"/>
        <v>182668.05509566158</v>
      </c>
      <c r="AF1013" s="20">
        <f t="shared" si="331"/>
        <v>2965831764.3000002</v>
      </c>
      <c r="AG1013">
        <f t="shared" si="319"/>
        <v>812370.69153541315</v>
      </c>
      <c r="AH1013">
        <f t="shared" si="320"/>
        <v>801681.60348889453</v>
      </c>
      <c r="AI1013">
        <f t="shared" si="321"/>
        <v>46533848557.68</v>
      </c>
    </row>
    <row r="1014" spans="2:35" x14ac:dyDescent="0.25">
      <c r="B1014" s="4">
        <v>2024</v>
      </c>
      <c r="C1014" s="4" t="s">
        <v>28</v>
      </c>
      <c r="D1014" s="1" t="s">
        <v>607</v>
      </c>
      <c r="E1014" s="4" t="str">
        <f t="shared" si="332"/>
        <v>Nicor-IL</v>
      </c>
      <c r="F1014" s="4" t="s">
        <v>143</v>
      </c>
      <c r="G1014" s="4">
        <v>1</v>
      </c>
      <c r="H1014" s="11" t="s">
        <v>614</v>
      </c>
      <c r="I1014" s="4"/>
      <c r="J1014" s="4" t="s">
        <v>48</v>
      </c>
      <c r="K1014" s="5">
        <v>6382.9146637682752</v>
      </c>
      <c r="L1014" s="5">
        <v>6298.9289445081658</v>
      </c>
      <c r="M1014" s="8">
        <v>139244.99396251235</v>
      </c>
      <c r="N1014" s="8">
        <v>90268.129202970682</v>
      </c>
      <c r="O1014" s="8">
        <f>SUMIFS(EIAwtransport!$J$2:$J$675,EIAwtransport!$E$2:$E$675,Program_data!$E1014,EIAwtransport!$H$2:$H$675,Program_data!$F1014,EIAwtransport!$I$2:$I$675,Program_data!O$2)</f>
        <v>0</v>
      </c>
      <c r="P1014" s="5">
        <f>SUMIFS(EIAwtransport!$J$2:$J$675,EIAwtransport!$E$2:$E$675,Program_data!$E1014,EIAwtransport!$H$2:$H$675,Program_data!$F1014,EIAwtransport!$I$2:$I$675,Program_data!P$2)</f>
        <v>0</v>
      </c>
      <c r="Q1014" s="5">
        <f>SUMIFS(EIAwtransport!$J$2:$J$675,EIAwtransport!$E$2:$E$675,Program_data!$E1014,EIAwtransport!$H$2:$H$675,Program_data!$F1014,EIAwtransport!$I$2:$I$675,Program_data!Q$2)</f>
        <v>0</v>
      </c>
      <c r="R1014" s="8">
        <f>SUMIFS(EIAwtransport!$J$2:$J$675,EIAwtransport!$E$2:$E$675,Program_data!$E1014,EIAwtransport!$I$2:$I$675,Program_data!R$2)</f>
        <v>2196912418</v>
      </c>
      <c r="S1014" s="5">
        <f>SUMIFS(EIAwtransport!$J$2:$J$675,EIAwtransport!$E$2:$E$675,Program_data!$E1014,EIAwtransport!$I$2:$I$675,Program_data!S$2)</f>
        <v>441162766</v>
      </c>
      <c r="T1014" s="5">
        <f>SUMIFS(EIAwtransport!$J$2:$J$675,EIAwtransport!$E$2:$E$675,Program_data!$E1014,EIAwtransport!$I$2:$I$675,Program_data!T$2)</f>
        <v>2252419</v>
      </c>
      <c r="U1014" s="24">
        <f t="shared" si="326"/>
        <v>1.3965626782557773E-6</v>
      </c>
      <c r="V1014" s="24">
        <f t="shared" si="317"/>
        <v>1.3781868535418856E-6</v>
      </c>
      <c r="W1014" s="24">
        <f t="shared" si="327"/>
        <v>6.338213249724203E-5</v>
      </c>
      <c r="X1014" s="25">
        <f t="shared" si="328"/>
        <v>3.0466389094287229E-5</v>
      </c>
      <c r="Y1014" s="8">
        <f t="shared" si="322"/>
        <v>9.8267462217722201E-2</v>
      </c>
      <c r="Z1014" s="27">
        <f t="shared" si="323"/>
        <v>9.9036268821132561E-3</v>
      </c>
      <c r="AA1014" s="27"/>
      <c r="AB1014" s="40"/>
      <c r="AC1014" s="56">
        <f t="shared" si="324"/>
        <v>1.3965768124821185E-4</v>
      </c>
      <c r="AE1014" s="20">
        <f t="shared" si="330"/>
        <v>121861.97442401043</v>
      </c>
      <c r="AF1014" s="20">
        <f t="shared" si="331"/>
        <v>2965831764.3000002</v>
      </c>
      <c r="AG1014">
        <f t="shared" si="319"/>
        <v>673269.83873427764</v>
      </c>
      <c r="AH1014">
        <f t="shared" si="320"/>
        <v>664411.02506672137</v>
      </c>
      <c r="AI1014">
        <f t="shared" si="321"/>
        <v>46533848557.68</v>
      </c>
    </row>
    <row r="1015" spans="2:35" x14ac:dyDescent="0.25">
      <c r="B1015" s="4">
        <v>2024</v>
      </c>
      <c r="C1015" s="4" t="s">
        <v>28</v>
      </c>
      <c r="D1015" s="1" t="s">
        <v>607</v>
      </c>
      <c r="E1015" s="4" t="str">
        <f t="shared" si="332"/>
        <v>Nicor-IL</v>
      </c>
      <c r="F1015" s="4" t="s">
        <v>143</v>
      </c>
      <c r="G1015" s="4">
        <v>1</v>
      </c>
      <c r="H1015" s="11" t="s">
        <v>614</v>
      </c>
      <c r="I1015" s="4"/>
      <c r="J1015" s="4" t="s">
        <v>42</v>
      </c>
      <c r="K1015" s="5">
        <v>688.14478211734036</v>
      </c>
      <c r="L1015" s="5">
        <v>679.09024551053324</v>
      </c>
      <c r="M1015" s="8">
        <v>1811.3860908941735</v>
      </c>
      <c r="N1015" s="8">
        <v>1174.2643597896213</v>
      </c>
      <c r="O1015" s="8">
        <f>SUMIFS(EIAwtransport!$J$2:$J$675,EIAwtransport!$E$2:$E$675,Program_data!$E1015,EIAwtransport!$H$2:$H$675,Program_data!$F1015,EIAwtransport!$I$2:$I$675,Program_data!O$2)</f>
        <v>0</v>
      </c>
      <c r="P1015" s="5">
        <f>SUMIFS(EIAwtransport!$J$2:$J$675,EIAwtransport!$E$2:$E$675,Program_data!$E1015,EIAwtransport!$H$2:$H$675,Program_data!$F1015,EIAwtransport!$I$2:$I$675,Program_data!P$2)</f>
        <v>0</v>
      </c>
      <c r="Q1015" s="5">
        <f>SUMIFS(EIAwtransport!$J$2:$J$675,EIAwtransport!$E$2:$E$675,Program_data!$E1015,EIAwtransport!$H$2:$H$675,Program_data!$F1015,EIAwtransport!$I$2:$I$675,Program_data!Q$2)</f>
        <v>0</v>
      </c>
      <c r="R1015" s="8">
        <f>SUMIFS(EIAwtransport!$J$2:$J$675,EIAwtransport!$E$2:$E$675,Program_data!$E1015,EIAwtransport!$I$2:$I$675,Program_data!R$2)</f>
        <v>2196912418</v>
      </c>
      <c r="S1015" s="5">
        <f>SUMIFS(EIAwtransport!$J$2:$J$675,EIAwtransport!$E$2:$E$675,Program_data!$E1015,EIAwtransport!$I$2:$I$675,Program_data!S$2)</f>
        <v>441162766</v>
      </c>
      <c r="T1015" s="5">
        <f>SUMIFS(EIAwtransport!$J$2:$J$675,EIAwtransport!$E$2:$E$675,Program_data!$E1015,EIAwtransport!$I$2:$I$675,Program_data!T$2)</f>
        <v>2252419</v>
      </c>
      <c r="U1015" s="24">
        <f t="shared" si="326"/>
        <v>1.5056402451950763E-7</v>
      </c>
      <c r="V1015" s="24">
        <f t="shared" si="317"/>
        <v>1.4858291893372462E-7</v>
      </c>
      <c r="W1015" s="24">
        <f t="shared" si="327"/>
        <v>8.2451447588575357E-7</v>
      </c>
      <c r="X1015" s="25">
        <f t="shared" si="328"/>
        <v>3.963258705014497E-7</v>
      </c>
      <c r="Y1015" s="8">
        <f t="shared" si="322"/>
        <v>1.2783246936444415E-3</v>
      </c>
      <c r="Z1015" s="27">
        <f t="shared" si="323"/>
        <v>1.2883258114467809E-4</v>
      </c>
      <c r="AA1015" s="27"/>
      <c r="AB1015" s="40"/>
      <c r="AC1015" s="56">
        <f t="shared" si="324"/>
        <v>1.505655483365439E-5</v>
      </c>
      <c r="AE1015" s="20">
        <f t="shared" si="330"/>
        <v>1585.2568857159888</v>
      </c>
      <c r="AF1015" s="20">
        <f t="shared" si="331"/>
        <v>2965831764.3000002</v>
      </c>
      <c r="AG1015">
        <f t="shared" si="319"/>
        <v>72585.511617737066</v>
      </c>
      <c r="AH1015">
        <f t="shared" si="320"/>
        <v>71630.439096451053</v>
      </c>
      <c r="AI1015">
        <f t="shared" si="321"/>
        <v>46533848557.68</v>
      </c>
    </row>
    <row r="1016" spans="2:35" x14ac:dyDescent="0.25">
      <c r="B1016" s="4">
        <v>2024</v>
      </c>
      <c r="C1016" s="4" t="s">
        <v>28</v>
      </c>
      <c r="D1016" s="1" t="s">
        <v>607</v>
      </c>
      <c r="E1016" s="4" t="str">
        <f t="shared" si="332"/>
        <v>Nicor-IL</v>
      </c>
      <c r="F1016" s="4" t="s">
        <v>143</v>
      </c>
      <c r="G1016" s="4">
        <v>1</v>
      </c>
      <c r="H1016" s="11" t="s">
        <v>614</v>
      </c>
      <c r="I1016" s="4"/>
      <c r="J1016" s="4" t="s">
        <v>27</v>
      </c>
      <c r="K1016" s="5">
        <v>23227.284396213239</v>
      </c>
      <c r="L1016" s="5">
        <v>22921.662233105169</v>
      </c>
      <c r="M1016" s="8">
        <v>343218.85285527905</v>
      </c>
      <c r="N1016" s="8">
        <v>222497.93599600883</v>
      </c>
      <c r="O1016" s="8">
        <f>SUMIFS(EIAwtransport!$J$2:$J$675,EIAwtransport!$E$2:$E$675,Program_data!$E1016,EIAwtransport!$H$2:$H$675,Program_data!$F1016,EIAwtransport!$I$2:$I$675,Program_data!O$2)</f>
        <v>0</v>
      </c>
      <c r="P1016" s="5">
        <f>SUMIFS(EIAwtransport!$J$2:$J$675,EIAwtransport!$E$2:$E$675,Program_data!$E1016,EIAwtransport!$H$2:$H$675,Program_data!$F1016,EIAwtransport!$I$2:$I$675,Program_data!P$2)</f>
        <v>0</v>
      </c>
      <c r="Q1016" s="5">
        <f>SUMIFS(EIAwtransport!$J$2:$J$675,EIAwtransport!$E$2:$E$675,Program_data!$E1016,EIAwtransport!$H$2:$H$675,Program_data!$F1016,EIAwtransport!$I$2:$I$675,Program_data!Q$2)</f>
        <v>0</v>
      </c>
      <c r="R1016" s="8">
        <f>SUMIFS(EIAwtransport!$J$2:$J$675,EIAwtransport!$E$2:$E$675,Program_data!$E1016,EIAwtransport!$I$2:$I$675,Program_data!R$2)</f>
        <v>2196912418</v>
      </c>
      <c r="S1016" s="5">
        <f>SUMIFS(EIAwtransport!$J$2:$J$675,EIAwtransport!$E$2:$E$675,Program_data!$E1016,EIAwtransport!$I$2:$I$675,Program_data!S$2)</f>
        <v>441162766</v>
      </c>
      <c r="T1016" s="5">
        <f>SUMIFS(EIAwtransport!$J$2:$J$675,EIAwtransport!$E$2:$E$675,Program_data!$E1016,EIAwtransport!$I$2:$I$675,Program_data!T$2)</f>
        <v>2252419</v>
      </c>
      <c r="U1016" s="24">
        <f t="shared" si="326"/>
        <v>5.0820605027223701E-6</v>
      </c>
      <c r="V1016" s="24">
        <f t="shared" si="317"/>
        <v>5.015191285581286E-6</v>
      </c>
      <c r="W1016" s="24">
        <f t="shared" si="327"/>
        <v>1.56227826855171E-4</v>
      </c>
      <c r="X1016" s="25">
        <f t="shared" si="328"/>
        <v>7.509526064828579E-5</v>
      </c>
      <c r="Y1016" s="8">
        <f t="shared" si="322"/>
        <v>0.24221513962969587</v>
      </c>
      <c r="Z1016" s="27">
        <f t="shared" si="323"/>
        <v>2.4411013716591684E-2</v>
      </c>
      <c r="AA1016" s="27"/>
      <c r="AB1016" s="40"/>
      <c r="AC1016" s="56">
        <f t="shared" si="324"/>
        <v>5.0821119368574382E-4</v>
      </c>
      <c r="AE1016" s="20">
        <f t="shared" si="330"/>
        <v>300372.21359461197</v>
      </c>
      <c r="AF1016" s="20">
        <f t="shared" si="331"/>
        <v>2965831764.3000002</v>
      </c>
      <c r="AG1016">
        <f t="shared" si="319"/>
        <v>2450013.9581125728</v>
      </c>
      <c r="AH1016">
        <f t="shared" si="320"/>
        <v>2417776.9323479333</v>
      </c>
      <c r="AI1016">
        <f t="shared" si="321"/>
        <v>46533848557.68</v>
      </c>
    </row>
    <row r="1017" spans="2:35" x14ac:dyDescent="0.25">
      <c r="B1017" s="4">
        <v>2024</v>
      </c>
      <c r="C1017" s="4" t="s">
        <v>28</v>
      </c>
      <c r="D1017" s="1" t="s">
        <v>607</v>
      </c>
      <c r="E1017" s="4" t="str">
        <f t="shared" si="332"/>
        <v>Nicor-IL</v>
      </c>
      <c r="F1017" s="4" t="s">
        <v>143</v>
      </c>
      <c r="G1017" s="4">
        <v>1</v>
      </c>
      <c r="H1017" s="11" t="s">
        <v>615</v>
      </c>
      <c r="I1017" s="4"/>
      <c r="J1017" s="4" t="s">
        <v>21</v>
      </c>
      <c r="K1017" s="5">
        <v>312605.5508902428</v>
      </c>
      <c r="L1017" s="5">
        <v>312409.92789218883</v>
      </c>
      <c r="M1017" s="8">
        <v>4501020.0097931614</v>
      </c>
      <c r="N1017" s="8">
        <v>3040644.1337017342</v>
      </c>
      <c r="O1017" s="8">
        <f>SUMIFS(EIAwtransport!$J$2:$J$675,EIAwtransport!$E$2:$E$675,Program_data!$E1017,EIAwtransport!$H$2:$H$675,Program_data!$F1017,EIAwtransport!$I$2:$I$675,Program_data!O$2)</f>
        <v>0</v>
      </c>
      <c r="P1017" s="5">
        <f>SUMIFS(EIAwtransport!$J$2:$J$675,EIAwtransport!$E$2:$E$675,Program_data!$E1017,EIAwtransport!$H$2:$H$675,Program_data!$F1017,EIAwtransport!$I$2:$I$675,Program_data!P$2)</f>
        <v>0</v>
      </c>
      <c r="Q1017" s="5">
        <f>SUMIFS(EIAwtransport!$J$2:$J$675,EIAwtransport!$E$2:$E$675,Program_data!$E1017,EIAwtransport!$H$2:$H$675,Program_data!$F1017,EIAwtransport!$I$2:$I$675,Program_data!Q$2)</f>
        <v>0</v>
      </c>
      <c r="R1017" s="8">
        <f>SUMIFS(EIAwtransport!$J$2:$J$675,EIAwtransport!$E$2:$E$675,Program_data!$E1017,EIAwtransport!$I$2:$I$675,Program_data!R$2)</f>
        <v>2196912418</v>
      </c>
      <c r="S1017" s="5">
        <f>SUMIFS(EIAwtransport!$J$2:$J$675,EIAwtransport!$E$2:$E$675,Program_data!$E1017,EIAwtransport!$I$2:$I$675,Program_data!S$2)</f>
        <v>441162766</v>
      </c>
      <c r="T1017" s="5">
        <f>SUMIFS(EIAwtransport!$J$2:$J$675,EIAwtransport!$E$2:$E$675,Program_data!$E1017,EIAwtransport!$I$2:$I$675,Program_data!T$2)</f>
        <v>2252419</v>
      </c>
      <c r="U1017" s="24">
        <f t="shared" si="326"/>
        <v>6.8397161545500097E-5</v>
      </c>
      <c r="V1017" s="24">
        <f t="shared" si="317"/>
        <v>6.8354359817374019E-5</v>
      </c>
      <c r="W1017" s="24">
        <f t="shared" si="327"/>
        <v>2.0487935581386301E-3</v>
      </c>
      <c r="X1017" s="25">
        <f t="shared" si="328"/>
        <v>9.8480974458908842E-4</v>
      </c>
      <c r="Y1017" s="8">
        <f t="shared" si="322"/>
        <v>3.1764431967488789</v>
      </c>
      <c r="Z1017" s="27">
        <f t="shared" si="323"/>
        <v>0.32012944593123482</v>
      </c>
      <c r="AA1017" s="27"/>
      <c r="AB1017" s="40"/>
      <c r="AC1017" s="56">
        <f t="shared" si="324"/>
        <v>6.8397853774339826E-3</v>
      </c>
      <c r="AE1017" s="20">
        <f t="shared" si="330"/>
        <v>4104869.5804973417</v>
      </c>
      <c r="AF1017" s="20">
        <f t="shared" si="331"/>
        <v>2965831764.3000002</v>
      </c>
      <c r="AG1017">
        <f t="shared" si="319"/>
        <v>32973633.507902812</v>
      </c>
      <c r="AH1017">
        <f t="shared" si="320"/>
        <v>32952999.194068078</v>
      </c>
      <c r="AI1017">
        <f t="shared" si="321"/>
        <v>46533848557.68</v>
      </c>
    </row>
    <row r="1018" spans="2:35" x14ac:dyDescent="0.25">
      <c r="B1018" s="4">
        <v>2024</v>
      </c>
      <c r="C1018" s="4" t="s">
        <v>28</v>
      </c>
      <c r="D1018" s="1" t="s">
        <v>607</v>
      </c>
      <c r="E1018" s="4" t="str">
        <f t="shared" si="332"/>
        <v>Nicor-IL</v>
      </c>
      <c r="F1018" s="4" t="s">
        <v>143</v>
      </c>
      <c r="G1018" s="4">
        <v>1</v>
      </c>
      <c r="H1018" s="11" t="s">
        <v>615</v>
      </c>
      <c r="I1018" s="4"/>
      <c r="J1018" s="52" t="s">
        <v>48</v>
      </c>
      <c r="K1018" s="5">
        <v>83244.865470278761</v>
      </c>
      <c r="L1018">
        <v>83192.772312913119</v>
      </c>
      <c r="M1018" s="8">
        <v>1605045.6280259131</v>
      </c>
      <c r="N1018" s="8">
        <v>1084281.4656593541</v>
      </c>
      <c r="O1018" s="8">
        <f>SUMIFS(EIAwtransport!$J$2:$J$675,EIAwtransport!$E$2:$E$675,Program_data!$E1018,EIAwtransport!$H$2:$H$675,Program_data!$F1018,EIAwtransport!$I$2:$I$675,Program_data!O$2)</f>
        <v>0</v>
      </c>
      <c r="P1018" s="5">
        <f>SUMIFS(EIAwtransport!$J$2:$J$675,EIAwtransport!$E$2:$E$675,Program_data!$E1018,EIAwtransport!$H$2:$H$675,Program_data!$F1018,EIAwtransport!$I$2:$I$675,Program_data!P$2)</f>
        <v>0</v>
      </c>
      <c r="Q1018" s="5">
        <f>SUMIFS(EIAwtransport!$J$2:$J$675,EIAwtransport!$E$2:$E$675,Program_data!$E1018,EIAwtransport!$H$2:$H$675,Program_data!$F1018,EIAwtransport!$I$2:$I$675,Program_data!Q$2)</f>
        <v>0</v>
      </c>
      <c r="R1018" s="8">
        <f>SUMIFS(EIAwtransport!$J$2:$J$675,EIAwtransport!$E$2:$E$675,Program_data!$E1018,EIAwtransport!$I$2:$I$675,Program_data!R$2)</f>
        <v>2196912418</v>
      </c>
      <c r="S1018" s="5">
        <f>SUMIFS(EIAwtransport!$J$2:$J$675,EIAwtransport!$E$2:$E$675,Program_data!$E1018,EIAwtransport!$I$2:$I$675,Program_data!S$2)</f>
        <v>441162766</v>
      </c>
      <c r="T1018" s="5">
        <f>SUMIFS(EIAwtransport!$J$2:$J$675,EIAwtransport!$E$2:$E$675,Program_data!$E1018,EIAwtransport!$I$2:$I$675,Program_data!T$2)</f>
        <v>2252419</v>
      </c>
      <c r="U1018" s="24">
        <f t="shared" si="326"/>
        <v>1.8213728115797815E-5</v>
      </c>
      <c r="V1018" s="24">
        <f t="shared" si="317"/>
        <v>1.8202330288441243E-5</v>
      </c>
      <c r="W1018" s="24">
        <f t="shared" si="327"/>
        <v>7.3059154059818931E-4</v>
      </c>
      <c r="X1018" s="25">
        <f t="shared" si="328"/>
        <v>3.511791930608791E-4</v>
      </c>
      <c r="Y1018" s="8">
        <f t="shared" si="322"/>
        <v>1.1327068652264736</v>
      </c>
      <c r="Z1018" s="27">
        <f t="shared" si="323"/>
        <v>0.1141568725480735</v>
      </c>
      <c r="AA1018" s="27"/>
      <c r="AB1018" s="40"/>
      <c r="AC1018" s="56">
        <f t="shared" si="324"/>
        <v>1.8213912451925159E-3</v>
      </c>
      <c r="AE1018" s="20">
        <f t="shared" si="330"/>
        <v>1463779.9786401282</v>
      </c>
      <c r="AF1018" s="20">
        <f t="shared" si="331"/>
        <v>2965831764.3000002</v>
      </c>
      <c r="AG1018">
        <f t="shared" si="319"/>
        <v>8780668.4098050036</v>
      </c>
      <c r="AH1018">
        <f t="shared" si="320"/>
        <v>8775173.6235660762</v>
      </c>
      <c r="AI1018">
        <f t="shared" si="321"/>
        <v>46533848557.68</v>
      </c>
    </row>
    <row r="1019" spans="2:35" x14ac:dyDescent="0.25">
      <c r="B1019" s="4">
        <v>2024</v>
      </c>
      <c r="C1019" s="4" t="s">
        <v>28</v>
      </c>
      <c r="D1019" s="1" t="s">
        <v>607</v>
      </c>
      <c r="E1019" s="4" t="str">
        <f t="shared" si="332"/>
        <v>Nicor-IL</v>
      </c>
      <c r="F1019" s="4" t="s">
        <v>143</v>
      </c>
      <c r="G1019" s="4">
        <v>1</v>
      </c>
      <c r="H1019" s="11" t="s">
        <v>615</v>
      </c>
      <c r="I1019" s="4"/>
      <c r="J1019" s="4" t="s">
        <v>42</v>
      </c>
      <c r="K1019" s="5">
        <v>34602.13401187976</v>
      </c>
      <c r="L1019" s="5">
        <v>34580.480611371699</v>
      </c>
      <c r="M1019" s="8">
        <v>85456.616156202144</v>
      </c>
      <c r="N1019" s="8">
        <v>57729.838577922179</v>
      </c>
      <c r="O1019" s="8">
        <f>SUMIFS(EIAwtransport!$J$2:$J$675,EIAwtransport!$E$2:$E$675,Program_data!$E1019,EIAwtransport!$H$2:$H$675,Program_data!$F1019,EIAwtransport!$I$2:$I$675,Program_data!O$2)</f>
        <v>0</v>
      </c>
      <c r="P1019" s="5">
        <f>SUMIFS(EIAwtransport!$J$2:$J$675,EIAwtransport!$E$2:$E$675,Program_data!$E1019,EIAwtransport!$H$2:$H$675,Program_data!$F1019,EIAwtransport!$I$2:$I$675,Program_data!P$2)</f>
        <v>0</v>
      </c>
      <c r="Q1019" s="5">
        <f>SUMIFS(EIAwtransport!$J$2:$J$675,EIAwtransport!$E$2:$E$675,Program_data!$E1019,EIAwtransport!$H$2:$H$675,Program_data!$F1019,EIAwtransport!$I$2:$I$675,Program_data!Q$2)</f>
        <v>0</v>
      </c>
      <c r="R1019" s="8">
        <f>SUMIFS(EIAwtransport!$J$2:$J$675,EIAwtransport!$E$2:$E$675,Program_data!$E1019,EIAwtransport!$I$2:$I$675,Program_data!R$2)</f>
        <v>2196912418</v>
      </c>
      <c r="S1019" s="5">
        <f>SUMIFS(EIAwtransport!$J$2:$J$675,EIAwtransport!$E$2:$E$675,Program_data!$E1019,EIAwtransport!$I$2:$I$675,Program_data!S$2)</f>
        <v>441162766</v>
      </c>
      <c r="T1019" s="5">
        <f>SUMIFS(EIAwtransport!$J$2:$J$675,EIAwtransport!$E$2:$E$675,Program_data!$E1019,EIAwtransport!$I$2:$I$675,Program_data!T$2)</f>
        <v>2252419</v>
      </c>
      <c r="U1019" s="24">
        <f t="shared" si="326"/>
        <v>7.5708436497358877E-6</v>
      </c>
      <c r="V1019" s="24">
        <f t="shared" si="317"/>
        <v>7.5661059503305453E-6</v>
      </c>
      <c r="W1019" s="24">
        <f t="shared" si="327"/>
        <v>3.8898508404808947E-5</v>
      </c>
      <c r="X1019" s="25">
        <f t="shared" si="328"/>
        <v>1.8697652564780445E-5</v>
      </c>
      <c r="Y1019" s="8">
        <f t="shared" si="322"/>
        <v>6.030812713916877E-2</v>
      </c>
      <c r="Z1019" s="27">
        <f t="shared" si="323"/>
        <v>6.0779954591893429E-3</v>
      </c>
      <c r="AA1019" s="27"/>
      <c r="AB1019" s="40"/>
      <c r="AC1019" s="56">
        <f t="shared" si="324"/>
        <v>7.5709202721599325E-4</v>
      </c>
      <c r="AE1019" s="20">
        <f t="shared" si="330"/>
        <v>77935.282080194942</v>
      </c>
      <c r="AF1019" s="20">
        <f t="shared" si="331"/>
        <v>2965831764.3000002</v>
      </c>
      <c r="AG1019">
        <f t="shared" si="319"/>
        <v>3649833.095573077</v>
      </c>
      <c r="AH1019">
        <f t="shared" si="320"/>
        <v>3647549.0948874871</v>
      </c>
      <c r="AI1019">
        <f t="shared" si="321"/>
        <v>46533848557.68</v>
      </c>
    </row>
    <row r="1020" spans="2:35" x14ac:dyDescent="0.25">
      <c r="B1020" s="4">
        <v>2024</v>
      </c>
      <c r="C1020" s="4" t="s">
        <v>28</v>
      </c>
      <c r="D1020" s="1" t="s">
        <v>607</v>
      </c>
      <c r="E1020" s="4" t="str">
        <f t="shared" si="332"/>
        <v>Nicor-IL</v>
      </c>
      <c r="F1020" s="4" t="s">
        <v>143</v>
      </c>
      <c r="G1020" s="4">
        <v>1</v>
      </c>
      <c r="H1020" s="11" t="s">
        <v>615</v>
      </c>
      <c r="I1020" s="4"/>
      <c r="J1020" s="52" t="s">
        <v>27</v>
      </c>
      <c r="K1020" s="5">
        <v>368547.44962759869</v>
      </c>
      <c r="L1020" s="5">
        <v>368316.81918352633</v>
      </c>
      <c r="M1020" s="8">
        <v>4714477.7460247241</v>
      </c>
      <c r="N1020" s="8">
        <v>3184844.5620609899</v>
      </c>
      <c r="O1020" s="8">
        <f>SUMIFS(EIAwtransport!$J$2:$J$675,EIAwtransport!$E$2:$E$675,Program_data!$E1020,EIAwtransport!$H$2:$H$675,Program_data!$F1020,EIAwtransport!$I$2:$I$675,Program_data!O$2)</f>
        <v>0</v>
      </c>
      <c r="P1020" s="5">
        <f>SUMIFS(EIAwtransport!$J$2:$J$675,EIAwtransport!$E$2:$E$675,Program_data!$E1020,EIAwtransport!$H$2:$H$675,Program_data!$F1020,EIAwtransport!$I$2:$I$675,Program_data!P$2)</f>
        <v>0</v>
      </c>
      <c r="Q1020" s="5">
        <f>SUMIFS(EIAwtransport!$J$2:$J$675,EIAwtransport!$E$2:$E$675,Program_data!$E1020,EIAwtransport!$H$2:$H$675,Program_data!$F1020,EIAwtransport!$I$2:$I$675,Program_data!Q$2)</f>
        <v>0</v>
      </c>
      <c r="R1020" s="8">
        <f>SUMIFS(EIAwtransport!$J$2:$J$675,EIAwtransport!$E$2:$E$675,Program_data!$E1020,EIAwtransport!$I$2:$I$675,Program_data!R$2)</f>
        <v>2196912418</v>
      </c>
      <c r="S1020" s="5">
        <f>SUMIFS(EIAwtransport!$J$2:$J$675,EIAwtransport!$E$2:$E$675,Program_data!$E1020,EIAwtransport!$I$2:$I$675,Program_data!S$2)</f>
        <v>441162766</v>
      </c>
      <c r="T1020" s="5">
        <f>SUMIFS(EIAwtransport!$J$2:$J$675,EIAwtransport!$E$2:$E$675,Program_data!$E1020,EIAwtransport!$I$2:$I$675,Program_data!T$2)</f>
        <v>2252419</v>
      </c>
      <c r="U1020" s="24">
        <f t="shared" si="326"/>
        <v>8.0637082027412336E-5</v>
      </c>
      <c r="V1020" s="24">
        <f t="shared" si="317"/>
        <v>8.0586620774579152E-5</v>
      </c>
      <c r="W1020" s="24">
        <f t="shared" si="327"/>
        <v>2.1459561643866697E-3</v>
      </c>
      <c r="X1020" s="25">
        <f t="shared" si="328"/>
        <v>1.0315136601996371E-3</v>
      </c>
      <c r="Y1020" s="8">
        <f t="shared" si="322"/>
        <v>3.3270838010054509</v>
      </c>
      <c r="Z1020" s="27">
        <f t="shared" si="323"/>
        <v>0.33531136173717813</v>
      </c>
      <c r="AA1020" s="27"/>
      <c r="AB1020" s="40"/>
      <c r="AC1020" s="56">
        <f t="shared" si="324"/>
        <v>8.0637898133117149E-3</v>
      </c>
      <c r="AE1020" s="20">
        <f t="shared" si="330"/>
        <v>4299540.1587823369</v>
      </c>
      <c r="AF1020" s="20">
        <f t="shared" si="331"/>
        <v>2965831764.3000002</v>
      </c>
      <c r="AG1020">
        <f t="shared" si="319"/>
        <v>38874384.986719109</v>
      </c>
      <c r="AH1020">
        <f t="shared" si="320"/>
        <v>38850058.087478362</v>
      </c>
      <c r="AI1020">
        <f t="shared" si="321"/>
        <v>46533848557.68</v>
      </c>
    </row>
    <row r="1021" spans="2:35" x14ac:dyDescent="0.25">
      <c r="B1021" s="4">
        <v>2024</v>
      </c>
      <c r="C1021" s="4" t="s">
        <v>28</v>
      </c>
      <c r="D1021" s="1" t="s">
        <v>607</v>
      </c>
      <c r="E1021" s="4" t="str">
        <f t="shared" si="332"/>
        <v>Nicor-IL</v>
      </c>
      <c r="F1021" s="4" t="s">
        <v>146</v>
      </c>
      <c r="G1021" s="4"/>
      <c r="H1021" s="11" t="s">
        <v>616</v>
      </c>
      <c r="I1021" s="4"/>
      <c r="J1021" s="4" t="s">
        <v>61</v>
      </c>
      <c r="K1021" s="5">
        <v>2894751.0655473508</v>
      </c>
      <c r="L1021" s="5">
        <v>3250391.9107431681</v>
      </c>
      <c r="M1021" s="8">
        <v>736668.67080141243</v>
      </c>
      <c r="N1021" s="8">
        <v>319739.86357498169</v>
      </c>
      <c r="O1021" s="8">
        <f>SUMIFS(EIAwtransport!$J$2:$J$675,EIAwtransport!$E$2:$E$675,Program_data!$E1021,EIAwtransport!$H$2:$H$675,Program_data!$F1021,EIAwtransport!$I$2:$I$675,Program_data!O$2)</f>
        <v>487529189</v>
      </c>
      <c r="P1021" s="5">
        <f>SUMIFS(EIAwtransport!$J$2:$J$675,EIAwtransport!$E$2:$E$675,Program_data!$E1021,EIAwtransport!$H$2:$H$675,Program_data!$F1021,EIAwtransport!$I$2:$I$675,Program_data!P$2)</f>
        <v>226957000</v>
      </c>
      <c r="Q1021" s="5">
        <f>SUMIFS(EIAwtransport!$J$2:$J$675,EIAwtransport!$E$2:$E$675,Program_data!$E1021,EIAwtransport!$H$2:$H$675,Program_data!$F1021,EIAwtransport!$I$2:$I$675,Program_data!Q$2)</f>
        <v>170351</v>
      </c>
      <c r="R1021" s="8">
        <f>SUMIFS(EIAwtransport!$J$2:$J$675,EIAwtransport!$E$2:$E$675,Program_data!$E1021,EIAwtransport!$I$2:$I$675,Program_data!R$2)</f>
        <v>2196912418</v>
      </c>
      <c r="S1021" s="5">
        <f>SUMIFS(EIAwtransport!$J$2:$J$675,EIAwtransport!$E$2:$E$675,Program_data!$E1021,EIAwtransport!$I$2:$I$675,Program_data!S$2)</f>
        <v>441162766</v>
      </c>
      <c r="T1021" s="5">
        <f>SUMIFS(EIAwtransport!$J$2:$J$675,EIAwtransport!$E$2:$E$675,Program_data!$E1021,EIAwtransport!$I$2:$I$675,Program_data!T$2)</f>
        <v>2252419</v>
      </c>
      <c r="U1021" s="24">
        <f t="shared" si="326"/>
        <v>6.3336289359035357E-4</v>
      </c>
      <c r="V1021" s="24">
        <f t="shared" si="317"/>
        <v>7.1117604908859712E-4</v>
      </c>
      <c r="W1021" s="24">
        <f t="shared" si="327"/>
        <v>3.3531999945271031E-4</v>
      </c>
      <c r="X1021" s="25">
        <f t="shared" si="328"/>
        <v>1.6118090654123991E-4</v>
      </c>
      <c r="Y1021" s="8">
        <f t="shared" si="322"/>
        <v>0.10170767234590811</v>
      </c>
      <c r="Z1021" s="27">
        <f t="shared" si="323"/>
        <v>5.2394642304510138E-2</v>
      </c>
      <c r="AA1021" s="27"/>
      <c r="AB1021" s="40"/>
      <c r="AC1021" s="56">
        <f t="shared" si="324"/>
        <v>6.3336930368181124E-2</v>
      </c>
      <c r="AE1021" s="20">
        <f t="shared" si="330"/>
        <v>431648.81582622533</v>
      </c>
      <c r="AF1021" s="20">
        <f t="shared" si="331"/>
        <v>2965831764.3000002</v>
      </c>
      <c r="AG1021">
        <f t="shared" si="319"/>
        <v>305338342.39393455</v>
      </c>
      <c r="AH1021">
        <f t="shared" si="320"/>
        <v>342851338.74518937</v>
      </c>
      <c r="AI1021">
        <f t="shared" si="321"/>
        <v>46533848557.68</v>
      </c>
    </row>
    <row r="1022" spans="2:35" x14ac:dyDescent="0.25">
      <c r="B1022" s="4">
        <v>2024</v>
      </c>
      <c r="C1022" s="4" t="s">
        <v>28</v>
      </c>
      <c r="D1022" s="1" t="s">
        <v>607</v>
      </c>
      <c r="E1022" s="4" t="str">
        <f t="shared" si="332"/>
        <v>Nicor-IL</v>
      </c>
      <c r="F1022" s="4" t="s">
        <v>146</v>
      </c>
      <c r="G1022" s="4"/>
      <c r="H1022" s="11" t="s">
        <v>616</v>
      </c>
      <c r="I1022" s="4"/>
      <c r="J1022" s="4" t="s">
        <v>21</v>
      </c>
      <c r="K1022" s="5">
        <v>250745.53486779367</v>
      </c>
      <c r="L1022" s="5">
        <v>281551.41486583691</v>
      </c>
      <c r="M1022" s="8">
        <v>1350551.2425391506</v>
      </c>
      <c r="N1022" s="8">
        <v>586186.28313691297</v>
      </c>
      <c r="O1022" s="8">
        <f>SUMIFS(EIAwtransport!$J$2:$J$675,EIAwtransport!$E$2:$E$675,Program_data!$E1022,EIAwtransport!$H$2:$H$675,Program_data!$F1022,EIAwtransport!$I$2:$I$675,Program_data!O$2)</f>
        <v>487529189</v>
      </c>
      <c r="P1022" s="5">
        <f>SUMIFS(EIAwtransport!$J$2:$J$675,EIAwtransport!$E$2:$E$675,Program_data!$E1022,EIAwtransport!$H$2:$H$675,Program_data!$F1022,EIAwtransport!$I$2:$I$675,Program_data!P$2)</f>
        <v>226957000</v>
      </c>
      <c r="Q1022" s="5">
        <f>SUMIFS(EIAwtransport!$J$2:$J$675,EIAwtransport!$E$2:$E$675,Program_data!$E1022,EIAwtransport!$H$2:$H$675,Program_data!$F1022,EIAwtransport!$I$2:$I$675,Program_data!Q$2)</f>
        <v>170351</v>
      </c>
      <c r="R1022" s="8">
        <f>SUMIFS(EIAwtransport!$J$2:$J$675,EIAwtransport!$E$2:$E$675,Program_data!$E1022,EIAwtransport!$I$2:$I$675,Program_data!R$2)</f>
        <v>2196912418</v>
      </c>
      <c r="S1022" s="5">
        <f>SUMIFS(EIAwtransport!$J$2:$J$675,EIAwtransport!$E$2:$E$675,Program_data!$E1022,EIAwtransport!$I$2:$I$675,Program_data!S$2)</f>
        <v>441162766</v>
      </c>
      <c r="T1022" s="5">
        <f>SUMIFS(EIAwtransport!$J$2:$J$675,EIAwtransport!$E$2:$E$675,Program_data!$E1022,EIAwtransport!$I$2:$I$675,Program_data!T$2)</f>
        <v>2252419</v>
      </c>
      <c r="U1022" s="24">
        <f t="shared" si="326"/>
        <v>5.4862374664571629E-5</v>
      </c>
      <c r="V1022" s="24">
        <f t="shared" si="317"/>
        <v>6.1602609266219003E-5</v>
      </c>
      <c r="W1022" s="24">
        <f t="shared" si="327"/>
        <v>6.147496966532011E-4</v>
      </c>
      <c r="X1022" s="25">
        <f t="shared" si="328"/>
        <v>2.9549658106953788E-4</v>
      </c>
      <c r="Y1022" s="8">
        <f t="shared" si="322"/>
        <v>0.18646296321125924</v>
      </c>
      <c r="Z1022" s="27">
        <f t="shared" si="323"/>
        <v>9.6056276140764632E-2</v>
      </c>
      <c r="AA1022" s="27"/>
      <c r="AB1022" s="40"/>
      <c r="AC1022" s="56">
        <f t="shared" si="324"/>
        <v>5.4862929911559961E-3</v>
      </c>
      <c r="AE1022" s="20">
        <f t="shared" si="330"/>
        <v>791351.4822348326</v>
      </c>
      <c r="AF1022" s="20">
        <f t="shared" si="331"/>
        <v>2965831764.3000002</v>
      </c>
      <c r="AG1022">
        <f t="shared" si="319"/>
        <v>26448639.017854877</v>
      </c>
      <c r="AH1022">
        <f t="shared" si="320"/>
        <v>29698043.240048479</v>
      </c>
      <c r="AI1022">
        <f t="shared" si="321"/>
        <v>46533848557.68</v>
      </c>
    </row>
    <row r="1023" spans="2:35" x14ac:dyDescent="0.25">
      <c r="B1023" s="4">
        <v>2024</v>
      </c>
      <c r="C1023" s="4" t="s">
        <v>28</v>
      </c>
      <c r="D1023" s="1" t="s">
        <v>607</v>
      </c>
      <c r="E1023" s="4" t="str">
        <f t="shared" si="332"/>
        <v>Nicor-IL</v>
      </c>
      <c r="F1023" s="4" t="s">
        <v>146</v>
      </c>
      <c r="G1023" s="4"/>
      <c r="H1023" s="11" t="s">
        <v>616</v>
      </c>
      <c r="I1023" s="4"/>
      <c r="J1023" s="4" t="s">
        <v>55</v>
      </c>
      <c r="K1023" s="5">
        <v>169382.05661740099</v>
      </c>
      <c r="L1023" s="5">
        <v>190191.85214468167</v>
      </c>
      <c r="M1023" s="8">
        <v>531577.68286061159</v>
      </c>
      <c r="N1023" s="8">
        <v>230723.23085553831</v>
      </c>
      <c r="O1023" s="8">
        <f>SUMIFS(EIAwtransport!$J$2:$J$675,EIAwtransport!$E$2:$E$675,Program_data!$E1023,EIAwtransport!$H$2:$H$675,Program_data!$F1023,EIAwtransport!$I$2:$I$675,Program_data!O$2)</f>
        <v>487529189</v>
      </c>
      <c r="P1023" s="5">
        <f>SUMIFS(EIAwtransport!$J$2:$J$675,EIAwtransport!$E$2:$E$675,Program_data!$E1023,EIAwtransport!$H$2:$H$675,Program_data!$F1023,EIAwtransport!$I$2:$I$675,Program_data!P$2)</f>
        <v>226957000</v>
      </c>
      <c r="Q1023" s="5">
        <f>SUMIFS(EIAwtransport!$J$2:$J$675,EIAwtransport!$E$2:$E$675,Program_data!$E1023,EIAwtransport!$H$2:$H$675,Program_data!$F1023,EIAwtransport!$I$2:$I$675,Program_data!Q$2)</f>
        <v>170351</v>
      </c>
      <c r="R1023" s="8">
        <f>SUMIFS(EIAwtransport!$J$2:$J$675,EIAwtransport!$E$2:$E$675,Program_data!$E1023,EIAwtransport!$I$2:$I$675,Program_data!R$2)</f>
        <v>2196912418</v>
      </c>
      <c r="S1023" s="5">
        <f>SUMIFS(EIAwtransport!$J$2:$J$675,EIAwtransport!$E$2:$E$675,Program_data!$E1023,EIAwtransport!$I$2:$I$675,Program_data!S$2)</f>
        <v>441162766</v>
      </c>
      <c r="T1023" s="5">
        <f>SUMIFS(EIAwtransport!$J$2:$J$675,EIAwtransport!$E$2:$E$675,Program_data!$E1023,EIAwtransport!$I$2:$I$675,Program_data!T$2)</f>
        <v>2252419</v>
      </c>
      <c r="U1023" s="24">
        <f t="shared" si="326"/>
        <v>3.7060288457376286E-5</v>
      </c>
      <c r="V1023" s="24">
        <f t="shared" si="317"/>
        <v>4.1613409610711089E-5</v>
      </c>
      <c r="W1023" s="24">
        <f t="shared" si="327"/>
        <v>2.4196580551196628E-4</v>
      </c>
      <c r="X1023" s="25">
        <f t="shared" si="328"/>
        <v>1.1630761048566752E-4</v>
      </c>
      <c r="Y1023" s="8">
        <f t="shared" si="322"/>
        <v>7.3391920869889771E-2</v>
      </c>
      <c r="Z1023" s="27">
        <f t="shared" si="323"/>
        <v>3.7807801056942508E-2</v>
      </c>
      <c r="AA1023" s="27"/>
      <c r="AB1023" s="40"/>
      <c r="AC1023" s="56">
        <f t="shared" si="324"/>
        <v>3.7060663534351688E-3</v>
      </c>
      <c r="AE1023" s="20">
        <f t="shared" si="330"/>
        <v>311476.36165497673</v>
      </c>
      <c r="AF1023" s="20">
        <f t="shared" si="331"/>
        <v>2965831764.3000002</v>
      </c>
      <c r="AG1023">
        <f t="shared" si="319"/>
        <v>17866419.332003456</v>
      </c>
      <c r="AH1023">
        <f t="shared" si="320"/>
        <v>20061436.564221025</v>
      </c>
      <c r="AI1023">
        <f t="shared" si="321"/>
        <v>46533848557.68</v>
      </c>
    </row>
    <row r="1024" spans="2:35" x14ac:dyDescent="0.25">
      <c r="B1024" s="4">
        <v>2024</v>
      </c>
      <c r="C1024" s="4" t="s">
        <v>28</v>
      </c>
      <c r="D1024" s="1" t="s">
        <v>607</v>
      </c>
      <c r="E1024" s="4" t="str">
        <f t="shared" si="332"/>
        <v>Nicor-IL</v>
      </c>
      <c r="F1024" s="4" t="s">
        <v>146</v>
      </c>
      <c r="G1024" s="4"/>
      <c r="H1024" s="11" t="s">
        <v>616</v>
      </c>
      <c r="I1024" s="4"/>
      <c r="J1024" s="4" t="s">
        <v>48</v>
      </c>
      <c r="K1024" s="5">
        <v>67315.441903831612</v>
      </c>
      <c r="L1024" s="5">
        <v>75585.624766302353</v>
      </c>
      <c r="M1024" s="8">
        <v>114420.02840944572</v>
      </c>
      <c r="N1024" s="8">
        <v>49662.277933011239</v>
      </c>
      <c r="O1024" s="8">
        <f>SUMIFS(EIAwtransport!$J$2:$J$675,EIAwtransport!$E$2:$E$675,Program_data!$E1024,EIAwtransport!$H$2:$H$675,Program_data!$F1024,EIAwtransport!$I$2:$I$675,Program_data!O$2)</f>
        <v>487529189</v>
      </c>
      <c r="P1024" s="5">
        <f>SUMIFS(EIAwtransport!$J$2:$J$675,EIAwtransport!$E$2:$E$675,Program_data!$E1024,EIAwtransport!$H$2:$H$675,Program_data!$F1024,EIAwtransport!$I$2:$I$675,Program_data!P$2)</f>
        <v>226957000</v>
      </c>
      <c r="Q1024" s="5">
        <f>SUMIFS(EIAwtransport!$J$2:$J$675,EIAwtransport!$E$2:$E$675,Program_data!$E1024,EIAwtransport!$H$2:$H$675,Program_data!$F1024,EIAwtransport!$I$2:$I$675,Program_data!Q$2)</f>
        <v>170351</v>
      </c>
      <c r="R1024" s="8">
        <f>SUMIFS(EIAwtransport!$J$2:$J$675,EIAwtransport!$E$2:$E$675,Program_data!$E1024,EIAwtransport!$I$2:$I$675,Program_data!R$2)</f>
        <v>2196912418</v>
      </c>
      <c r="S1024" s="5">
        <f>SUMIFS(EIAwtransport!$J$2:$J$675,EIAwtransport!$E$2:$E$675,Program_data!$E1024,EIAwtransport!$I$2:$I$675,Program_data!S$2)</f>
        <v>441162766</v>
      </c>
      <c r="T1024" s="5">
        <f>SUMIFS(EIAwtransport!$J$2:$J$675,EIAwtransport!$E$2:$E$675,Program_data!$E1024,EIAwtransport!$I$2:$I$675,Program_data!T$2)</f>
        <v>2252419</v>
      </c>
      <c r="U1024" s="24">
        <f t="shared" si="326"/>
        <v>1.4728417781741977E-5</v>
      </c>
      <c r="V1024" s="24">
        <f t="shared" si="317"/>
        <v>1.6537909109213133E-5</v>
      </c>
      <c r="W1024" s="24">
        <f t="shared" si="327"/>
        <v>5.2082198394422168E-5</v>
      </c>
      <c r="X1024" s="25">
        <f t="shared" si="328"/>
        <v>2.5034760722816836E-5</v>
      </c>
      <c r="Y1024" s="8">
        <f t="shared" si="322"/>
        <v>1.5797325474174475E-2</v>
      </c>
      <c r="Z1024" s="27">
        <f t="shared" si="323"/>
        <v>8.1379821059349745E-3</v>
      </c>
      <c r="AA1024" s="27"/>
      <c r="AB1024" s="40"/>
      <c r="AC1024" s="56">
        <f t="shared" si="324"/>
        <v>1.4728566844003064E-3</v>
      </c>
      <c r="AE1024" s="20">
        <f t="shared" si="330"/>
        <v>67044.075209565184</v>
      </c>
      <c r="AF1024" s="20">
        <f t="shared" si="331"/>
        <v>2965831764.3000002</v>
      </c>
      <c r="AG1024">
        <f t="shared" si="319"/>
        <v>7100432.8120161584</v>
      </c>
      <c r="AH1024">
        <f t="shared" si="320"/>
        <v>7972771.7003495721</v>
      </c>
      <c r="AI1024">
        <f t="shared" si="321"/>
        <v>46533848557.68</v>
      </c>
    </row>
    <row r="1025" spans="2:35" x14ac:dyDescent="0.25">
      <c r="B1025" s="4">
        <v>2024</v>
      </c>
      <c r="C1025" s="4" t="s">
        <v>28</v>
      </c>
      <c r="D1025" s="1" t="s">
        <v>607</v>
      </c>
      <c r="E1025" s="4" t="str">
        <f t="shared" si="332"/>
        <v>Nicor-IL</v>
      </c>
      <c r="F1025" s="4" t="s">
        <v>146</v>
      </c>
      <c r="G1025" s="4"/>
      <c r="H1025" s="11" t="s">
        <v>616</v>
      </c>
      <c r="I1025" s="4"/>
      <c r="J1025" s="4" t="s">
        <v>42</v>
      </c>
      <c r="K1025" s="5">
        <v>44462.2555892374</v>
      </c>
      <c r="L1025" s="5">
        <v>49924.761275915138</v>
      </c>
      <c r="M1025" s="8">
        <v>73559.890050011527</v>
      </c>
      <c r="N1025" s="8">
        <v>31927.554600081203</v>
      </c>
      <c r="O1025" s="8">
        <f>SUMIFS(EIAwtransport!$J$2:$J$675,EIAwtransport!$E$2:$E$675,Program_data!$E1025,EIAwtransport!$H$2:$H$675,Program_data!$F1025,EIAwtransport!$I$2:$I$675,Program_data!O$2)</f>
        <v>487529189</v>
      </c>
      <c r="P1025" s="5">
        <f>SUMIFS(EIAwtransport!$J$2:$J$675,EIAwtransport!$E$2:$E$675,Program_data!$E1025,EIAwtransport!$H$2:$H$675,Program_data!$F1025,EIAwtransport!$I$2:$I$675,Program_data!P$2)</f>
        <v>226957000</v>
      </c>
      <c r="Q1025" s="5">
        <f>SUMIFS(EIAwtransport!$J$2:$J$675,EIAwtransport!$E$2:$E$675,Program_data!$E1025,EIAwtransport!$H$2:$H$675,Program_data!$F1025,EIAwtransport!$I$2:$I$675,Program_data!Q$2)</f>
        <v>170351</v>
      </c>
      <c r="R1025" s="8">
        <f>SUMIFS(EIAwtransport!$J$2:$J$675,EIAwtransport!$E$2:$E$675,Program_data!$E1025,EIAwtransport!$I$2:$I$675,Program_data!R$2)</f>
        <v>2196912418</v>
      </c>
      <c r="S1025" s="5">
        <f>SUMIFS(EIAwtransport!$J$2:$J$675,EIAwtransport!$E$2:$E$675,Program_data!$E1025,EIAwtransport!$I$2:$I$675,Program_data!S$2)</f>
        <v>441162766</v>
      </c>
      <c r="T1025" s="5">
        <f>SUMIFS(EIAwtransport!$J$2:$J$675,EIAwtransport!$E$2:$E$675,Program_data!$E1025,EIAwtransport!$I$2:$I$675,Program_data!T$2)</f>
        <v>2252419</v>
      </c>
      <c r="U1025" s="24">
        <f t="shared" si="326"/>
        <v>9.7282088227605622E-6</v>
      </c>
      <c r="V1025" s="24">
        <f t="shared" si="317"/>
        <v>1.0923388763842572E-5</v>
      </c>
      <c r="W1025" s="24">
        <f t="shared" si="327"/>
        <v>3.3483305682699061E-5</v>
      </c>
      <c r="X1025" s="25">
        <f t="shared" si="328"/>
        <v>1.6094684399210724E-5</v>
      </c>
      <c r="Y1025" s="8">
        <f t="shared" si="322"/>
        <v>1.0155997521746724E-2</v>
      </c>
      <c r="Z1025" s="27">
        <f t="shared" si="323"/>
        <v>5.2318556223336799E-3</v>
      </c>
      <c r="AA1025" s="27"/>
      <c r="AB1025" s="40"/>
      <c r="AC1025" s="56">
        <f t="shared" si="324"/>
        <v>9.7283072792835187E-4</v>
      </c>
      <c r="AE1025" s="20">
        <f t="shared" si="330"/>
        <v>43102.198710109624</v>
      </c>
      <c r="AF1025" s="20">
        <f t="shared" si="331"/>
        <v>2965831764.3000002</v>
      </c>
      <c r="AG1025">
        <f t="shared" si="319"/>
        <v>4689878.7195527609</v>
      </c>
      <c r="AH1025">
        <f t="shared" si="320"/>
        <v>5266063.819383529</v>
      </c>
      <c r="AI1025">
        <f t="shared" si="321"/>
        <v>46533848557.68</v>
      </c>
    </row>
    <row r="1026" spans="2:35" x14ac:dyDescent="0.25">
      <c r="B1026" s="4">
        <v>2024</v>
      </c>
      <c r="C1026" s="4" t="s">
        <v>28</v>
      </c>
      <c r="D1026" s="1" t="s">
        <v>607</v>
      </c>
      <c r="E1026" s="4" t="str">
        <f t="shared" si="325"/>
        <v>Nicor-IL</v>
      </c>
      <c r="F1026" s="4" t="s">
        <v>146</v>
      </c>
      <c r="G1026" s="4"/>
      <c r="H1026" s="11" t="s">
        <v>616</v>
      </c>
      <c r="I1026" s="4"/>
      <c r="J1026" s="4" t="s">
        <v>27</v>
      </c>
      <c r="K1026" s="5">
        <v>248343.64547438512</v>
      </c>
      <c r="L1026" s="5">
        <v>278854.43620409531</v>
      </c>
      <c r="M1026" s="8">
        <v>638222.48533936846</v>
      </c>
      <c r="N1026" s="8">
        <v>277010.78989947477</v>
      </c>
      <c r="O1026" s="8">
        <f>SUMIFS(EIAwtransport!$J$2:$J$675,EIAwtransport!$E$2:$E$675,Program_data!$E1026,EIAwtransport!$H$2:$H$675,Program_data!$F1026,EIAwtransport!$I$2:$I$675,Program_data!O$2)</f>
        <v>487529189</v>
      </c>
      <c r="P1026" s="5">
        <f>SUMIFS(EIAwtransport!$J$2:$J$675,EIAwtransport!$E$2:$E$675,Program_data!$E1026,EIAwtransport!$H$2:$H$675,Program_data!$F1026,EIAwtransport!$I$2:$I$675,Program_data!P$2)</f>
        <v>226957000</v>
      </c>
      <c r="Q1026" s="5">
        <f>SUMIFS(EIAwtransport!$J$2:$J$675,EIAwtransport!$E$2:$E$675,Program_data!$E1026,EIAwtransport!$H$2:$H$675,Program_data!$F1026,EIAwtransport!$I$2:$I$675,Program_data!Q$2)</f>
        <v>170351</v>
      </c>
      <c r="R1026" s="8">
        <f>SUMIFS(EIAwtransport!$J$2:$J$675,EIAwtransport!$E$2:$E$675,Program_data!$E1026,EIAwtransport!$I$2:$I$675,Program_data!R$2)</f>
        <v>2196912418</v>
      </c>
      <c r="S1026" s="5">
        <f>SUMIFS(EIAwtransport!$J$2:$J$675,EIAwtransport!$E$2:$E$675,Program_data!$E1026,EIAwtransport!$I$2:$I$675,Program_data!S$2)</f>
        <v>441162766</v>
      </c>
      <c r="T1026" s="5">
        <f>SUMIFS(EIAwtransport!$J$2:$J$675,EIAwtransport!$E$2:$E$675,Program_data!$E1026,EIAwtransport!$I$2:$I$675,Program_data!T$2)</f>
        <v>2252419</v>
      </c>
      <c r="U1026" s="24">
        <f t="shared" si="326"/>
        <v>5.4336848433871176E-5</v>
      </c>
      <c r="V1026" s="24">
        <f t="shared" si="317"/>
        <v>6.101251838431821E-5</v>
      </c>
      <c r="W1026" s="24">
        <f t="shared" si="327"/>
        <v>2.9050884327941763E-4</v>
      </c>
      <c r="X1026" s="25">
        <f t="shared" si="328"/>
        <v>1.3964117498045959E-4</v>
      </c>
      <c r="Y1026" s="8">
        <f t="shared" si="322"/>
        <v>8.8115764923287099E-2</v>
      </c>
      <c r="Z1026" s="27">
        <f t="shared" si="323"/>
        <v>4.5392779896114406E-2</v>
      </c>
      <c r="AA1026" s="27"/>
      <c r="AB1026" s="40"/>
      <c r="AC1026" s="56">
        <f t="shared" si="324"/>
        <v>5.4337398362153217E-3</v>
      </c>
      <c r="AE1026" s="20">
        <f t="shared" si="330"/>
        <v>373964.56636429095</v>
      </c>
      <c r="AF1026" s="20">
        <f t="shared" si="331"/>
        <v>2965831764.3000002</v>
      </c>
      <c r="AG1026">
        <f t="shared" ref="AG1026:AG1089" si="333">K1026*105.48</f>
        <v>26195287.724638142</v>
      </c>
      <c r="AH1026">
        <f t="shared" ref="AH1026:AH1089" si="334">L1026*105.48</f>
        <v>29413565.930807974</v>
      </c>
      <c r="AI1026">
        <f t="shared" ref="AI1026:AI1089" si="335">S1026*105.48</f>
        <v>46533848557.68</v>
      </c>
    </row>
    <row r="1027" spans="2:35" x14ac:dyDescent="0.25">
      <c r="B1027" s="4">
        <v>2024</v>
      </c>
      <c r="C1027" s="4" t="s">
        <v>28</v>
      </c>
      <c r="D1027" s="1" t="s">
        <v>607</v>
      </c>
      <c r="E1027" s="4" t="str">
        <f t="shared" si="325"/>
        <v>Nicor-IL</v>
      </c>
      <c r="F1027" s="4" t="s">
        <v>146</v>
      </c>
      <c r="G1027" s="4"/>
      <c r="H1027" s="11" t="s">
        <v>245</v>
      </c>
      <c r="I1027" s="4"/>
      <c r="J1027" s="4" t="s">
        <v>21</v>
      </c>
      <c r="K1027" s="5">
        <v>0</v>
      </c>
      <c r="L1027" s="5">
        <v>0</v>
      </c>
      <c r="M1027" s="8">
        <v>19358.591575583319</v>
      </c>
      <c r="N1027" s="8">
        <v>3728.4573907432768</v>
      </c>
      <c r="O1027" s="8">
        <f>SUMIFS(EIAwtransport!$J$2:$J$675,EIAwtransport!$E$2:$E$675,Program_data!$E1027,EIAwtransport!$H$2:$H$675,Program_data!$F1027,EIAwtransport!$I$2:$I$675,Program_data!O$2)</f>
        <v>487529189</v>
      </c>
      <c r="P1027" s="5">
        <f>SUMIFS(EIAwtransport!$J$2:$J$675,EIAwtransport!$E$2:$E$675,Program_data!$E1027,EIAwtransport!$H$2:$H$675,Program_data!$F1027,EIAwtransport!$I$2:$I$675,Program_data!P$2)</f>
        <v>226957000</v>
      </c>
      <c r="Q1027" s="5">
        <f>SUMIFS(EIAwtransport!$J$2:$J$675,EIAwtransport!$E$2:$E$675,Program_data!$E1027,EIAwtransport!$H$2:$H$675,Program_data!$F1027,EIAwtransport!$I$2:$I$675,Program_data!Q$2)</f>
        <v>170351</v>
      </c>
      <c r="R1027" s="8">
        <f>SUMIFS(EIAwtransport!$J$2:$J$675,EIAwtransport!$E$2:$E$675,Program_data!$E1027,EIAwtransport!$I$2:$I$675,Program_data!R$2)</f>
        <v>2196912418</v>
      </c>
      <c r="S1027" s="5">
        <f>SUMIFS(EIAwtransport!$J$2:$J$675,EIAwtransport!$E$2:$E$675,Program_data!$E1027,EIAwtransport!$I$2:$I$675,Program_data!S$2)</f>
        <v>441162766</v>
      </c>
      <c r="T1027" s="5">
        <f>SUMIFS(EIAwtransport!$J$2:$J$675,EIAwtransport!$E$2:$E$675,Program_data!$E1027,EIAwtransport!$I$2:$I$675,Program_data!T$2)</f>
        <v>2252419</v>
      </c>
      <c r="U1027" s="24">
        <f t="shared" si="326"/>
        <v>0</v>
      </c>
      <c r="V1027" s="24">
        <f t="shared" si="317"/>
        <v>0</v>
      </c>
      <c r="W1027" s="24">
        <f t="shared" si="327"/>
        <v>8.8117265927272478E-6</v>
      </c>
      <c r="X1027" s="25">
        <f t="shared" si="328"/>
        <v>4.235602059905256E-6</v>
      </c>
      <c r="Y1027" s="8">
        <f t="shared" si="322"/>
        <v>2.6727311301371422E-3</v>
      </c>
      <c r="Z1027" s="27">
        <f t="shared" si="323"/>
        <v>1.376855730838074E-3</v>
      </c>
      <c r="AA1027" s="27"/>
      <c r="AB1027" s="40"/>
      <c r="AC1027" s="56">
        <f t="shared" si="324"/>
        <v>0</v>
      </c>
      <c r="AE1027" s="20">
        <f t="shared" si="330"/>
        <v>5033.4174775034244</v>
      </c>
      <c r="AF1027" s="20">
        <f t="shared" si="331"/>
        <v>2965831764.3000002</v>
      </c>
      <c r="AG1027">
        <f t="shared" si="333"/>
        <v>0</v>
      </c>
      <c r="AH1027">
        <f t="shared" si="334"/>
        <v>0</v>
      </c>
      <c r="AI1027">
        <f t="shared" si="335"/>
        <v>46533848557.68</v>
      </c>
    </row>
    <row r="1028" spans="2:35" x14ac:dyDescent="0.25">
      <c r="B1028" s="4">
        <v>2024</v>
      </c>
      <c r="C1028" s="4" t="s">
        <v>28</v>
      </c>
      <c r="D1028" s="1" t="s">
        <v>607</v>
      </c>
      <c r="E1028" s="4" t="str">
        <f t="shared" si="325"/>
        <v>Nicor-IL</v>
      </c>
      <c r="F1028" s="4" t="s">
        <v>146</v>
      </c>
      <c r="G1028" s="4"/>
      <c r="H1028" s="11" t="s">
        <v>245</v>
      </c>
      <c r="I1028" s="4"/>
      <c r="J1028" s="4" t="s">
        <v>32</v>
      </c>
      <c r="K1028" s="5">
        <v>116000</v>
      </c>
      <c r="L1028" s="5">
        <v>215500</v>
      </c>
      <c r="M1028" s="8">
        <v>507641.40842441667</v>
      </c>
      <c r="N1028" s="8">
        <v>97771.542609256721</v>
      </c>
      <c r="O1028" s="8">
        <f>SUMIFS(EIAwtransport!$J$2:$J$675,EIAwtransport!$E$2:$E$675,Program_data!$E1028,EIAwtransport!$H$2:$H$675,Program_data!$F1028,EIAwtransport!$I$2:$I$675,Program_data!O$2)</f>
        <v>487529189</v>
      </c>
      <c r="P1028" s="5">
        <f>SUMIFS(EIAwtransport!$J$2:$J$675,EIAwtransport!$E$2:$E$675,Program_data!$E1028,EIAwtransport!$H$2:$H$675,Program_data!$F1028,EIAwtransport!$I$2:$I$675,Program_data!P$2)</f>
        <v>226957000</v>
      </c>
      <c r="Q1028" s="5">
        <f>SUMIFS(EIAwtransport!$J$2:$J$675,EIAwtransport!$E$2:$E$675,Program_data!$E1028,EIAwtransport!$H$2:$H$675,Program_data!$F1028,EIAwtransport!$I$2:$I$675,Program_data!Q$2)</f>
        <v>170351</v>
      </c>
      <c r="R1028" s="8">
        <f>SUMIFS(EIAwtransport!$J$2:$J$675,EIAwtransport!$E$2:$E$675,Program_data!$E1028,EIAwtransport!$I$2:$I$675,Program_data!R$2)</f>
        <v>2196912418</v>
      </c>
      <c r="S1028" s="5">
        <f>SUMIFS(EIAwtransport!$J$2:$J$675,EIAwtransport!$E$2:$E$675,Program_data!$E1028,EIAwtransport!$I$2:$I$675,Program_data!S$2)</f>
        <v>441162766</v>
      </c>
      <c r="T1028" s="5">
        <f>SUMIFS(EIAwtransport!$J$2:$J$675,EIAwtransport!$E$2:$E$675,Program_data!$E1028,EIAwtransport!$I$2:$I$675,Program_data!T$2)</f>
        <v>2252419</v>
      </c>
      <c r="U1028" s="24">
        <f t="shared" si="326"/>
        <v>2.5380453791313836E-5</v>
      </c>
      <c r="V1028" s="24">
        <f t="shared" si="317"/>
        <v>4.7150756827828714E-5</v>
      </c>
      <c r="W1028" s="24">
        <f t="shared" si="327"/>
        <v>2.3107038963645054E-4</v>
      </c>
      <c r="X1028" s="25">
        <f t="shared" si="328"/>
        <v>1.1107042507821879E-4</v>
      </c>
      <c r="Y1028" s="8">
        <f t="shared" ref="Y1028:Y1091" si="336">IFERROR(M1028/SUMIFS($K$3:$K$1492,$E$3:$E$1492,E1028,$B$3:$B$1492,B1028,$F$3:$F$1492,F1028,$A$3:$A$1492,""),"")</f>
        <v>7.0087174986113027E-2</v>
      </c>
      <c r="Z1028" s="27">
        <f t="shared" ref="Z1028:Z1091" si="337">IFERROR(M1028/SUMIFS($K$3:$K$1492,$E$3:$E$1492,E1028,$B$3:$B$1492,B1028,$A$3:$A$1492,""),"")</f>
        <v>3.6105363330328363E-2</v>
      </c>
      <c r="AA1028" s="27"/>
      <c r="AB1028" s="40"/>
      <c r="AC1028" s="56">
        <f t="shared" si="324"/>
        <v>2.5380710659898475E-3</v>
      </c>
      <c r="AE1028" s="20">
        <f t="shared" si="330"/>
        <v>131991.58252249658</v>
      </c>
      <c r="AF1028" s="20">
        <f t="shared" si="331"/>
        <v>2965831764.3000002</v>
      </c>
      <c r="AG1028">
        <f t="shared" si="333"/>
        <v>12235680</v>
      </c>
      <c r="AH1028">
        <f t="shared" si="334"/>
        <v>22730940</v>
      </c>
      <c r="AI1028">
        <f t="shared" si="335"/>
        <v>46533848557.68</v>
      </c>
    </row>
    <row r="1029" spans="2:35" x14ac:dyDescent="0.25">
      <c r="B1029" s="4">
        <v>2024</v>
      </c>
      <c r="C1029" s="4" t="s">
        <v>28</v>
      </c>
      <c r="D1029" s="1" t="s">
        <v>607</v>
      </c>
      <c r="E1029" s="4" t="str">
        <f t="shared" si="325"/>
        <v>Nicor-IL</v>
      </c>
      <c r="F1029" s="4" t="s">
        <v>146</v>
      </c>
      <c r="G1029" s="4"/>
      <c r="H1029" s="11" t="s">
        <v>61</v>
      </c>
      <c r="I1029" s="4"/>
      <c r="J1029" s="4" t="s">
        <v>61</v>
      </c>
      <c r="K1029" s="5">
        <v>1311113.3184883278</v>
      </c>
      <c r="L1029" s="5">
        <v>1629424.3664461006</v>
      </c>
      <c r="M1029" s="8">
        <v>3511074.7613875573</v>
      </c>
      <c r="N1029" s="8">
        <v>1855819.5569691856</v>
      </c>
      <c r="O1029" s="8">
        <f>SUMIFS(EIAwtransport!$J$2:$J$675,EIAwtransport!$E$2:$E$675,Program_data!$E1029,EIAwtransport!$H$2:$H$675,Program_data!$F1029,EIAwtransport!$I$2:$I$675,Program_data!O$2)</f>
        <v>487529189</v>
      </c>
      <c r="P1029" s="5">
        <f>SUMIFS(EIAwtransport!$J$2:$J$675,EIAwtransport!$E$2:$E$675,Program_data!$E1029,EIAwtransport!$H$2:$H$675,Program_data!$F1029,EIAwtransport!$I$2:$I$675,Program_data!P$2)</f>
        <v>226957000</v>
      </c>
      <c r="Q1029" s="5">
        <f>SUMIFS(EIAwtransport!$J$2:$J$675,EIAwtransport!$E$2:$E$675,Program_data!$E1029,EIAwtransport!$H$2:$H$675,Program_data!$F1029,EIAwtransport!$I$2:$I$675,Program_data!Q$2)</f>
        <v>170351</v>
      </c>
      <c r="R1029" s="8">
        <f>SUMIFS(EIAwtransport!$J$2:$J$675,EIAwtransport!$E$2:$E$675,Program_data!$E1029,EIAwtransport!$I$2:$I$675,Program_data!R$2)</f>
        <v>2196912418</v>
      </c>
      <c r="S1029" s="5">
        <f>SUMIFS(EIAwtransport!$J$2:$J$675,EIAwtransport!$E$2:$E$675,Program_data!$E1029,EIAwtransport!$I$2:$I$675,Program_data!S$2)</f>
        <v>441162766</v>
      </c>
      <c r="T1029" s="5">
        <f>SUMIFS(EIAwtransport!$J$2:$J$675,EIAwtransport!$E$2:$E$675,Program_data!$E1029,EIAwtransport!$I$2:$I$675,Program_data!T$2)</f>
        <v>2252419</v>
      </c>
      <c r="U1029" s="24">
        <f t="shared" si="326"/>
        <v>2.8686768099197532E-4</v>
      </c>
      <c r="V1029" s="24">
        <f t="shared" si="317"/>
        <v>3.5651318826746616E-4</v>
      </c>
      <c r="W1029" s="24">
        <f t="shared" si="327"/>
        <v>1.5981860417466844E-3</v>
      </c>
      <c r="X1029" s="25">
        <f t="shared" si="328"/>
        <v>7.6821267878659605E-4</v>
      </c>
      <c r="Y1029" s="8">
        <f t="shared" si="336"/>
        <v>0.484754212534524</v>
      </c>
      <c r="Z1029" s="27">
        <f t="shared" si="337"/>
        <v>0.24972082228929998</v>
      </c>
      <c r="AA1029" s="27"/>
      <c r="AB1029" s="40"/>
      <c r="AC1029" s="56">
        <f t="shared" si="324"/>
        <v>2.8687058430078932E-2</v>
      </c>
      <c r="AE1029" s="20">
        <f t="shared" si="330"/>
        <v>2505356.4019084009</v>
      </c>
      <c r="AF1029" s="20">
        <f t="shared" si="331"/>
        <v>2965831764.3000002</v>
      </c>
      <c r="AG1029">
        <f t="shared" si="333"/>
        <v>138296232.83414882</v>
      </c>
      <c r="AH1029">
        <f t="shared" si="334"/>
        <v>171871682.17273471</v>
      </c>
      <c r="AI1029">
        <f t="shared" si="335"/>
        <v>46533848557.68</v>
      </c>
    </row>
    <row r="1030" spans="2:35" x14ac:dyDescent="0.25">
      <c r="B1030" s="4">
        <v>2024</v>
      </c>
      <c r="C1030" s="4" t="s">
        <v>28</v>
      </c>
      <c r="D1030" s="1" t="s">
        <v>607</v>
      </c>
      <c r="E1030" s="4" t="str">
        <f t="shared" si="325"/>
        <v>Nicor-IL</v>
      </c>
      <c r="F1030" s="4" t="s">
        <v>146</v>
      </c>
      <c r="G1030" s="4"/>
      <c r="H1030" s="11" t="s">
        <v>61</v>
      </c>
      <c r="I1030" s="4"/>
      <c r="J1030" s="4" t="s">
        <v>61</v>
      </c>
      <c r="K1030" s="5">
        <v>246886.68151167207</v>
      </c>
      <c r="L1030" s="5">
        <v>306825.63355389924</v>
      </c>
      <c r="M1030" s="8">
        <v>882925.23861244333</v>
      </c>
      <c r="N1030" s="8">
        <v>466680.4430308147</v>
      </c>
      <c r="O1030" s="8">
        <f>SUMIFS(EIAwtransport!$J$2:$J$675,EIAwtransport!$E$2:$E$675,Program_data!$E1030,EIAwtransport!$H$2:$H$675,Program_data!$F1030,EIAwtransport!$I$2:$I$675,Program_data!O$2)</f>
        <v>487529189</v>
      </c>
      <c r="P1030" s="5">
        <f>SUMIFS(EIAwtransport!$J$2:$J$675,EIAwtransport!$E$2:$E$675,Program_data!$E1030,EIAwtransport!$H$2:$H$675,Program_data!$F1030,EIAwtransport!$I$2:$I$675,Program_data!P$2)</f>
        <v>226957000</v>
      </c>
      <c r="Q1030" s="5">
        <f>SUMIFS(EIAwtransport!$J$2:$J$675,EIAwtransport!$E$2:$E$675,Program_data!$E1030,EIAwtransport!$H$2:$H$675,Program_data!$F1030,EIAwtransport!$I$2:$I$675,Program_data!Q$2)</f>
        <v>170351</v>
      </c>
      <c r="R1030" s="8">
        <f>SUMIFS(EIAwtransport!$J$2:$J$675,EIAwtransport!$E$2:$E$675,Program_data!$E1030,EIAwtransport!$I$2:$I$675,Program_data!R$2)</f>
        <v>2196912418</v>
      </c>
      <c r="S1030" s="5">
        <f>SUMIFS(EIAwtransport!$J$2:$J$675,EIAwtransport!$E$2:$E$675,Program_data!$E1030,EIAwtransport!$I$2:$I$675,Program_data!S$2)</f>
        <v>441162766</v>
      </c>
      <c r="T1030" s="5">
        <f>SUMIFS(EIAwtransport!$J$2:$J$675,EIAwtransport!$E$2:$E$675,Program_data!$E1030,EIAwtransport!$I$2:$I$675,Program_data!T$2)</f>
        <v>2252419</v>
      </c>
      <c r="U1030" s="24">
        <f t="shared" si="326"/>
        <v>5.4018069067222485E-5</v>
      </c>
      <c r="V1030" s="24">
        <f t="shared" si="317"/>
        <v>6.7132532882804581E-5</v>
      </c>
      <c r="W1030" s="24">
        <f t="shared" si="327"/>
        <v>4.0189369015276025E-4</v>
      </c>
      <c r="X1030" s="25">
        <f t="shared" si="328"/>
        <v>1.931814070671367E-4</v>
      </c>
      <c r="Y1030" s="8">
        <f t="shared" si="336"/>
        <v>0.12190048855618436</v>
      </c>
      <c r="Z1030" s="27">
        <f t="shared" si="337"/>
        <v>6.2796958649533677E-2</v>
      </c>
      <c r="AA1030" s="27"/>
      <c r="AB1030" s="40"/>
      <c r="AC1030" s="56">
        <f t="shared" si="324"/>
        <v>5.4018615769226329E-3</v>
      </c>
      <c r="AE1030" s="20">
        <f t="shared" si="330"/>
        <v>630018.59809159988</v>
      </c>
      <c r="AF1030" s="20">
        <f t="shared" si="331"/>
        <v>2965831764.3000002</v>
      </c>
      <c r="AG1030">
        <f t="shared" si="333"/>
        <v>26041607.165851172</v>
      </c>
      <c r="AH1030">
        <f t="shared" si="334"/>
        <v>32363967.827265292</v>
      </c>
      <c r="AI1030">
        <f t="shared" si="335"/>
        <v>46533848557.68</v>
      </c>
    </row>
    <row r="1031" spans="2:35" x14ac:dyDescent="0.25">
      <c r="B1031" s="4">
        <v>2024</v>
      </c>
      <c r="C1031" s="4" t="s">
        <v>28</v>
      </c>
      <c r="D1031" s="1" t="s">
        <v>607</v>
      </c>
      <c r="E1031" s="4" t="str">
        <f t="shared" si="325"/>
        <v>Nicor-IL</v>
      </c>
      <c r="F1031" s="4" t="s">
        <v>146</v>
      </c>
      <c r="G1031" s="4"/>
      <c r="H1031" s="11" t="s">
        <v>617</v>
      </c>
      <c r="I1031" s="4"/>
      <c r="J1031" s="4" t="s">
        <v>61</v>
      </c>
      <c r="K1031" s="5">
        <v>963913.66238945711</v>
      </c>
      <c r="L1031" s="5">
        <v>1154733.6747403112</v>
      </c>
      <c r="M1031" s="8">
        <v>1012823.7029601355</v>
      </c>
      <c r="N1031" s="8">
        <v>480649.62066349457</v>
      </c>
      <c r="O1031" s="8">
        <f>SUMIFS(EIAwtransport!$J$2:$J$675,EIAwtransport!$E$2:$E$675,Program_data!$E1031,EIAwtransport!$H$2:$H$675,Program_data!$F1031,EIAwtransport!$I$2:$I$675,Program_data!O$2)</f>
        <v>487529189</v>
      </c>
      <c r="P1031" s="5">
        <f>SUMIFS(EIAwtransport!$J$2:$J$675,EIAwtransport!$E$2:$E$675,Program_data!$E1031,EIAwtransport!$H$2:$H$675,Program_data!$F1031,EIAwtransport!$I$2:$I$675,Program_data!P$2)</f>
        <v>226957000</v>
      </c>
      <c r="Q1031" s="5">
        <f>SUMIFS(EIAwtransport!$J$2:$J$675,EIAwtransport!$E$2:$E$675,Program_data!$E1031,EIAwtransport!$H$2:$H$675,Program_data!$F1031,EIAwtransport!$I$2:$I$675,Program_data!Q$2)</f>
        <v>170351</v>
      </c>
      <c r="R1031" s="8">
        <f>SUMIFS(EIAwtransport!$J$2:$J$675,EIAwtransport!$E$2:$E$675,Program_data!$E1031,EIAwtransport!$I$2:$I$675,Program_data!R$2)</f>
        <v>2196912418</v>
      </c>
      <c r="S1031" s="5">
        <f>SUMIFS(EIAwtransport!$J$2:$J$675,EIAwtransport!$E$2:$E$675,Program_data!$E1031,EIAwtransport!$I$2:$I$675,Program_data!S$2)</f>
        <v>441162766</v>
      </c>
      <c r="T1031" s="5">
        <f>SUMIFS(EIAwtransport!$J$2:$J$675,EIAwtransport!$E$2:$E$675,Program_data!$E1031,EIAwtransport!$I$2:$I$675,Program_data!T$2)</f>
        <v>2252419</v>
      </c>
      <c r="U1031" s="24">
        <f t="shared" si="326"/>
        <v>2.1090143247492845E-4</v>
      </c>
      <c r="V1031" s="24">
        <f t="shared" si="317"/>
        <v>2.5265228166396973E-4</v>
      </c>
      <c r="W1031" s="24">
        <f t="shared" si="327"/>
        <v>4.610214292849136E-4</v>
      </c>
      <c r="X1031" s="25">
        <f t="shared" si="328"/>
        <v>2.2160280337695767E-4</v>
      </c>
      <c r="Y1031" s="8">
        <f t="shared" si="336"/>
        <v>0.1398348340411619</v>
      </c>
      <c r="Z1031" s="27">
        <f t="shared" si="337"/>
        <v>7.2035825246097848E-2</v>
      </c>
      <c r="AA1031" s="27"/>
      <c r="AB1031" s="40"/>
      <c r="AC1031" s="56">
        <f t="shared" si="324"/>
        <v>2.1090356695025753E-2</v>
      </c>
      <c r="AE1031" s="20">
        <f t="shared" si="330"/>
        <v>648876.98789571773</v>
      </c>
      <c r="AF1031" s="20">
        <f t="shared" si="331"/>
        <v>2965831764.3000002</v>
      </c>
      <c r="AG1031">
        <f t="shared" si="333"/>
        <v>101673613.10883994</v>
      </c>
      <c r="AH1031">
        <f t="shared" si="334"/>
        <v>121801308.01160803</v>
      </c>
      <c r="AI1031">
        <f t="shared" si="335"/>
        <v>46533848557.68</v>
      </c>
    </row>
    <row r="1032" spans="2:35" x14ac:dyDescent="0.25">
      <c r="B1032" s="4">
        <v>2024</v>
      </c>
      <c r="C1032" s="4" t="s">
        <v>28</v>
      </c>
      <c r="D1032" s="1" t="s">
        <v>607</v>
      </c>
      <c r="E1032" s="4" t="str">
        <f t="shared" si="325"/>
        <v>Nicor-IL</v>
      </c>
      <c r="F1032" s="4" t="s">
        <v>146</v>
      </c>
      <c r="G1032" s="4"/>
      <c r="H1032" s="11" t="s">
        <v>617</v>
      </c>
      <c r="I1032" s="4"/>
      <c r="J1032" s="4" t="s">
        <v>21</v>
      </c>
      <c r="K1032" s="5">
        <v>38469.114529519786</v>
      </c>
      <c r="L1032">
        <v>46084.606659232413</v>
      </c>
      <c r="M1032" s="8">
        <v>330597.12993713294</v>
      </c>
      <c r="N1032" s="8">
        <v>156889.48099487487</v>
      </c>
      <c r="O1032" s="8">
        <f>SUMIFS(EIAwtransport!$J$2:$J$675,EIAwtransport!$E$2:$E$675,Program_data!$E1032,EIAwtransport!$H$2:$H$675,Program_data!$F1032,EIAwtransport!$I$2:$I$675,Program_data!O$2)</f>
        <v>487529189</v>
      </c>
      <c r="P1032" s="5">
        <f>SUMIFS(EIAwtransport!$J$2:$J$675,EIAwtransport!$E$2:$E$675,Program_data!$E1032,EIAwtransport!$H$2:$H$675,Program_data!$F1032,EIAwtransport!$I$2:$I$675,Program_data!P$2)</f>
        <v>226957000</v>
      </c>
      <c r="Q1032" s="5">
        <f>SUMIFS(EIAwtransport!$J$2:$J$675,EIAwtransport!$E$2:$E$675,Program_data!$E1032,EIAwtransport!$H$2:$H$675,Program_data!$F1032,EIAwtransport!$I$2:$I$675,Program_data!Q$2)</f>
        <v>170351</v>
      </c>
      <c r="R1032" s="8">
        <f>SUMIFS(EIAwtransport!$J$2:$J$675,EIAwtransport!$E$2:$E$675,Program_data!$E1032,EIAwtransport!$I$2:$I$675,Program_data!R$2)</f>
        <v>2196912418</v>
      </c>
      <c r="S1032" s="5">
        <f>SUMIFS(EIAwtransport!$J$2:$J$675,EIAwtransport!$E$2:$E$675,Program_data!$E1032,EIAwtransport!$I$2:$I$675,Program_data!S$2)</f>
        <v>441162766</v>
      </c>
      <c r="T1032" s="5">
        <f>SUMIFS(EIAwtransport!$J$2:$J$675,EIAwtransport!$E$2:$E$675,Program_data!$E1032,EIAwtransport!$I$2:$I$675,Program_data!T$2)</f>
        <v>2252419</v>
      </c>
      <c r="U1032" s="24">
        <f t="shared" si="326"/>
        <v>8.4169274457692806E-6</v>
      </c>
      <c r="V1032" s="24">
        <f t="shared" si="317"/>
        <v>1.008317439487519E-5</v>
      </c>
      <c r="W1032" s="24">
        <f t="shared" si="327"/>
        <v>1.5048261698028827E-4</v>
      </c>
      <c r="X1032" s="25">
        <f t="shared" si="328"/>
        <v>7.2333665344054984E-5</v>
      </c>
      <c r="Y1032" s="8">
        <f t="shared" si="336"/>
        <v>4.564367388335399E-2</v>
      </c>
      <c r="Z1032" s="27">
        <f t="shared" si="337"/>
        <v>2.3513309383864367E-2</v>
      </c>
      <c r="AA1032" s="27"/>
      <c r="AB1032" s="40"/>
      <c r="AC1032" s="56">
        <f t="shared" si="324"/>
        <v>8.417012631174466E-4</v>
      </c>
      <c r="AE1032" s="20">
        <f t="shared" si="330"/>
        <v>211800.7993430811</v>
      </c>
      <c r="AF1032" s="20">
        <f t="shared" si="331"/>
        <v>2965831764.3000002</v>
      </c>
      <c r="AG1032">
        <f t="shared" si="333"/>
        <v>4057722.200573747</v>
      </c>
      <c r="AH1032">
        <f t="shared" si="334"/>
        <v>4861004.3104158351</v>
      </c>
      <c r="AI1032">
        <f t="shared" si="335"/>
        <v>46533848557.68</v>
      </c>
    </row>
    <row r="1033" spans="2:35" x14ac:dyDescent="0.25">
      <c r="B1033" s="4">
        <v>2024</v>
      </c>
      <c r="C1033" s="4" t="s">
        <v>28</v>
      </c>
      <c r="D1033" s="1" t="s">
        <v>607</v>
      </c>
      <c r="E1033" s="4" t="str">
        <f t="shared" si="325"/>
        <v>Nicor-IL</v>
      </c>
      <c r="F1033" s="4" t="s">
        <v>146</v>
      </c>
      <c r="G1033" s="4"/>
      <c r="H1033" s="11" t="s">
        <v>617</v>
      </c>
      <c r="I1033" s="4"/>
      <c r="J1033" s="4" t="s">
        <v>55</v>
      </c>
      <c r="K1033" s="5">
        <v>27126.746508109372</v>
      </c>
      <c r="L1033" s="5">
        <v>32496.860353040527</v>
      </c>
      <c r="M1033" s="8">
        <v>111751.48656258722</v>
      </c>
      <c r="N1033" s="8">
        <v>53033.227271344083</v>
      </c>
      <c r="O1033" s="8">
        <f>SUMIFS(EIAwtransport!$J$2:$J$675,EIAwtransport!$E$2:$E$675,Program_data!$E1033,EIAwtransport!$H$2:$H$675,Program_data!$F1033,EIAwtransport!$I$2:$I$675,Program_data!O$2)</f>
        <v>487529189</v>
      </c>
      <c r="P1033" s="5">
        <f>SUMIFS(EIAwtransport!$J$2:$J$675,EIAwtransport!$E$2:$E$675,Program_data!$E1033,EIAwtransport!$H$2:$H$675,Program_data!$F1033,EIAwtransport!$I$2:$I$675,Program_data!P$2)</f>
        <v>226957000</v>
      </c>
      <c r="Q1033" s="5">
        <f>SUMIFS(EIAwtransport!$J$2:$J$675,EIAwtransport!$E$2:$E$675,Program_data!$E1033,EIAwtransport!$H$2:$H$675,Program_data!$F1033,EIAwtransport!$I$2:$I$675,Program_data!Q$2)</f>
        <v>170351</v>
      </c>
      <c r="R1033" s="8">
        <f>SUMIFS(EIAwtransport!$J$2:$J$675,EIAwtransport!$E$2:$E$675,Program_data!$E1033,EIAwtransport!$I$2:$I$675,Program_data!R$2)</f>
        <v>2196912418</v>
      </c>
      <c r="S1033" s="5">
        <f>SUMIFS(EIAwtransport!$J$2:$J$675,EIAwtransport!$E$2:$E$675,Program_data!$E1033,EIAwtransport!$I$2:$I$675,Program_data!S$2)</f>
        <v>441162766</v>
      </c>
      <c r="T1033" s="5">
        <f>SUMIFS(EIAwtransport!$J$2:$J$675,EIAwtransport!$E$2:$E$675,Program_data!$E1033,EIAwtransport!$I$2:$I$675,Program_data!T$2)</f>
        <v>2252419</v>
      </c>
      <c r="U1033" s="24">
        <f t="shared" si="326"/>
        <v>5.9352511746358082E-6</v>
      </c>
      <c r="V1033" s="24">
        <f t="shared" si="317"/>
        <v>7.1102160564924454E-6</v>
      </c>
      <c r="W1033" s="24">
        <f t="shared" si="327"/>
        <v>5.0867520091821531E-5</v>
      </c>
      <c r="X1033" s="25">
        <f t="shared" si="328"/>
        <v>2.4450891731141153E-5</v>
      </c>
      <c r="Y1033" s="8">
        <f t="shared" si="336"/>
        <v>1.5428895010712028E-2</v>
      </c>
      <c r="Z1033" s="27">
        <f t="shared" si="337"/>
        <v>7.9481853885197181E-3</v>
      </c>
      <c r="AA1033" s="27"/>
      <c r="AB1033" s="40"/>
      <c r="AC1033" s="56">
        <f t="shared" si="324"/>
        <v>5.9353112436787516E-4</v>
      </c>
      <c r="AE1033" s="20">
        <f t="shared" si="330"/>
        <v>71594.85681631451</v>
      </c>
      <c r="AF1033" s="20">
        <f t="shared" si="331"/>
        <v>2965831764.3000002</v>
      </c>
      <c r="AG1033">
        <f t="shared" si="333"/>
        <v>2861329.2216753769</v>
      </c>
      <c r="AH1033">
        <f t="shared" si="334"/>
        <v>3427768.8300387152</v>
      </c>
      <c r="AI1033">
        <f t="shared" si="335"/>
        <v>46533848557.68</v>
      </c>
    </row>
    <row r="1034" spans="2:35" x14ac:dyDescent="0.25">
      <c r="B1034" s="4">
        <v>2024</v>
      </c>
      <c r="C1034" s="4" t="s">
        <v>28</v>
      </c>
      <c r="D1034" s="1" t="s">
        <v>607</v>
      </c>
      <c r="E1034" s="4" t="str">
        <f t="shared" si="325"/>
        <v>Nicor-IL</v>
      </c>
      <c r="F1034" s="4" t="s">
        <v>146</v>
      </c>
      <c r="G1034" s="4"/>
      <c r="H1034" s="11" t="s">
        <v>617</v>
      </c>
      <c r="I1034" s="4"/>
      <c r="J1034" s="52" t="s">
        <v>48</v>
      </c>
      <c r="K1034" s="5">
        <v>13309.259879060843</v>
      </c>
      <c r="L1034" s="5">
        <v>15944.011551951848</v>
      </c>
      <c r="M1034" s="8">
        <v>68763.484229617679</v>
      </c>
      <c r="N1034" s="8">
        <v>32632.670931642693</v>
      </c>
      <c r="O1034" s="8">
        <f>SUMIFS(EIAwtransport!$J$2:$J$675,EIAwtransport!$E$2:$E$675,Program_data!$E1034,EIAwtransport!$H$2:$H$675,Program_data!$F1034,EIAwtransport!$I$2:$I$675,Program_data!O$2)</f>
        <v>487529189</v>
      </c>
      <c r="P1034" s="5">
        <f>SUMIFS(EIAwtransport!$J$2:$J$675,EIAwtransport!$E$2:$E$675,Program_data!$E1034,EIAwtransport!$H$2:$H$675,Program_data!$F1034,EIAwtransport!$I$2:$I$675,Program_data!P$2)</f>
        <v>226957000</v>
      </c>
      <c r="Q1034" s="5">
        <f>SUMIFS(EIAwtransport!$J$2:$J$675,EIAwtransport!$E$2:$E$675,Program_data!$E1034,EIAwtransport!$H$2:$H$675,Program_data!$F1034,EIAwtransport!$I$2:$I$675,Program_data!Q$2)</f>
        <v>170351</v>
      </c>
      <c r="R1034" s="8">
        <f>SUMIFS(EIAwtransport!$J$2:$J$675,EIAwtransport!$E$2:$E$675,Program_data!$E1034,EIAwtransport!$I$2:$I$675,Program_data!R$2)</f>
        <v>2196912418</v>
      </c>
      <c r="S1034" s="5">
        <f>SUMIFS(EIAwtransport!$J$2:$J$675,EIAwtransport!$E$2:$E$675,Program_data!$E1034,EIAwtransport!$I$2:$I$675,Program_data!S$2)</f>
        <v>441162766</v>
      </c>
      <c r="T1034" s="5">
        <f>SUMIFS(EIAwtransport!$J$2:$J$675,EIAwtransport!$E$2:$E$675,Program_data!$E1034,EIAwtransport!$I$2:$I$675,Program_data!T$2)</f>
        <v>2252419</v>
      </c>
      <c r="U1034" s="24">
        <f t="shared" si="326"/>
        <v>2.9120263392852661E-6</v>
      </c>
      <c r="V1034" s="24">
        <f t="shared" ref="V1034:V1044" si="338">IFERROR(L1034/10.36/S1034,"")</f>
        <v>3.4885021417455844E-6</v>
      </c>
      <c r="W1034" s="24">
        <f t="shared" si="327"/>
        <v>3.1300057146664864E-5</v>
      </c>
      <c r="X1034" s="25">
        <f t="shared" si="328"/>
        <v>1.504524512085818E-5</v>
      </c>
      <c r="Y1034" s="8">
        <f t="shared" si="336"/>
        <v>9.4937849274634376E-3</v>
      </c>
      <c r="Z1034" s="27">
        <f t="shared" si="337"/>
        <v>4.8907172282800634E-3</v>
      </c>
      <c r="AA1034" s="27"/>
      <c r="AB1034" s="40"/>
      <c r="AC1034" s="56">
        <f t="shared" si="324"/>
        <v>2.9120558111020569E-4</v>
      </c>
      <c r="AE1034" s="20">
        <f t="shared" si="330"/>
        <v>44054.10575771764</v>
      </c>
      <c r="AF1034" s="20">
        <f t="shared" si="331"/>
        <v>2965831764.3000002</v>
      </c>
      <c r="AG1034">
        <f t="shared" si="333"/>
        <v>1403860.7320433378</v>
      </c>
      <c r="AH1034">
        <f t="shared" si="334"/>
        <v>1681774.3384998809</v>
      </c>
      <c r="AI1034">
        <f t="shared" si="335"/>
        <v>46533848557.68</v>
      </c>
    </row>
    <row r="1035" spans="2:35" x14ac:dyDescent="0.25">
      <c r="B1035" s="4">
        <v>2024</v>
      </c>
      <c r="C1035" s="4" t="s">
        <v>28</v>
      </c>
      <c r="D1035" s="1" t="s">
        <v>607</v>
      </c>
      <c r="E1035" s="4" t="str">
        <f t="shared" si="325"/>
        <v>Nicor-IL</v>
      </c>
      <c r="F1035" s="4" t="s">
        <v>146</v>
      </c>
      <c r="G1035" s="4"/>
      <c r="H1035" s="11" t="s">
        <v>617</v>
      </c>
      <c r="I1035" s="4"/>
      <c r="J1035" s="4" t="s">
        <v>42</v>
      </c>
      <c r="K1035" s="5">
        <v>8298.9669679666767</v>
      </c>
      <c r="L1035" s="5">
        <v>9941.862012530215</v>
      </c>
      <c r="M1035" s="8">
        <v>37737.876241920771</v>
      </c>
      <c r="N1035" s="8">
        <v>17909.035745620829</v>
      </c>
      <c r="O1035" s="8">
        <f>SUMIFS(EIAwtransport!$J$2:$J$675,EIAwtransport!$E$2:$E$675,Program_data!$E1035,EIAwtransport!$H$2:$H$675,Program_data!$F1035,EIAwtransport!$I$2:$I$675,Program_data!O$2)</f>
        <v>487529189</v>
      </c>
      <c r="P1035" s="5">
        <f>SUMIFS(EIAwtransport!$J$2:$J$675,EIAwtransport!$E$2:$E$675,Program_data!$E1035,EIAwtransport!$H$2:$H$675,Program_data!$F1035,EIAwtransport!$I$2:$I$675,Program_data!P$2)</f>
        <v>226957000</v>
      </c>
      <c r="Q1035" s="5">
        <f>SUMIFS(EIAwtransport!$J$2:$J$675,EIAwtransport!$E$2:$E$675,Program_data!$E1035,EIAwtransport!$H$2:$H$675,Program_data!$F1035,EIAwtransport!$I$2:$I$675,Program_data!Q$2)</f>
        <v>170351</v>
      </c>
      <c r="R1035" s="8">
        <f>SUMIFS(EIAwtransport!$J$2:$J$675,EIAwtransport!$E$2:$E$675,Program_data!$E1035,EIAwtransport!$I$2:$I$675,Program_data!R$2)</f>
        <v>2196912418</v>
      </c>
      <c r="S1035" s="5">
        <f>SUMIFS(EIAwtransport!$J$2:$J$675,EIAwtransport!$E$2:$E$675,Program_data!$E1035,EIAwtransport!$I$2:$I$675,Program_data!S$2)</f>
        <v>441162766</v>
      </c>
      <c r="T1035" s="5">
        <f>SUMIFS(EIAwtransport!$J$2:$J$675,EIAwtransport!$E$2:$E$675,Program_data!$E1035,EIAwtransport!$I$2:$I$675,Program_data!T$2)</f>
        <v>2252419</v>
      </c>
      <c r="U1035" s="24">
        <f t="shared" si="326"/>
        <v>1.8157892038458458E-6</v>
      </c>
      <c r="V1035" s="24">
        <f t="shared" si="338"/>
        <v>2.1752497362813919E-6</v>
      </c>
      <c r="W1035" s="24">
        <f t="shared" si="327"/>
        <v>1.7177688073826877E-5</v>
      </c>
      <c r="X1035" s="25">
        <f t="shared" si="328"/>
        <v>8.2569346908654338E-6</v>
      </c>
      <c r="Y1035" s="8">
        <f t="shared" si="336"/>
        <v>5.2102549001685448E-3</v>
      </c>
      <c r="Z1035" s="27">
        <f t="shared" si="337"/>
        <v>2.6840594766657736E-3</v>
      </c>
      <c r="AA1035" s="27"/>
      <c r="AB1035" s="40"/>
      <c r="AC1035" s="56">
        <f t="shared" ref="AC1035:AC1098" si="339">IFERROR(K1035/SUMIFS($M$3:$M$1234,$E$3:$E$1234,E1035,$B$3:$B$1234,B1035),"")</f>
        <v>1.8158075809484236E-4</v>
      </c>
      <c r="AE1035" s="20">
        <f t="shared" si="330"/>
        <v>24177.198256588123</v>
      </c>
      <c r="AF1035" s="20">
        <f t="shared" si="331"/>
        <v>2965831764.3000002</v>
      </c>
      <c r="AG1035">
        <f t="shared" si="333"/>
        <v>875375.03578112507</v>
      </c>
      <c r="AH1035">
        <f t="shared" si="334"/>
        <v>1048667.6050816872</v>
      </c>
      <c r="AI1035">
        <f t="shared" si="335"/>
        <v>46533848557.68</v>
      </c>
    </row>
    <row r="1036" spans="2:35" x14ac:dyDescent="0.25">
      <c r="B1036" s="4">
        <v>2024</v>
      </c>
      <c r="C1036" s="4" t="s">
        <v>28</v>
      </c>
      <c r="D1036" s="1" t="s">
        <v>607</v>
      </c>
      <c r="E1036" s="4" t="str">
        <f t="shared" si="325"/>
        <v>Nicor-IL</v>
      </c>
      <c r="F1036" s="4" t="s">
        <v>146</v>
      </c>
      <c r="G1036" s="4"/>
      <c r="H1036" s="11" t="s">
        <v>617</v>
      </c>
      <c r="I1036" s="4"/>
      <c r="J1036" s="4" t="s">
        <v>75</v>
      </c>
      <c r="K1036" s="5">
        <v>0</v>
      </c>
      <c r="L1036" s="5">
        <v>0</v>
      </c>
      <c r="M1036" s="8">
        <v>47839.991604994866</v>
      </c>
      <c r="N1036" s="8">
        <v>22703.135550916893</v>
      </c>
      <c r="O1036" s="8">
        <f>SUMIFS(EIAwtransport!$J$2:$J$675,EIAwtransport!$E$2:$E$675,Program_data!$E1036,EIAwtransport!$H$2:$H$675,Program_data!$F1036,EIAwtransport!$I$2:$I$675,Program_data!O$2)</f>
        <v>487529189</v>
      </c>
      <c r="P1036" s="5">
        <f>SUMIFS(EIAwtransport!$J$2:$J$675,EIAwtransport!$E$2:$E$675,Program_data!$E1036,EIAwtransport!$H$2:$H$675,Program_data!$F1036,EIAwtransport!$I$2:$I$675,Program_data!P$2)</f>
        <v>226957000</v>
      </c>
      <c r="Q1036" s="5">
        <f>SUMIFS(EIAwtransport!$J$2:$J$675,EIAwtransport!$E$2:$E$675,Program_data!$E1036,EIAwtransport!$H$2:$H$675,Program_data!$F1036,EIAwtransport!$I$2:$I$675,Program_data!Q$2)</f>
        <v>170351</v>
      </c>
      <c r="R1036" s="8">
        <f>SUMIFS(EIAwtransport!$J$2:$J$675,EIAwtransport!$E$2:$E$675,Program_data!$E1036,EIAwtransport!$I$2:$I$675,Program_data!R$2)</f>
        <v>2196912418</v>
      </c>
      <c r="S1036" s="5">
        <f>SUMIFS(EIAwtransport!$J$2:$J$675,EIAwtransport!$E$2:$E$675,Program_data!$E1036,EIAwtransport!$I$2:$I$675,Program_data!S$2)</f>
        <v>441162766</v>
      </c>
      <c r="T1036" s="5">
        <f>SUMIFS(EIAwtransport!$J$2:$J$675,EIAwtransport!$E$2:$E$675,Program_data!$E1036,EIAwtransport!$I$2:$I$675,Program_data!T$2)</f>
        <v>2252419</v>
      </c>
      <c r="U1036" s="24">
        <f t="shared" si="326"/>
        <v>0</v>
      </c>
      <c r="V1036" s="24">
        <f t="shared" si="338"/>
        <v>0</v>
      </c>
      <c r="W1036" s="24">
        <f t="shared" si="327"/>
        <v>2.1776012194672236E-5</v>
      </c>
      <c r="X1036" s="25">
        <f t="shared" si="328"/>
        <v>1.0467247381960465E-5</v>
      </c>
      <c r="Y1036" s="8">
        <f t="shared" si="336"/>
        <v>6.6049967699841044E-3</v>
      </c>
      <c r="Z1036" s="27">
        <f t="shared" si="337"/>
        <v>3.4025598581077436E-3</v>
      </c>
      <c r="AA1036" s="27"/>
      <c r="AB1036" s="40"/>
      <c r="AC1036" s="56">
        <f t="shared" si="339"/>
        <v>0</v>
      </c>
      <c r="AE1036" s="20">
        <f t="shared" si="330"/>
        <v>30649.232993737809</v>
      </c>
      <c r="AF1036" s="20">
        <f t="shared" si="331"/>
        <v>2965831764.3000002</v>
      </c>
      <c r="AG1036">
        <f t="shared" si="333"/>
        <v>0</v>
      </c>
      <c r="AH1036">
        <f t="shared" si="334"/>
        <v>0</v>
      </c>
      <c r="AI1036">
        <f t="shared" si="335"/>
        <v>46533848557.68</v>
      </c>
    </row>
    <row r="1037" spans="2:35" x14ac:dyDescent="0.25">
      <c r="B1037" s="4">
        <v>2024</v>
      </c>
      <c r="C1037" s="4" t="s">
        <v>28</v>
      </c>
      <c r="D1037" s="1" t="s">
        <v>607</v>
      </c>
      <c r="E1037" s="4" t="str">
        <f t="shared" si="325"/>
        <v>Nicor-IL</v>
      </c>
      <c r="F1037" s="4" t="s">
        <v>146</v>
      </c>
      <c r="G1037" s="4"/>
      <c r="H1037" s="11" t="s">
        <v>617</v>
      </c>
      <c r="I1037" s="4"/>
      <c r="J1037" s="4" t="s">
        <v>27</v>
      </c>
      <c r="K1037" s="5">
        <v>53882.249725886242</v>
      </c>
      <c r="L1037" s="5">
        <v>64548.984682933857</v>
      </c>
      <c r="M1037" s="8">
        <v>110486.32846361068</v>
      </c>
      <c r="N1037" s="8">
        <v>52432.828842105948</v>
      </c>
      <c r="O1037" s="8">
        <f>SUMIFS(EIAwtransport!$J$2:$J$675,EIAwtransport!$E$2:$E$675,Program_data!$E1037,EIAwtransport!$H$2:$H$675,Program_data!$F1037,EIAwtransport!$I$2:$I$675,Program_data!O$2)</f>
        <v>487529189</v>
      </c>
      <c r="P1037" s="5">
        <f>SUMIFS(EIAwtransport!$J$2:$J$675,EIAwtransport!$E$2:$E$675,Program_data!$E1037,EIAwtransport!$H$2:$H$675,Program_data!$F1037,EIAwtransport!$I$2:$I$675,Program_data!P$2)</f>
        <v>226957000</v>
      </c>
      <c r="Q1037" s="5">
        <f>SUMIFS(EIAwtransport!$J$2:$J$675,EIAwtransport!$E$2:$E$675,Program_data!$E1037,EIAwtransport!$H$2:$H$675,Program_data!$F1037,EIAwtransport!$I$2:$I$675,Program_data!Q$2)</f>
        <v>170351</v>
      </c>
      <c r="R1037" s="8">
        <f>SUMIFS(EIAwtransport!$J$2:$J$675,EIAwtransport!$E$2:$E$675,Program_data!$E1037,EIAwtransport!$I$2:$I$675,Program_data!R$2)</f>
        <v>2196912418</v>
      </c>
      <c r="S1037" s="5">
        <f>SUMIFS(EIAwtransport!$J$2:$J$675,EIAwtransport!$E$2:$E$675,Program_data!$E1037,EIAwtransport!$I$2:$I$675,Program_data!S$2)</f>
        <v>441162766</v>
      </c>
      <c r="T1037" s="5">
        <f>SUMIFS(EIAwtransport!$J$2:$J$675,EIAwtransport!$E$2:$E$675,Program_data!$E1037,EIAwtransport!$I$2:$I$675,Program_data!T$2)</f>
        <v>2252419</v>
      </c>
      <c r="U1037" s="24">
        <f t="shared" si="326"/>
        <v>1.1789275425343863E-5</v>
      </c>
      <c r="V1037" s="24">
        <f t="shared" si="338"/>
        <v>1.4123125198460579E-5</v>
      </c>
      <c r="W1037" s="24">
        <f t="shared" si="327"/>
        <v>5.0291640011846245E-5</v>
      </c>
      <c r="X1037" s="25">
        <f t="shared" si="328"/>
        <v>2.4174078915022357E-5</v>
      </c>
      <c r="Y1037" s="8">
        <f t="shared" si="336"/>
        <v>1.52542217953349E-2</v>
      </c>
      <c r="Z1037" s="27">
        <f t="shared" si="337"/>
        <v>7.8582025934289257E-3</v>
      </c>
      <c r="AA1037" s="27"/>
      <c r="AB1037" s="40"/>
      <c r="AC1037" s="56">
        <f t="shared" si="339"/>
        <v>1.1789394741354418E-3</v>
      </c>
      <c r="AE1037" s="20">
        <f t="shared" si="330"/>
        <v>70784.318936843032</v>
      </c>
      <c r="AF1037" s="20">
        <f t="shared" si="331"/>
        <v>2965831764.3000002</v>
      </c>
      <c r="AG1037">
        <f t="shared" si="333"/>
        <v>5683499.7010864811</v>
      </c>
      <c r="AH1037">
        <f t="shared" si="334"/>
        <v>6808626.9043558631</v>
      </c>
      <c r="AI1037">
        <f t="shared" si="335"/>
        <v>46533848557.68</v>
      </c>
    </row>
    <row r="1038" spans="2:35" x14ac:dyDescent="0.25">
      <c r="B1038" s="4">
        <v>2024</v>
      </c>
      <c r="C1038" s="4" t="s">
        <v>28</v>
      </c>
      <c r="D1038" s="1" t="s">
        <v>607</v>
      </c>
      <c r="E1038" s="4" t="str">
        <f t="shared" si="325"/>
        <v>Nicor-IL</v>
      </c>
      <c r="F1038" s="4" t="s">
        <v>146</v>
      </c>
      <c r="G1038" s="4"/>
      <c r="H1038" s="11" t="s">
        <v>68</v>
      </c>
      <c r="I1038" s="4"/>
      <c r="J1038" s="4" t="s">
        <v>68</v>
      </c>
      <c r="K1038" s="5">
        <v>789000</v>
      </c>
      <c r="L1038" s="5">
        <v>789500</v>
      </c>
      <c r="M1038" s="8">
        <v>935000</v>
      </c>
      <c r="N1038" s="8">
        <v>657500</v>
      </c>
      <c r="O1038" s="8">
        <f>SUMIFS(EIAwtransport!$J$2:$J$675,EIAwtransport!$E$2:$E$675,Program_data!$E1038,EIAwtransport!$H$2:$H$675,Program_data!$F1038,EIAwtransport!$I$2:$I$675,Program_data!O$2)</f>
        <v>487529189</v>
      </c>
      <c r="P1038" s="5">
        <f>SUMIFS(EIAwtransport!$J$2:$J$675,EIAwtransport!$E$2:$E$675,Program_data!$E1038,EIAwtransport!$H$2:$H$675,Program_data!$F1038,EIAwtransport!$I$2:$I$675,Program_data!P$2)</f>
        <v>226957000</v>
      </c>
      <c r="Q1038" s="5">
        <f>SUMIFS(EIAwtransport!$J$2:$J$675,EIAwtransport!$E$2:$E$675,Program_data!$E1038,EIAwtransport!$H$2:$H$675,Program_data!$F1038,EIAwtransport!$I$2:$I$675,Program_data!Q$2)</f>
        <v>170351</v>
      </c>
      <c r="R1038" s="8">
        <f>SUMIFS(EIAwtransport!$J$2:$J$675,EIAwtransport!$E$2:$E$675,Program_data!$E1038,EIAwtransport!$I$2:$I$675,Program_data!R$2)</f>
        <v>2196912418</v>
      </c>
      <c r="S1038" s="5">
        <f>SUMIFS(EIAwtransport!$J$2:$J$675,EIAwtransport!$E$2:$E$675,Program_data!$E1038,EIAwtransport!$I$2:$I$675,Program_data!S$2)</f>
        <v>441162766</v>
      </c>
      <c r="T1038" s="5">
        <f>SUMIFS(EIAwtransport!$J$2:$J$675,EIAwtransport!$E$2:$E$675,Program_data!$E1038,EIAwtransport!$I$2:$I$675,Program_data!T$2)</f>
        <v>2252419</v>
      </c>
      <c r="U1038" s="24">
        <f t="shared" si="326"/>
        <v>1.7263084518402255E-4</v>
      </c>
      <c r="V1038" s="24">
        <f t="shared" si="338"/>
        <v>1.7274024369174373E-4</v>
      </c>
      <c r="W1038" s="24">
        <f t="shared" si="327"/>
        <v>4.255973029872509E-4</v>
      </c>
      <c r="X1038" s="25">
        <f t="shared" si="328"/>
        <v>2.0457520943860719E-4</v>
      </c>
      <c r="Y1038" s="8">
        <f t="shared" si="336"/>
        <v>0.12909015601270191</v>
      </c>
      <c r="Z1038" s="27">
        <f t="shared" si="337"/>
        <v>6.6500711237553356E-2</v>
      </c>
      <c r="AA1038" s="27"/>
      <c r="AB1038" s="40"/>
      <c r="AC1038" s="56">
        <f t="shared" si="339"/>
        <v>1.7263259233327496E-2</v>
      </c>
      <c r="AE1038" s="20">
        <f t="shared" si="330"/>
        <v>887625.00000000012</v>
      </c>
      <c r="AF1038" s="20">
        <f t="shared" si="331"/>
        <v>2965831764.3000002</v>
      </c>
      <c r="AG1038">
        <f t="shared" si="333"/>
        <v>83223720</v>
      </c>
      <c r="AH1038">
        <f t="shared" si="334"/>
        <v>83276460</v>
      </c>
      <c r="AI1038">
        <f t="shared" si="335"/>
        <v>46533848557.68</v>
      </c>
    </row>
    <row r="1039" spans="2:35" x14ac:dyDescent="0.25">
      <c r="B1039" s="4">
        <v>2024</v>
      </c>
      <c r="C1039" s="4" t="s">
        <v>28</v>
      </c>
      <c r="D1039" s="1" t="s">
        <v>607</v>
      </c>
      <c r="E1039" s="4" t="str">
        <f t="shared" si="325"/>
        <v>Nicor-IL</v>
      </c>
      <c r="F1039" s="4" t="s">
        <v>306</v>
      </c>
      <c r="G1039" s="4"/>
      <c r="H1039" s="11" t="s">
        <v>618</v>
      </c>
      <c r="I1039" s="4"/>
      <c r="J1039" s="4" t="s">
        <v>155</v>
      </c>
      <c r="K1039" s="5">
        <v>0</v>
      </c>
      <c r="L1039" s="5">
        <v>0</v>
      </c>
      <c r="M1039" s="8">
        <v>1371000</v>
      </c>
      <c r="N1039" s="8">
        <v>0</v>
      </c>
      <c r="O1039" s="8">
        <f>SUMIFS(EIAwtransport!$J$2:$J$675,EIAwtransport!$E$2:$E$675,Program_data!$E1039,EIAwtransport!$H$2:$H$675,Program_data!$F1039,EIAwtransport!$I$2:$I$675,Program_data!O$2)</f>
        <v>0</v>
      </c>
      <c r="P1039" s="5">
        <f>SUMIFS(EIAwtransport!$J$2:$J$675,EIAwtransport!$E$2:$E$675,Program_data!$E1039,EIAwtransport!$H$2:$H$675,Program_data!$F1039,EIAwtransport!$I$2:$I$675,Program_data!P$2)</f>
        <v>0</v>
      </c>
      <c r="Q1039" s="5">
        <f>SUMIFS(EIAwtransport!$J$2:$J$675,EIAwtransport!$E$2:$E$675,Program_data!$E1039,EIAwtransport!$H$2:$H$675,Program_data!$F1039,EIAwtransport!$I$2:$I$675,Program_data!Q$2)</f>
        <v>0</v>
      </c>
      <c r="R1039" s="8">
        <f>SUMIFS(EIAwtransport!$J$2:$J$675,EIAwtransport!$E$2:$E$675,Program_data!$E1039,EIAwtransport!$I$2:$I$675,Program_data!R$2)</f>
        <v>2196912418</v>
      </c>
      <c r="S1039" s="5">
        <f>SUMIFS(EIAwtransport!$J$2:$J$675,EIAwtransport!$E$2:$E$675,Program_data!$E1039,EIAwtransport!$I$2:$I$675,Program_data!S$2)</f>
        <v>441162766</v>
      </c>
      <c r="T1039" s="5">
        <f>SUMIFS(EIAwtransport!$J$2:$J$675,EIAwtransport!$E$2:$E$675,Program_data!$E1039,EIAwtransport!$I$2:$I$675,Program_data!T$2)</f>
        <v>2252419</v>
      </c>
      <c r="U1039" s="24">
        <f t="shared" si="326"/>
        <v>0</v>
      </c>
      <c r="V1039" s="24">
        <f t="shared" si="338"/>
        <v>0</v>
      </c>
      <c r="W1039" s="24">
        <f t="shared" si="327"/>
        <v>6.2405764962087805E-4</v>
      </c>
      <c r="X1039" s="25">
        <f t="shared" si="328"/>
        <v>2.9997070817147642E-4</v>
      </c>
      <c r="Y1039" s="8" t="str">
        <f t="shared" si="336"/>
        <v/>
      </c>
      <c r="Z1039" s="27">
        <f t="shared" si="337"/>
        <v>9.7510668563300151E-2</v>
      </c>
      <c r="AA1039" s="27"/>
      <c r="AB1039" s="40"/>
      <c r="AC1039" s="56">
        <f t="shared" si="339"/>
        <v>0</v>
      </c>
      <c r="AE1039" s="20">
        <f t="shared" si="330"/>
        <v>0</v>
      </c>
      <c r="AF1039" s="20">
        <f t="shared" si="331"/>
        <v>2965831764.3000002</v>
      </c>
      <c r="AG1039">
        <f t="shared" si="333"/>
        <v>0</v>
      </c>
      <c r="AH1039">
        <f t="shared" si="334"/>
        <v>0</v>
      </c>
      <c r="AI1039">
        <f t="shared" si="335"/>
        <v>46533848557.68</v>
      </c>
    </row>
    <row r="1040" spans="2:35" x14ac:dyDescent="0.25">
      <c r="B1040" s="4">
        <v>2024</v>
      </c>
      <c r="C1040" s="4" t="s">
        <v>28</v>
      </c>
      <c r="D1040" s="1" t="s">
        <v>607</v>
      </c>
      <c r="E1040" s="4" t="str">
        <f t="shared" si="325"/>
        <v>Nicor-IL</v>
      </c>
      <c r="F1040" s="4" t="s">
        <v>306</v>
      </c>
      <c r="G1040" s="4"/>
      <c r="H1040" s="11" t="s">
        <v>456</v>
      </c>
      <c r="I1040" s="4"/>
      <c r="J1040" s="4" t="s">
        <v>155</v>
      </c>
      <c r="K1040" s="5">
        <v>0</v>
      </c>
      <c r="L1040" s="5">
        <v>0</v>
      </c>
      <c r="M1040" s="8">
        <v>2285000</v>
      </c>
      <c r="N1040" s="8">
        <v>0</v>
      </c>
      <c r="O1040" s="8">
        <f>SUMIFS(EIAwtransport!$J$2:$J$675,EIAwtransport!$E$2:$E$675,Program_data!$E1040,EIAwtransport!$H$2:$H$675,Program_data!$F1040,EIAwtransport!$I$2:$I$675,Program_data!O$2)</f>
        <v>0</v>
      </c>
      <c r="P1040" s="5">
        <f>SUMIFS(EIAwtransport!$J$2:$J$675,EIAwtransport!$E$2:$E$675,Program_data!$E1040,EIAwtransport!$H$2:$H$675,Program_data!$F1040,EIAwtransport!$I$2:$I$675,Program_data!P$2)</f>
        <v>0</v>
      </c>
      <c r="Q1040" s="5">
        <f>SUMIFS(EIAwtransport!$J$2:$J$675,EIAwtransport!$E$2:$E$675,Program_data!$E1040,EIAwtransport!$H$2:$H$675,Program_data!$F1040,EIAwtransport!$I$2:$I$675,Program_data!Q$2)</f>
        <v>0</v>
      </c>
      <c r="R1040" s="8">
        <f>SUMIFS(EIAwtransport!$J$2:$J$675,EIAwtransport!$E$2:$E$675,Program_data!$E1040,EIAwtransport!$I$2:$I$675,Program_data!R$2)</f>
        <v>2196912418</v>
      </c>
      <c r="S1040" s="5">
        <f>SUMIFS(EIAwtransport!$J$2:$J$675,EIAwtransport!$E$2:$E$675,Program_data!$E1040,EIAwtransport!$I$2:$I$675,Program_data!S$2)</f>
        <v>441162766</v>
      </c>
      <c r="T1040" s="5">
        <f>SUMIFS(EIAwtransport!$J$2:$J$675,EIAwtransport!$E$2:$E$675,Program_data!$E1040,EIAwtransport!$I$2:$I$675,Program_data!T$2)</f>
        <v>2252419</v>
      </c>
      <c r="U1040" s="24">
        <f t="shared" si="326"/>
        <v>0</v>
      </c>
      <c r="V1040" s="24">
        <f t="shared" si="338"/>
        <v>0</v>
      </c>
      <c r="W1040" s="24">
        <f t="shared" si="327"/>
        <v>1.0400960827014634E-3</v>
      </c>
      <c r="X1040" s="25">
        <f t="shared" si="328"/>
        <v>4.999511802857941E-4</v>
      </c>
      <c r="Y1040" s="8" t="str">
        <f t="shared" si="336"/>
        <v/>
      </c>
      <c r="Z1040" s="27">
        <f t="shared" si="337"/>
        <v>0.16251778093883359</v>
      </c>
      <c r="AA1040" s="27"/>
      <c r="AB1040" s="40"/>
      <c r="AC1040" s="56">
        <f t="shared" si="339"/>
        <v>0</v>
      </c>
      <c r="AE1040" s="20">
        <f t="shared" si="330"/>
        <v>0</v>
      </c>
      <c r="AF1040" s="20">
        <f t="shared" si="331"/>
        <v>2965831764.3000002</v>
      </c>
      <c r="AG1040">
        <f t="shared" si="333"/>
        <v>0</v>
      </c>
      <c r="AH1040">
        <f t="shared" si="334"/>
        <v>0</v>
      </c>
      <c r="AI1040">
        <f t="shared" si="335"/>
        <v>46533848557.68</v>
      </c>
    </row>
    <row r="1041" spans="2:35" x14ac:dyDescent="0.25">
      <c r="B1041" s="4">
        <v>2024</v>
      </c>
      <c r="C1041" s="4" t="s">
        <v>28</v>
      </c>
      <c r="D1041" s="1" t="s">
        <v>607</v>
      </c>
      <c r="E1041" s="4" t="str">
        <f t="shared" si="325"/>
        <v>Nicor-IL</v>
      </c>
      <c r="F1041" s="4" t="s">
        <v>306</v>
      </c>
      <c r="G1041" s="4"/>
      <c r="H1041" s="11" t="s">
        <v>619</v>
      </c>
      <c r="I1041" s="4"/>
      <c r="J1041" s="4" t="s">
        <v>155</v>
      </c>
      <c r="K1041" s="5">
        <v>0</v>
      </c>
      <c r="L1041" s="5">
        <v>0</v>
      </c>
      <c r="M1041" s="8">
        <v>1500000</v>
      </c>
      <c r="N1041" s="8">
        <v>0</v>
      </c>
      <c r="O1041" s="8">
        <f>SUMIFS(EIAwtransport!$J$2:$J$675,EIAwtransport!$E$2:$E$675,Program_data!$E1041,EIAwtransport!$H$2:$H$675,Program_data!$F1041,EIAwtransport!$I$2:$I$675,Program_data!O$2)</f>
        <v>0</v>
      </c>
      <c r="P1041" s="5">
        <f>SUMIFS(EIAwtransport!$J$2:$J$675,EIAwtransport!$E$2:$E$675,Program_data!$E1041,EIAwtransport!$H$2:$H$675,Program_data!$F1041,EIAwtransport!$I$2:$I$675,Program_data!P$2)</f>
        <v>0</v>
      </c>
      <c r="Q1041" s="5">
        <f>SUMIFS(EIAwtransport!$J$2:$J$675,EIAwtransport!$E$2:$E$675,Program_data!$E1041,EIAwtransport!$H$2:$H$675,Program_data!$F1041,EIAwtransport!$I$2:$I$675,Program_data!Q$2)</f>
        <v>0</v>
      </c>
      <c r="R1041" s="8">
        <f>SUMIFS(EIAwtransport!$J$2:$J$675,EIAwtransport!$E$2:$E$675,Program_data!$E1041,EIAwtransport!$I$2:$I$675,Program_data!R$2)</f>
        <v>2196912418</v>
      </c>
      <c r="S1041" s="5">
        <f>SUMIFS(EIAwtransport!$J$2:$J$675,EIAwtransport!$E$2:$E$675,Program_data!$E1041,EIAwtransport!$I$2:$I$675,Program_data!S$2)</f>
        <v>441162766</v>
      </c>
      <c r="T1041" s="5">
        <f>SUMIFS(EIAwtransport!$J$2:$J$675,EIAwtransport!$E$2:$E$675,Program_data!$E1041,EIAwtransport!$I$2:$I$675,Program_data!T$2)</f>
        <v>2252419</v>
      </c>
      <c r="U1041" s="24">
        <f t="shared" si="326"/>
        <v>0</v>
      </c>
      <c r="V1041" s="24">
        <f t="shared" si="338"/>
        <v>0</v>
      </c>
      <c r="W1041" s="24">
        <f t="shared" si="327"/>
        <v>6.8277642190468064E-4</v>
      </c>
      <c r="X1041" s="25">
        <f t="shared" si="328"/>
        <v>3.2819552316354096E-4</v>
      </c>
      <c r="Y1041" s="8" t="str">
        <f t="shared" si="336"/>
        <v/>
      </c>
      <c r="Z1041" s="27">
        <f t="shared" si="337"/>
        <v>0.10668563300142249</v>
      </c>
      <c r="AA1041" s="27"/>
      <c r="AB1041" s="40"/>
      <c r="AC1041" s="56">
        <f t="shared" si="339"/>
        <v>0</v>
      </c>
      <c r="AE1041" s="20">
        <f t="shared" si="330"/>
        <v>0</v>
      </c>
      <c r="AF1041" s="20">
        <f t="shared" si="331"/>
        <v>2965831764.3000002</v>
      </c>
      <c r="AG1041">
        <f t="shared" si="333"/>
        <v>0</v>
      </c>
      <c r="AH1041">
        <f t="shared" si="334"/>
        <v>0</v>
      </c>
      <c r="AI1041">
        <f t="shared" si="335"/>
        <v>46533848557.68</v>
      </c>
    </row>
    <row r="1042" spans="2:35" x14ac:dyDescent="0.25">
      <c r="B1042" s="4">
        <v>2024</v>
      </c>
      <c r="C1042" s="4" t="s">
        <v>28</v>
      </c>
      <c r="D1042" s="1" t="s">
        <v>607</v>
      </c>
      <c r="E1042" s="4" t="str">
        <f t="shared" si="325"/>
        <v>Nicor-IL</v>
      </c>
      <c r="F1042" s="4" t="s">
        <v>306</v>
      </c>
      <c r="G1042" s="4"/>
      <c r="H1042" s="11" t="s">
        <v>620</v>
      </c>
      <c r="I1042" s="4"/>
      <c r="J1042" s="4" t="s">
        <v>155</v>
      </c>
      <c r="K1042" s="5">
        <v>0</v>
      </c>
      <c r="L1042" s="5">
        <v>0</v>
      </c>
      <c r="M1042" s="8">
        <v>1371000</v>
      </c>
      <c r="N1042" s="8">
        <v>0</v>
      </c>
      <c r="O1042" s="8">
        <f>SUMIFS(EIAwtransport!$J$2:$J$675,EIAwtransport!$E$2:$E$675,Program_data!$E1042,EIAwtransport!$H$2:$H$675,Program_data!$F1042,EIAwtransport!$I$2:$I$675,Program_data!O$2)</f>
        <v>0</v>
      </c>
      <c r="P1042" s="5">
        <f>SUMIFS(EIAwtransport!$J$2:$J$675,EIAwtransport!$E$2:$E$675,Program_data!$E1042,EIAwtransport!$H$2:$H$675,Program_data!$F1042,EIAwtransport!$I$2:$I$675,Program_data!P$2)</f>
        <v>0</v>
      </c>
      <c r="Q1042" s="5">
        <f>SUMIFS(EIAwtransport!$J$2:$J$675,EIAwtransport!$E$2:$E$675,Program_data!$E1042,EIAwtransport!$H$2:$H$675,Program_data!$F1042,EIAwtransport!$I$2:$I$675,Program_data!Q$2)</f>
        <v>0</v>
      </c>
      <c r="R1042" s="8">
        <f>SUMIFS(EIAwtransport!$J$2:$J$675,EIAwtransport!$E$2:$E$675,Program_data!$E1042,EIAwtransport!$I$2:$I$675,Program_data!R$2)</f>
        <v>2196912418</v>
      </c>
      <c r="S1042" s="5">
        <f>SUMIFS(EIAwtransport!$J$2:$J$675,EIAwtransport!$E$2:$E$675,Program_data!$E1042,EIAwtransport!$I$2:$I$675,Program_data!S$2)</f>
        <v>441162766</v>
      </c>
      <c r="T1042" s="5">
        <f>SUMIFS(EIAwtransport!$J$2:$J$675,EIAwtransport!$E$2:$E$675,Program_data!$E1042,EIAwtransport!$I$2:$I$675,Program_data!T$2)</f>
        <v>2252419</v>
      </c>
      <c r="U1042" s="24">
        <f t="shared" si="326"/>
        <v>0</v>
      </c>
      <c r="V1042" s="24">
        <f t="shared" si="338"/>
        <v>0</v>
      </c>
      <c r="W1042" s="24">
        <f t="shared" si="327"/>
        <v>6.2405764962087805E-4</v>
      </c>
      <c r="X1042" s="25">
        <f t="shared" si="328"/>
        <v>2.9997070817147642E-4</v>
      </c>
      <c r="Y1042" s="8" t="str">
        <f t="shared" si="336"/>
        <v/>
      </c>
      <c r="Z1042" s="27">
        <f t="shared" si="337"/>
        <v>9.7510668563300151E-2</v>
      </c>
      <c r="AA1042" s="27"/>
      <c r="AB1042" s="40"/>
      <c r="AC1042" s="56">
        <f t="shared" si="339"/>
        <v>0</v>
      </c>
      <c r="AE1042" s="20">
        <f t="shared" si="330"/>
        <v>0</v>
      </c>
      <c r="AF1042" s="20">
        <f t="shared" si="331"/>
        <v>2965831764.3000002</v>
      </c>
      <c r="AG1042">
        <f t="shared" si="333"/>
        <v>0</v>
      </c>
      <c r="AH1042">
        <f t="shared" si="334"/>
        <v>0</v>
      </c>
      <c r="AI1042">
        <f t="shared" si="335"/>
        <v>46533848557.68</v>
      </c>
    </row>
    <row r="1043" spans="2:35" x14ac:dyDescent="0.25">
      <c r="B1043" s="4">
        <v>2024</v>
      </c>
      <c r="C1043" s="4" t="s">
        <v>28</v>
      </c>
      <c r="D1043" s="1" t="s">
        <v>607</v>
      </c>
      <c r="E1043" s="4" t="str">
        <f t="shared" si="325"/>
        <v>Nicor-IL</v>
      </c>
      <c r="F1043" s="4" t="s">
        <v>306</v>
      </c>
      <c r="G1043" s="4"/>
      <c r="H1043" s="11" t="s">
        <v>621</v>
      </c>
      <c r="I1043" s="4"/>
      <c r="J1043" s="4" t="s">
        <v>155</v>
      </c>
      <c r="K1043" s="5">
        <v>0</v>
      </c>
      <c r="L1043" s="5">
        <v>0</v>
      </c>
      <c r="M1043" s="8">
        <v>2175000</v>
      </c>
      <c r="N1043" s="8">
        <v>0</v>
      </c>
      <c r="O1043" s="8">
        <f>SUMIFS(EIAwtransport!$J$2:$J$675,EIAwtransport!$E$2:$E$675,Program_data!$E1043,EIAwtransport!$H$2:$H$675,Program_data!$F1043,EIAwtransport!$I$2:$I$675,Program_data!O$2)</f>
        <v>0</v>
      </c>
      <c r="P1043" s="5">
        <f>SUMIFS(EIAwtransport!$J$2:$J$675,EIAwtransport!$E$2:$E$675,Program_data!$E1043,EIAwtransport!$H$2:$H$675,Program_data!$F1043,EIAwtransport!$I$2:$I$675,Program_data!P$2)</f>
        <v>0</v>
      </c>
      <c r="Q1043" s="5">
        <f>SUMIFS(EIAwtransport!$J$2:$J$675,EIAwtransport!$E$2:$E$675,Program_data!$E1043,EIAwtransport!$H$2:$H$675,Program_data!$F1043,EIAwtransport!$I$2:$I$675,Program_data!Q$2)</f>
        <v>0</v>
      </c>
      <c r="R1043" s="8">
        <f>SUMIFS(EIAwtransport!$J$2:$J$675,EIAwtransport!$E$2:$E$675,Program_data!$E1043,EIAwtransport!$I$2:$I$675,Program_data!R$2)</f>
        <v>2196912418</v>
      </c>
      <c r="S1043" s="5">
        <f>SUMIFS(EIAwtransport!$J$2:$J$675,EIAwtransport!$E$2:$E$675,Program_data!$E1043,EIAwtransport!$I$2:$I$675,Program_data!S$2)</f>
        <v>441162766</v>
      </c>
      <c r="T1043" s="5">
        <f>SUMIFS(EIAwtransport!$J$2:$J$675,EIAwtransport!$E$2:$E$675,Program_data!$E1043,EIAwtransport!$I$2:$I$675,Program_data!T$2)</f>
        <v>2252419</v>
      </c>
      <c r="U1043" s="24">
        <f t="shared" si="326"/>
        <v>0</v>
      </c>
      <c r="V1043" s="24">
        <f t="shared" si="338"/>
        <v>0</v>
      </c>
      <c r="W1043" s="24">
        <f t="shared" si="327"/>
        <v>9.9002581176178676E-4</v>
      </c>
      <c r="X1043" s="25">
        <f t="shared" si="328"/>
        <v>4.7588350858713435E-4</v>
      </c>
      <c r="Y1043" s="8" t="str">
        <f t="shared" si="336"/>
        <v/>
      </c>
      <c r="Z1043" s="27">
        <f t="shared" si="337"/>
        <v>0.15469416785206261</v>
      </c>
      <c r="AA1043" s="27"/>
      <c r="AB1043" s="40"/>
      <c r="AC1043" s="56">
        <f t="shared" si="339"/>
        <v>0</v>
      </c>
      <c r="AE1043" s="20">
        <f t="shared" si="330"/>
        <v>0</v>
      </c>
      <c r="AF1043" s="20">
        <f t="shared" si="331"/>
        <v>2965831764.3000002</v>
      </c>
      <c r="AG1043">
        <f t="shared" si="333"/>
        <v>0</v>
      </c>
      <c r="AH1043">
        <f t="shared" si="334"/>
        <v>0</v>
      </c>
      <c r="AI1043">
        <f t="shared" si="335"/>
        <v>46533848557.68</v>
      </c>
    </row>
    <row r="1044" spans="2:35" x14ac:dyDescent="0.25">
      <c r="B1044" s="4">
        <v>2024</v>
      </c>
      <c r="C1044" s="4" t="s">
        <v>28</v>
      </c>
      <c r="D1044" s="1" t="s">
        <v>607</v>
      </c>
      <c r="E1044" s="4" t="str">
        <f t="shared" si="325"/>
        <v>Nicor-IL</v>
      </c>
      <c r="F1044" s="4" t="s">
        <v>306</v>
      </c>
      <c r="G1044" s="4"/>
      <c r="H1044" s="11" t="s">
        <v>622</v>
      </c>
      <c r="I1044" s="4"/>
      <c r="J1044" s="4" t="s">
        <v>155</v>
      </c>
      <c r="K1044" s="5">
        <v>0</v>
      </c>
      <c r="L1044" s="5">
        <v>0</v>
      </c>
      <c r="M1044" s="8">
        <v>1003000</v>
      </c>
      <c r="N1044" s="8">
        <v>0</v>
      </c>
      <c r="O1044" s="8">
        <f>SUMIFS(EIAwtransport!$J$2:$J$675,EIAwtransport!$E$2:$E$675,Program_data!$E1044,EIAwtransport!$H$2:$H$675,Program_data!$F1044,EIAwtransport!$I$2:$I$675,Program_data!O$2)</f>
        <v>0</v>
      </c>
      <c r="P1044" s="5">
        <f>SUMIFS(EIAwtransport!$J$2:$J$675,EIAwtransport!$E$2:$E$675,Program_data!$E1044,EIAwtransport!$H$2:$H$675,Program_data!$F1044,EIAwtransport!$I$2:$I$675,Program_data!P$2)</f>
        <v>0</v>
      </c>
      <c r="Q1044" s="5">
        <f>SUMIFS(EIAwtransport!$J$2:$J$675,EIAwtransport!$E$2:$E$675,Program_data!$E1044,EIAwtransport!$H$2:$H$675,Program_data!$F1044,EIAwtransport!$I$2:$I$675,Program_data!Q$2)</f>
        <v>0</v>
      </c>
      <c r="R1044" s="8">
        <f>SUMIFS(EIAwtransport!$J$2:$J$675,EIAwtransport!$E$2:$E$675,Program_data!$E1044,EIAwtransport!$I$2:$I$675,Program_data!R$2)</f>
        <v>2196912418</v>
      </c>
      <c r="S1044" s="5">
        <f>SUMIFS(EIAwtransport!$J$2:$J$675,EIAwtransport!$E$2:$E$675,Program_data!$E1044,EIAwtransport!$I$2:$I$675,Program_data!S$2)</f>
        <v>441162766</v>
      </c>
      <c r="T1044" s="5">
        <f>SUMIFS(EIAwtransport!$J$2:$J$675,EIAwtransport!$E$2:$E$675,Program_data!$E1044,EIAwtransport!$I$2:$I$675,Program_data!T$2)</f>
        <v>2252419</v>
      </c>
      <c r="U1044" s="24">
        <f t="shared" si="326"/>
        <v>0</v>
      </c>
      <c r="V1044" s="24">
        <f t="shared" si="338"/>
        <v>0</v>
      </c>
      <c r="W1044" s="24">
        <f t="shared" si="327"/>
        <v>4.5654983411359644E-4</v>
      </c>
      <c r="X1044" s="25">
        <f t="shared" si="328"/>
        <v>2.194534064886877E-4</v>
      </c>
      <c r="Y1044" s="8" t="str">
        <f t="shared" si="336"/>
        <v/>
      </c>
      <c r="Z1044" s="27">
        <f t="shared" si="337"/>
        <v>7.1337126600284503E-2</v>
      </c>
      <c r="AA1044" s="27"/>
      <c r="AB1044" s="40"/>
      <c r="AC1044" s="56">
        <f t="shared" si="339"/>
        <v>0</v>
      </c>
      <c r="AE1044" s="20">
        <f t="shared" si="330"/>
        <v>0</v>
      </c>
      <c r="AF1044" s="20">
        <f t="shared" si="331"/>
        <v>2965831764.3000002</v>
      </c>
      <c r="AG1044">
        <f t="shared" si="333"/>
        <v>0</v>
      </c>
      <c r="AH1044">
        <f t="shared" si="334"/>
        <v>0</v>
      </c>
      <c r="AI1044">
        <f t="shared" si="335"/>
        <v>46533848557.68</v>
      </c>
    </row>
    <row r="1045" spans="2:35" x14ac:dyDescent="0.25">
      <c r="B1045" s="4">
        <v>2025</v>
      </c>
      <c r="C1045" s="4" t="s">
        <v>28</v>
      </c>
      <c r="D1045" s="1" t="s">
        <v>607</v>
      </c>
      <c r="E1045" s="4" t="str">
        <f t="shared" si="325"/>
        <v>Nicor-IL</v>
      </c>
      <c r="F1045" s="4" t="s">
        <v>135</v>
      </c>
      <c r="G1045" s="4"/>
      <c r="H1045" s="11" t="s">
        <v>609</v>
      </c>
      <c r="I1045" s="4"/>
      <c r="J1045" s="4" t="s">
        <v>142</v>
      </c>
      <c r="K1045" s="5">
        <v>3186000</v>
      </c>
      <c r="L1045" s="5">
        <f>14622000/4</f>
        <v>3655500</v>
      </c>
      <c r="M1045" s="8">
        <v>4033000</v>
      </c>
      <c r="N1045" s="8">
        <f>8649000/4</f>
        <v>2162250</v>
      </c>
      <c r="O1045" s="8">
        <f>SUMIFS(EIAwtransport!$J$2:$J$675,EIAwtransport!$E$2:$E$675,Program_data!$E1045,EIAwtransport!$H$2:$H$675,Program_data!$F1045,EIAwtransport!$I$2:$I$675,Program_data!O$2)</f>
        <v>1709383229</v>
      </c>
      <c r="P1045" s="5">
        <f>SUMIFS(EIAwtransport!$J$2:$J$675,EIAwtransport!$E$2:$E$675,Program_data!$E1045,EIAwtransport!$H$2:$H$675,Program_data!$F1045,EIAwtransport!$I$2:$I$675,Program_data!P$2)</f>
        <v>214205766</v>
      </c>
      <c r="Q1045" s="5">
        <f>SUMIFS(EIAwtransport!$J$2:$J$675,EIAwtransport!$E$2:$E$675,Program_data!$E1045,EIAwtransport!$H$2:$H$675,Program_data!$F1045,EIAwtransport!$I$2:$I$675,Program_data!Q$2)</f>
        <v>2082068</v>
      </c>
      <c r="R1045" s="8">
        <f>SUMIFS(EIAwtransport!$J$2:$J$675,EIAwtransport!$E$2:$E$675,Program_data!$E1045,EIAwtransport!$I$2:$I$675,Program_data!R$2)</f>
        <v>2196912418</v>
      </c>
      <c r="S1045" s="5">
        <f>SUMIFS(EIAwtransport!$J$2:$J$675,EIAwtransport!$E$2:$E$675,Program_data!$E1045,EIAwtransport!$I$2:$I$675,Program_data!S$2)</f>
        <v>441162766</v>
      </c>
      <c r="T1045" s="5">
        <f>SUMIFS(EIAwtransport!$J$2:$J$675,EIAwtransport!$E$2:$E$675,Program_data!$E1045,EIAwtransport!$I$2:$I$675,Program_data!T$2)</f>
        <v>2252419</v>
      </c>
      <c r="U1045" s="24">
        <f t="shared" si="326"/>
        <v>6.9708729119936105E-4</v>
      </c>
      <c r="V1045" s="24">
        <f t="shared" ref="V1045:V1096" si="340">IFERROR(L1045/10.36/S1045,"")</f>
        <v>7.9981248994954925E-4</v>
      </c>
      <c r="W1045" s="24">
        <f t="shared" si="327"/>
        <v>1.8357582063610511E-3</v>
      </c>
      <c r="X1045" s="25">
        <f t="shared" si="328"/>
        <v>8.8240836327904042E-4</v>
      </c>
      <c r="Y1045" s="8">
        <f t="shared" si="336"/>
        <v>0.74685185185185188</v>
      </c>
      <c r="Z1045" s="27">
        <f t="shared" si="337"/>
        <v>0.2868421052631579</v>
      </c>
      <c r="AA1045" s="27"/>
      <c r="AB1045" s="45"/>
      <c r="AC1045" s="56">
        <f t="shared" si="339"/>
        <v>6.9709434622790126E-2</v>
      </c>
      <c r="AE1045" s="20">
        <f t="shared" si="330"/>
        <v>2919037.5</v>
      </c>
      <c r="AF1045" s="20">
        <f t="shared" si="331"/>
        <v>2965831764.3000002</v>
      </c>
      <c r="AG1045">
        <f t="shared" si="333"/>
        <v>336059280</v>
      </c>
      <c r="AH1045">
        <f t="shared" si="334"/>
        <v>385582140</v>
      </c>
      <c r="AI1045">
        <f t="shared" si="335"/>
        <v>46533848557.68</v>
      </c>
    </row>
    <row r="1046" spans="2:35" x14ac:dyDescent="0.25">
      <c r="B1046" s="4">
        <v>2025</v>
      </c>
      <c r="C1046" s="4" t="s">
        <v>28</v>
      </c>
      <c r="D1046" s="1" t="s">
        <v>607</v>
      </c>
      <c r="E1046" s="4" t="str">
        <f t="shared" si="325"/>
        <v>Nicor-IL</v>
      </c>
      <c r="F1046" s="4" t="s">
        <v>135</v>
      </c>
      <c r="G1046" s="4"/>
      <c r="H1046" s="11" t="s">
        <v>277</v>
      </c>
      <c r="I1046" s="4"/>
      <c r="J1046" s="4" t="s">
        <v>142</v>
      </c>
      <c r="K1046" s="5">
        <v>406000</v>
      </c>
      <c r="L1046" s="5">
        <f>1689000/4</f>
        <v>422250</v>
      </c>
      <c r="M1046" s="8">
        <v>3028000</v>
      </c>
      <c r="N1046" s="8">
        <f>6659000/4</f>
        <v>1664750</v>
      </c>
      <c r="O1046" s="8">
        <f>SUMIFS(EIAwtransport!$J$2:$J$675,EIAwtransport!$E$2:$E$675,Program_data!$E1046,EIAwtransport!$H$2:$H$675,Program_data!$F1046,EIAwtransport!$I$2:$I$675,Program_data!O$2)</f>
        <v>1709383229</v>
      </c>
      <c r="P1046" s="5">
        <f>SUMIFS(EIAwtransport!$J$2:$J$675,EIAwtransport!$E$2:$E$675,Program_data!$E1046,EIAwtransport!$H$2:$H$675,Program_data!$F1046,EIAwtransport!$I$2:$I$675,Program_data!P$2)</f>
        <v>214205766</v>
      </c>
      <c r="Q1046" s="5">
        <f>SUMIFS(EIAwtransport!$J$2:$J$675,EIAwtransport!$E$2:$E$675,Program_data!$E1046,EIAwtransport!$H$2:$H$675,Program_data!$F1046,EIAwtransport!$I$2:$I$675,Program_data!Q$2)</f>
        <v>2082068</v>
      </c>
      <c r="R1046" s="8">
        <f>SUMIFS(EIAwtransport!$J$2:$J$675,EIAwtransport!$E$2:$E$675,Program_data!$E1046,EIAwtransport!$I$2:$I$675,Program_data!R$2)</f>
        <v>2196912418</v>
      </c>
      <c r="S1046" s="5">
        <f>SUMIFS(EIAwtransport!$J$2:$J$675,EIAwtransport!$E$2:$E$675,Program_data!$E1046,EIAwtransport!$I$2:$I$675,Program_data!S$2)</f>
        <v>441162766</v>
      </c>
      <c r="T1046" s="5">
        <f>SUMIFS(EIAwtransport!$J$2:$J$675,EIAwtransport!$E$2:$E$675,Program_data!$E1046,EIAwtransport!$I$2:$I$675,Program_data!T$2)</f>
        <v>2252419</v>
      </c>
      <c r="U1046" s="24">
        <f t="shared" si="326"/>
        <v>8.8831588269598416E-5</v>
      </c>
      <c r="V1046" s="24">
        <f t="shared" si="340"/>
        <v>9.238703977053678E-5</v>
      </c>
      <c r="W1046" s="24">
        <f t="shared" si="327"/>
        <v>1.3782980036849152E-3</v>
      </c>
      <c r="X1046" s="25">
        <f t="shared" si="328"/>
        <v>6.6251736275946803E-4</v>
      </c>
      <c r="Y1046" s="8">
        <f t="shared" si="336"/>
        <v>0.56074074074074076</v>
      </c>
      <c r="Z1046" s="27">
        <f t="shared" si="337"/>
        <v>0.21536273115220483</v>
      </c>
      <c r="AA1046" s="27"/>
      <c r="AB1046" s="40"/>
      <c r="AC1046" s="56">
        <f t="shared" si="339"/>
        <v>8.8832487309644676E-3</v>
      </c>
      <c r="AE1046" s="20">
        <f t="shared" si="330"/>
        <v>2247412.5</v>
      </c>
      <c r="AF1046" s="20">
        <f t="shared" si="331"/>
        <v>2965831764.3000002</v>
      </c>
      <c r="AG1046">
        <f t="shared" si="333"/>
        <v>42824880</v>
      </c>
      <c r="AH1046">
        <f t="shared" si="334"/>
        <v>44538930</v>
      </c>
      <c r="AI1046">
        <f t="shared" si="335"/>
        <v>46533848557.68</v>
      </c>
    </row>
    <row r="1047" spans="2:35" x14ac:dyDescent="0.25">
      <c r="B1047" s="4">
        <v>2025</v>
      </c>
      <c r="C1047" s="4" t="s">
        <v>28</v>
      </c>
      <c r="D1047" s="1" t="s">
        <v>607</v>
      </c>
      <c r="E1047" s="4" t="str">
        <f t="shared" si="325"/>
        <v>Nicor-IL</v>
      </c>
      <c r="F1047" s="4" t="s">
        <v>135</v>
      </c>
      <c r="G1047" s="4"/>
      <c r="H1047" s="11" t="s">
        <v>623</v>
      </c>
      <c r="I1047" s="4"/>
      <c r="J1047" s="4" t="s">
        <v>142</v>
      </c>
      <c r="K1047" s="5">
        <v>395000</v>
      </c>
      <c r="L1047" s="5">
        <f>1685000/4</f>
        <v>421250</v>
      </c>
      <c r="M1047" s="8">
        <v>2134000</v>
      </c>
      <c r="N1047" s="8">
        <f>4281000/4</f>
        <v>1070250</v>
      </c>
      <c r="O1047" s="8">
        <f>SUMIFS(EIAwtransport!$J$2:$J$675,EIAwtransport!$E$2:$E$675,Program_data!$E1047,EIAwtransport!$H$2:$H$675,Program_data!$F1047,EIAwtransport!$I$2:$I$675,Program_data!O$2)</f>
        <v>1709383229</v>
      </c>
      <c r="P1047" s="5">
        <f>SUMIFS(EIAwtransport!$J$2:$J$675,EIAwtransport!$E$2:$E$675,Program_data!$E1047,EIAwtransport!$H$2:$H$675,Program_data!$F1047,EIAwtransport!$I$2:$I$675,Program_data!P$2)</f>
        <v>214205766</v>
      </c>
      <c r="Q1047" s="5">
        <f>SUMIFS(EIAwtransport!$J$2:$J$675,EIAwtransport!$E$2:$E$675,Program_data!$E1047,EIAwtransport!$H$2:$H$675,Program_data!$F1047,EIAwtransport!$I$2:$I$675,Program_data!Q$2)</f>
        <v>2082068</v>
      </c>
      <c r="R1047" s="8">
        <f>SUMIFS(EIAwtransport!$J$2:$J$675,EIAwtransport!$E$2:$E$675,Program_data!$E1047,EIAwtransport!$I$2:$I$675,Program_data!R$2)</f>
        <v>2196912418</v>
      </c>
      <c r="S1047" s="5">
        <f>SUMIFS(EIAwtransport!$J$2:$J$675,EIAwtransport!$E$2:$E$675,Program_data!$E1047,EIAwtransport!$I$2:$I$675,Program_data!S$2)</f>
        <v>441162766</v>
      </c>
      <c r="T1047" s="5">
        <f>SUMIFS(EIAwtransport!$J$2:$J$675,EIAwtransport!$E$2:$E$675,Program_data!$E1047,EIAwtransport!$I$2:$I$675,Program_data!T$2)</f>
        <v>2252419</v>
      </c>
      <c r="U1047" s="24">
        <f t="shared" si="326"/>
        <v>8.6424821099732448E-5</v>
      </c>
      <c r="V1047" s="24">
        <f t="shared" si="340"/>
        <v>9.2168242755094417E-5</v>
      </c>
      <c r="W1047" s="24">
        <f t="shared" si="327"/>
        <v>9.7136325622972563E-4</v>
      </c>
      <c r="X1047" s="25">
        <f t="shared" si="328"/>
        <v>4.669128309539976E-4</v>
      </c>
      <c r="Y1047" s="8">
        <f t="shared" si="336"/>
        <v>0.39518518518518519</v>
      </c>
      <c r="Z1047" s="27">
        <f t="shared" si="337"/>
        <v>0.15177809388335703</v>
      </c>
      <c r="AA1047" s="27"/>
      <c r="AB1047" s="40"/>
      <c r="AC1047" s="56">
        <f t="shared" si="339"/>
        <v>8.6425695781550856E-3</v>
      </c>
      <c r="AE1047" s="20">
        <f t="shared" si="330"/>
        <v>1444837.5</v>
      </c>
      <c r="AF1047" s="20">
        <f t="shared" si="331"/>
        <v>2965831764.3000002</v>
      </c>
      <c r="AG1047">
        <f t="shared" si="333"/>
        <v>41664600</v>
      </c>
      <c r="AH1047">
        <f t="shared" si="334"/>
        <v>44433450</v>
      </c>
      <c r="AI1047">
        <f t="shared" si="335"/>
        <v>46533848557.68</v>
      </c>
    </row>
    <row r="1048" spans="2:35" x14ac:dyDescent="0.25">
      <c r="B1048" s="4">
        <v>2025</v>
      </c>
      <c r="C1048" s="4" t="s">
        <v>28</v>
      </c>
      <c r="D1048" s="1" t="s">
        <v>607</v>
      </c>
      <c r="E1048" s="4" t="str">
        <f t="shared" si="325"/>
        <v>Nicor-IL</v>
      </c>
      <c r="F1048" s="4" t="s">
        <v>135</v>
      </c>
      <c r="G1048" s="4"/>
      <c r="H1048" s="11" t="s">
        <v>610</v>
      </c>
      <c r="I1048" s="4"/>
      <c r="J1048" s="4" t="s">
        <v>142</v>
      </c>
      <c r="K1048" s="5">
        <v>1199000</v>
      </c>
      <c r="L1048" s="5">
        <f>4980000/4</f>
        <v>1245000</v>
      </c>
      <c r="M1048" s="8">
        <v>1927000</v>
      </c>
      <c r="N1048" s="8">
        <f>3543000/4</f>
        <v>885750</v>
      </c>
      <c r="O1048" s="8">
        <f>SUMIFS(EIAwtransport!$J$2:$J$675,EIAwtransport!$E$2:$E$675,Program_data!$E1048,EIAwtransport!$H$2:$H$675,Program_data!$F1048,EIAwtransport!$I$2:$I$675,Program_data!O$2)</f>
        <v>1709383229</v>
      </c>
      <c r="P1048" s="5">
        <f>SUMIFS(EIAwtransport!$J$2:$J$675,EIAwtransport!$E$2:$E$675,Program_data!$E1048,EIAwtransport!$H$2:$H$675,Program_data!$F1048,EIAwtransport!$I$2:$I$675,Program_data!P$2)</f>
        <v>214205766</v>
      </c>
      <c r="Q1048" s="5">
        <f>SUMIFS(EIAwtransport!$J$2:$J$675,EIAwtransport!$E$2:$E$675,Program_data!$E1048,EIAwtransport!$H$2:$H$675,Program_data!$F1048,EIAwtransport!$I$2:$I$675,Program_data!Q$2)</f>
        <v>2082068</v>
      </c>
      <c r="R1048" s="8">
        <f>SUMIFS(EIAwtransport!$J$2:$J$675,EIAwtransport!$E$2:$E$675,Program_data!$E1048,EIAwtransport!$I$2:$I$675,Program_data!R$2)</f>
        <v>2196912418</v>
      </c>
      <c r="S1048" s="5">
        <f>SUMIFS(EIAwtransport!$J$2:$J$675,EIAwtransport!$E$2:$E$675,Program_data!$E1048,EIAwtransport!$I$2:$I$675,Program_data!S$2)</f>
        <v>441162766</v>
      </c>
      <c r="T1048" s="5">
        <f>SUMIFS(EIAwtransport!$J$2:$J$675,EIAwtransport!$E$2:$E$675,Program_data!$E1048,EIAwtransport!$I$2:$I$675,Program_data!T$2)</f>
        <v>2252419</v>
      </c>
      <c r="U1048" s="24">
        <f t="shared" si="326"/>
        <v>2.6233762151539039E-4</v>
      </c>
      <c r="V1048" s="24">
        <f t="shared" si="340"/>
        <v>2.7240228422573896E-4</v>
      </c>
      <c r="W1048" s="24">
        <f t="shared" si="327"/>
        <v>8.7714011000687968E-4</v>
      </c>
      <c r="X1048" s="25">
        <f t="shared" si="328"/>
        <v>4.2162184875742893E-4</v>
      </c>
      <c r="Y1048" s="8">
        <f t="shared" si="336"/>
        <v>0.35685185185185186</v>
      </c>
      <c r="Z1048" s="27">
        <f t="shared" si="337"/>
        <v>0.13705547652916075</v>
      </c>
      <c r="AA1048" s="27"/>
      <c r="AB1048" s="40"/>
      <c r="AC1048" s="56">
        <f t="shared" si="339"/>
        <v>2.6234027656222649E-2</v>
      </c>
      <c r="AE1048" s="20">
        <f t="shared" si="330"/>
        <v>1195762.5</v>
      </c>
      <c r="AF1048" s="20">
        <f t="shared" si="331"/>
        <v>2965831764.3000002</v>
      </c>
      <c r="AG1048">
        <f t="shared" si="333"/>
        <v>126470520</v>
      </c>
      <c r="AH1048">
        <f t="shared" si="334"/>
        <v>131322600</v>
      </c>
      <c r="AI1048">
        <f t="shared" si="335"/>
        <v>46533848557.68</v>
      </c>
    </row>
    <row r="1049" spans="2:35" x14ac:dyDescent="0.25">
      <c r="B1049" s="4">
        <v>2025</v>
      </c>
      <c r="C1049" s="4" t="s">
        <v>28</v>
      </c>
      <c r="D1049" s="1" t="s">
        <v>607</v>
      </c>
      <c r="E1049" s="4" t="str">
        <f t="shared" si="325"/>
        <v>Nicor-IL</v>
      </c>
      <c r="F1049" s="4" t="s">
        <v>135</v>
      </c>
      <c r="G1049" s="4"/>
      <c r="H1049" s="11" t="s">
        <v>624</v>
      </c>
      <c r="I1049" s="4"/>
      <c r="J1049" s="4" t="s">
        <v>32</v>
      </c>
      <c r="K1049" s="5">
        <v>214000</v>
      </c>
      <c r="L1049" s="5">
        <f>1068000/4</f>
        <v>267000</v>
      </c>
      <c r="M1049" s="8">
        <v>856000</v>
      </c>
      <c r="N1049" s="8">
        <f>1846000/4</f>
        <v>461500</v>
      </c>
      <c r="O1049" s="8">
        <f>SUMIFS(EIAwtransport!$J$2:$J$675,EIAwtransport!$E$2:$E$675,Program_data!$E1049,EIAwtransport!$H$2:$H$675,Program_data!$F1049,EIAwtransport!$I$2:$I$675,Program_data!O$2)</f>
        <v>1709383229</v>
      </c>
      <c r="P1049" s="5">
        <f>SUMIFS(EIAwtransport!$J$2:$J$675,EIAwtransport!$E$2:$E$675,Program_data!$E1049,EIAwtransport!$H$2:$H$675,Program_data!$F1049,EIAwtransport!$I$2:$I$675,Program_data!P$2)</f>
        <v>214205766</v>
      </c>
      <c r="Q1049" s="5">
        <f>SUMIFS(EIAwtransport!$J$2:$J$675,EIAwtransport!$E$2:$E$675,Program_data!$E1049,EIAwtransport!$H$2:$H$675,Program_data!$F1049,EIAwtransport!$I$2:$I$675,Program_data!Q$2)</f>
        <v>2082068</v>
      </c>
      <c r="R1049" s="8">
        <f>SUMIFS(EIAwtransport!$J$2:$J$675,EIAwtransport!$E$2:$E$675,Program_data!$E1049,EIAwtransport!$I$2:$I$675,Program_data!R$2)</f>
        <v>2196912418</v>
      </c>
      <c r="S1049" s="5">
        <f>SUMIFS(EIAwtransport!$J$2:$J$675,EIAwtransport!$E$2:$E$675,Program_data!$E1049,EIAwtransport!$I$2:$I$675,Program_data!S$2)</f>
        <v>441162766</v>
      </c>
      <c r="T1049" s="5">
        <f>SUMIFS(EIAwtransport!$J$2:$J$675,EIAwtransport!$E$2:$E$675,Program_data!$E1049,EIAwtransport!$I$2:$I$675,Program_data!T$2)</f>
        <v>2252419</v>
      </c>
      <c r="U1049" s="24">
        <f t="shared" si="326"/>
        <v>4.6822561304665176E-5</v>
      </c>
      <c r="V1049" s="24">
        <f t="shared" si="340"/>
        <v>5.8418803123110288E-5</v>
      </c>
      <c r="W1049" s="24">
        <f t="shared" si="327"/>
        <v>3.8963774476693771E-4</v>
      </c>
      <c r="X1049" s="25">
        <f t="shared" si="328"/>
        <v>1.872902452186607E-4</v>
      </c>
      <c r="Y1049" s="8">
        <f t="shared" si="336"/>
        <v>0.15851851851851853</v>
      </c>
      <c r="Z1049" s="27">
        <f t="shared" si="337"/>
        <v>6.0881934566145095E-2</v>
      </c>
      <c r="AA1049" s="27"/>
      <c r="AB1049" s="40"/>
      <c r="AC1049" s="56">
        <f t="shared" si="339"/>
        <v>4.6823035182916159E-3</v>
      </c>
      <c r="AE1049" s="20">
        <f t="shared" si="330"/>
        <v>623025</v>
      </c>
      <c r="AF1049" s="20">
        <f t="shared" si="331"/>
        <v>2965831764.3000002</v>
      </c>
      <c r="AG1049">
        <f t="shared" si="333"/>
        <v>22572720</v>
      </c>
      <c r="AH1049">
        <f t="shared" si="334"/>
        <v>28163160</v>
      </c>
      <c r="AI1049">
        <f t="shared" si="335"/>
        <v>46533848557.68</v>
      </c>
    </row>
    <row r="1050" spans="2:35" x14ac:dyDescent="0.25">
      <c r="B1050" s="4">
        <v>2025</v>
      </c>
      <c r="C1050" s="4" t="s">
        <v>28</v>
      </c>
      <c r="D1050" s="1" t="s">
        <v>607</v>
      </c>
      <c r="E1050" s="4" t="str">
        <f t="shared" si="325"/>
        <v>Nicor-IL</v>
      </c>
      <c r="F1050" s="4" t="s">
        <v>143</v>
      </c>
      <c r="G1050" s="4">
        <v>1</v>
      </c>
      <c r="H1050" s="11" t="s">
        <v>625</v>
      </c>
      <c r="I1050" s="4"/>
      <c r="J1050" s="4" t="s">
        <v>108</v>
      </c>
      <c r="K1050" s="5">
        <v>799000</v>
      </c>
      <c r="L1050" s="5">
        <f>3194000/4</f>
        <v>798500</v>
      </c>
      <c r="M1050" s="8">
        <v>10906000</v>
      </c>
      <c r="N1050" s="8">
        <f>29470000/4</f>
        <v>7367500</v>
      </c>
      <c r="O1050" s="8">
        <f>SUMIFS(EIAwtransport!$J$2:$J$675,EIAwtransport!$E$2:$E$675,Program_data!$E1050,EIAwtransport!$H$2:$H$675,Program_data!$F1050,EIAwtransport!$I$2:$I$675,Program_data!O$2)</f>
        <v>0</v>
      </c>
      <c r="P1050" s="5">
        <f>SUMIFS(EIAwtransport!$J$2:$J$675,EIAwtransport!$E$2:$E$675,Program_data!$E1050,EIAwtransport!$H$2:$H$675,Program_data!$F1050,EIAwtransport!$I$2:$I$675,Program_data!P$2)</f>
        <v>0</v>
      </c>
      <c r="Q1050" s="5">
        <f>SUMIFS(EIAwtransport!$J$2:$J$675,EIAwtransport!$E$2:$E$675,Program_data!$E1050,EIAwtransport!$H$2:$H$675,Program_data!$F1050,EIAwtransport!$I$2:$I$675,Program_data!Q$2)</f>
        <v>0</v>
      </c>
      <c r="R1050" s="8">
        <f>SUMIFS(EIAwtransport!$J$2:$J$675,EIAwtransport!$E$2:$E$675,Program_data!$E1050,EIAwtransport!$I$2:$I$675,Program_data!R$2)</f>
        <v>2196912418</v>
      </c>
      <c r="S1050" s="5">
        <f>SUMIFS(EIAwtransport!$J$2:$J$675,EIAwtransport!$E$2:$E$675,Program_data!$E1050,EIAwtransport!$I$2:$I$675,Program_data!S$2)</f>
        <v>441162766</v>
      </c>
      <c r="T1050" s="5">
        <f>SUMIFS(EIAwtransport!$J$2:$J$675,EIAwtransport!$E$2:$E$675,Program_data!$E1050,EIAwtransport!$I$2:$I$675,Program_data!T$2)</f>
        <v>2252419</v>
      </c>
      <c r="U1050" s="24">
        <f t="shared" si="326"/>
        <v>1.7481881533844615E-4</v>
      </c>
      <c r="V1050" s="24">
        <f t="shared" si="340"/>
        <v>1.7470941683072499E-4</v>
      </c>
      <c r="W1050" s="24">
        <f t="shared" si="327"/>
        <v>4.9642397715282975E-3</v>
      </c>
      <c r="X1050" s="25">
        <f t="shared" si="328"/>
        <v>2.3862002504143852E-3</v>
      </c>
      <c r="Y1050" s="8">
        <f t="shared" si="336"/>
        <v>7.6965419901199716</v>
      </c>
      <c r="Z1050" s="27">
        <f t="shared" si="337"/>
        <v>0.77567567567567564</v>
      </c>
      <c r="AA1050" s="27"/>
      <c r="AB1050" s="40"/>
      <c r="AC1050" s="56">
        <f t="shared" si="339"/>
        <v>1.7482058463154211E-2</v>
      </c>
      <c r="AE1050" s="20">
        <f t="shared" si="330"/>
        <v>9946125</v>
      </c>
      <c r="AF1050" s="20">
        <f t="shared" si="331"/>
        <v>2965831764.3000002</v>
      </c>
      <c r="AG1050">
        <f t="shared" si="333"/>
        <v>84278520</v>
      </c>
      <c r="AH1050">
        <f t="shared" si="334"/>
        <v>84225780</v>
      </c>
      <c r="AI1050">
        <f t="shared" si="335"/>
        <v>46533848557.68</v>
      </c>
    </row>
    <row r="1051" spans="2:35" x14ac:dyDescent="0.25">
      <c r="B1051" s="4">
        <v>2025</v>
      </c>
      <c r="C1051" s="4" t="s">
        <v>28</v>
      </c>
      <c r="D1051" s="1" t="s">
        <v>607</v>
      </c>
      <c r="E1051" s="4" t="str">
        <f t="shared" si="325"/>
        <v>Nicor-IL</v>
      </c>
      <c r="F1051" s="4" t="s">
        <v>143</v>
      </c>
      <c r="G1051" s="4">
        <v>1</v>
      </c>
      <c r="H1051" s="11" t="s">
        <v>614</v>
      </c>
      <c r="I1051" s="4"/>
      <c r="J1051" s="4" t="s">
        <v>108</v>
      </c>
      <c r="K1051" s="5">
        <v>38000</v>
      </c>
      <c r="L1051">
        <f>150000/4</f>
        <v>37500</v>
      </c>
      <c r="M1051" s="8">
        <v>693000</v>
      </c>
      <c r="N1051" s="8">
        <f>1797000/4</f>
        <v>449250</v>
      </c>
      <c r="O1051" s="8">
        <f>SUMIFS(EIAwtransport!$J$2:$J$675,EIAwtransport!$E$2:$E$675,Program_data!$E1051,EIAwtransport!$H$2:$H$675,Program_data!$F1051,EIAwtransport!$I$2:$I$675,Program_data!O$2)</f>
        <v>0</v>
      </c>
      <c r="P1051" s="5">
        <f>SUMIFS(EIAwtransport!$J$2:$J$675,EIAwtransport!$E$2:$E$675,Program_data!$E1051,EIAwtransport!$H$2:$H$675,Program_data!$F1051,EIAwtransport!$I$2:$I$675,Program_data!P$2)</f>
        <v>0</v>
      </c>
      <c r="Q1051" s="5">
        <f>SUMIFS(EIAwtransport!$J$2:$J$675,EIAwtransport!$E$2:$E$675,Program_data!$E1051,EIAwtransport!$H$2:$H$675,Program_data!$F1051,EIAwtransport!$I$2:$I$675,Program_data!Q$2)</f>
        <v>0</v>
      </c>
      <c r="R1051" s="8">
        <f>SUMIFS(EIAwtransport!$J$2:$J$675,EIAwtransport!$E$2:$E$675,Program_data!$E1051,EIAwtransport!$I$2:$I$675,Program_data!R$2)</f>
        <v>2196912418</v>
      </c>
      <c r="S1051" s="5">
        <f>SUMIFS(EIAwtransport!$J$2:$J$675,EIAwtransport!$E$2:$E$675,Program_data!$E1051,EIAwtransport!$I$2:$I$675,Program_data!S$2)</f>
        <v>441162766</v>
      </c>
      <c r="T1051" s="5">
        <f>SUMIFS(EIAwtransport!$J$2:$J$675,EIAwtransport!$E$2:$E$675,Program_data!$E1051,EIAwtransport!$I$2:$I$675,Program_data!T$2)</f>
        <v>2252419</v>
      </c>
      <c r="U1051" s="24">
        <f t="shared" si="326"/>
        <v>8.3142865868097038E-6</v>
      </c>
      <c r="V1051" s="24">
        <f t="shared" si="340"/>
        <v>8.2048880790885239E-6</v>
      </c>
      <c r="W1051" s="24">
        <f t="shared" si="327"/>
        <v>3.1544270691996243E-4</v>
      </c>
      <c r="X1051" s="25">
        <f t="shared" si="328"/>
        <v>1.5162633170155593E-4</v>
      </c>
      <c r="Y1051" s="8">
        <f t="shared" si="336"/>
        <v>0.48906139731827808</v>
      </c>
      <c r="Z1051" s="27">
        <f t="shared" si="337"/>
        <v>4.9288762446657183E-2</v>
      </c>
      <c r="AA1051" s="27"/>
      <c r="AB1051" s="40"/>
      <c r="AC1051" s="56">
        <f t="shared" si="339"/>
        <v>8.3143707334150179E-4</v>
      </c>
      <c r="AE1051" s="20">
        <f t="shared" si="330"/>
        <v>606487.5</v>
      </c>
      <c r="AF1051" s="20">
        <f t="shared" si="331"/>
        <v>2965831764.3000002</v>
      </c>
      <c r="AG1051">
        <f t="shared" si="333"/>
        <v>4008240</v>
      </c>
      <c r="AH1051">
        <f t="shared" si="334"/>
        <v>3955500</v>
      </c>
      <c r="AI1051">
        <f t="shared" si="335"/>
        <v>46533848557.68</v>
      </c>
    </row>
    <row r="1052" spans="2:35" x14ac:dyDescent="0.25">
      <c r="B1052" s="4">
        <v>2025</v>
      </c>
      <c r="C1052" s="4" t="s">
        <v>28</v>
      </c>
      <c r="D1052" s="1" t="s">
        <v>607</v>
      </c>
      <c r="E1052" s="4" t="str">
        <f t="shared" si="325"/>
        <v>Nicor-IL</v>
      </c>
      <c r="F1052" s="4" t="s">
        <v>143</v>
      </c>
      <c r="G1052" s="4">
        <v>1</v>
      </c>
      <c r="H1052" s="11" t="s">
        <v>612</v>
      </c>
      <c r="I1052" s="4"/>
      <c r="J1052" s="4" t="s">
        <v>108</v>
      </c>
      <c r="K1052" s="5">
        <v>50000</v>
      </c>
      <c r="L1052" s="5">
        <f>201000/4</f>
        <v>50250</v>
      </c>
      <c r="M1052" s="8">
        <v>301000</v>
      </c>
      <c r="N1052" s="8">
        <f>544000/4</f>
        <v>136000</v>
      </c>
      <c r="O1052" s="8">
        <f>SUMIFS(EIAwtransport!$J$2:$J$675,EIAwtransport!$E$2:$E$675,Program_data!$E1052,EIAwtransport!$H$2:$H$675,Program_data!$F1052,EIAwtransport!$I$2:$I$675,Program_data!O$2)</f>
        <v>0</v>
      </c>
      <c r="P1052" s="5">
        <f>SUMIFS(EIAwtransport!$J$2:$J$675,EIAwtransport!$E$2:$E$675,Program_data!$E1052,EIAwtransport!$H$2:$H$675,Program_data!$F1052,EIAwtransport!$I$2:$I$675,Program_data!P$2)</f>
        <v>0</v>
      </c>
      <c r="Q1052" s="5">
        <f>SUMIFS(EIAwtransport!$J$2:$J$675,EIAwtransport!$E$2:$E$675,Program_data!$E1052,EIAwtransport!$H$2:$H$675,Program_data!$F1052,EIAwtransport!$I$2:$I$675,Program_data!Q$2)</f>
        <v>0</v>
      </c>
      <c r="R1052" s="8">
        <f>SUMIFS(EIAwtransport!$J$2:$J$675,EIAwtransport!$E$2:$E$675,Program_data!$E1052,EIAwtransport!$I$2:$I$675,Program_data!R$2)</f>
        <v>2196912418</v>
      </c>
      <c r="S1052" s="5">
        <f>SUMIFS(EIAwtransport!$J$2:$J$675,EIAwtransport!$E$2:$E$675,Program_data!$E1052,EIAwtransport!$I$2:$I$675,Program_data!S$2)</f>
        <v>441162766</v>
      </c>
      <c r="T1052" s="5">
        <f>SUMIFS(EIAwtransport!$J$2:$J$675,EIAwtransport!$E$2:$E$675,Program_data!$E1052,EIAwtransport!$I$2:$I$675,Program_data!T$2)</f>
        <v>2252419</v>
      </c>
      <c r="U1052" s="24">
        <f t="shared" si="326"/>
        <v>1.0939850772118031E-5</v>
      </c>
      <c r="V1052" s="24">
        <f t="shared" si="340"/>
        <v>1.099455002597862E-5</v>
      </c>
      <c r="W1052" s="24">
        <f t="shared" si="327"/>
        <v>1.370104686622059E-4</v>
      </c>
      <c r="X1052" s="25">
        <f t="shared" si="328"/>
        <v>6.5857901648150554E-5</v>
      </c>
      <c r="Y1052" s="8">
        <f t="shared" si="336"/>
        <v>0.21242060691601977</v>
      </c>
      <c r="Z1052" s="27">
        <f t="shared" si="337"/>
        <v>2.1408250355618778E-2</v>
      </c>
      <c r="AA1052" s="27"/>
      <c r="AB1052" s="40"/>
      <c r="AC1052" s="56">
        <f t="shared" si="339"/>
        <v>1.093996149133555E-3</v>
      </c>
      <c r="AE1052" s="20">
        <f t="shared" si="330"/>
        <v>183600</v>
      </c>
      <c r="AF1052" s="20">
        <f t="shared" si="331"/>
        <v>2965831764.3000002</v>
      </c>
      <c r="AG1052">
        <f t="shared" si="333"/>
        <v>5274000</v>
      </c>
      <c r="AH1052">
        <f t="shared" si="334"/>
        <v>5300370</v>
      </c>
      <c r="AI1052">
        <f t="shared" si="335"/>
        <v>46533848557.68</v>
      </c>
    </row>
    <row r="1053" spans="2:35" x14ac:dyDescent="0.25">
      <c r="B1053" s="4">
        <v>2025</v>
      </c>
      <c r="C1053" s="4" t="s">
        <v>28</v>
      </c>
      <c r="D1053" s="1" t="s">
        <v>607</v>
      </c>
      <c r="E1053" s="4" t="str">
        <f t="shared" si="325"/>
        <v>Nicor-IL</v>
      </c>
      <c r="F1053" s="4" t="s">
        <v>143</v>
      </c>
      <c r="G1053" s="4">
        <v>1</v>
      </c>
      <c r="H1053" s="11" t="s">
        <v>613</v>
      </c>
      <c r="I1053" s="4"/>
      <c r="J1053" s="4" t="s">
        <v>108</v>
      </c>
      <c r="K1053" s="5">
        <v>530000</v>
      </c>
      <c r="L1053" s="5">
        <f>2121000/4</f>
        <v>530250</v>
      </c>
      <c r="M1053" s="8">
        <v>1100000</v>
      </c>
      <c r="N1053" s="8">
        <f>1697000/4</f>
        <v>424250</v>
      </c>
      <c r="O1053" s="8">
        <f>SUMIFS(EIAwtransport!$J$2:$J$675,EIAwtransport!$E$2:$E$675,Program_data!$E1053,EIAwtransport!$H$2:$H$675,Program_data!$F1053,EIAwtransport!$I$2:$I$675,Program_data!O$2)</f>
        <v>0</v>
      </c>
      <c r="P1053" s="5">
        <f>SUMIFS(EIAwtransport!$J$2:$J$675,EIAwtransport!$E$2:$E$675,Program_data!$E1053,EIAwtransport!$H$2:$H$675,Program_data!$F1053,EIAwtransport!$I$2:$I$675,Program_data!P$2)</f>
        <v>0</v>
      </c>
      <c r="Q1053" s="5">
        <f>SUMIFS(EIAwtransport!$J$2:$J$675,EIAwtransport!$E$2:$E$675,Program_data!$E1053,EIAwtransport!$H$2:$H$675,Program_data!$F1053,EIAwtransport!$I$2:$I$675,Program_data!Q$2)</f>
        <v>0</v>
      </c>
      <c r="R1053" s="8">
        <f>SUMIFS(EIAwtransport!$J$2:$J$675,EIAwtransport!$E$2:$E$675,Program_data!$E1053,EIAwtransport!$I$2:$I$675,Program_data!R$2)</f>
        <v>2196912418</v>
      </c>
      <c r="S1053" s="5">
        <f>SUMIFS(EIAwtransport!$J$2:$J$675,EIAwtransport!$E$2:$E$675,Program_data!$E1053,EIAwtransport!$I$2:$I$675,Program_data!S$2)</f>
        <v>441162766</v>
      </c>
      <c r="T1053" s="5">
        <f>SUMIFS(EIAwtransport!$J$2:$J$675,EIAwtransport!$E$2:$E$675,Program_data!$E1053,EIAwtransport!$I$2:$I$675,Program_data!T$2)</f>
        <v>2252419</v>
      </c>
      <c r="U1053" s="24">
        <f t="shared" si="326"/>
        <v>1.1596241818445114E-4</v>
      </c>
      <c r="V1053" s="24">
        <f t="shared" si="340"/>
        <v>1.1601711743831172E-4</v>
      </c>
      <c r="W1053" s="24">
        <f t="shared" si="327"/>
        <v>5.0070270939676573E-4</v>
      </c>
      <c r="X1053" s="25">
        <f t="shared" si="328"/>
        <v>2.4067671698659666E-4</v>
      </c>
      <c r="Y1053" s="8">
        <f t="shared" si="336"/>
        <v>0.77628793225123505</v>
      </c>
      <c r="Z1053" s="27">
        <f t="shared" si="337"/>
        <v>7.8236130867709822E-2</v>
      </c>
      <c r="AA1053" s="27"/>
      <c r="AB1053" s="40"/>
      <c r="AC1053" s="56">
        <f t="shared" si="339"/>
        <v>1.1596359180815684E-2</v>
      </c>
      <c r="AE1053" s="20">
        <f t="shared" si="330"/>
        <v>572737.5</v>
      </c>
      <c r="AF1053" s="20">
        <f t="shared" si="331"/>
        <v>2965831764.3000002</v>
      </c>
      <c r="AG1053">
        <f t="shared" si="333"/>
        <v>55904400</v>
      </c>
      <c r="AH1053">
        <f t="shared" si="334"/>
        <v>55930770</v>
      </c>
      <c r="AI1053">
        <f t="shared" si="335"/>
        <v>46533848557.68</v>
      </c>
    </row>
    <row r="1054" spans="2:35" x14ac:dyDescent="0.25">
      <c r="B1054" s="4">
        <v>2025</v>
      </c>
      <c r="C1054" s="4" t="s">
        <v>28</v>
      </c>
      <c r="D1054" s="1" t="s">
        <v>607</v>
      </c>
      <c r="E1054" s="4" t="str">
        <f t="shared" si="325"/>
        <v>Nicor-IL</v>
      </c>
      <c r="F1054" s="4" t="s">
        <v>146</v>
      </c>
      <c r="G1054" s="4"/>
      <c r="H1054" s="11" t="s">
        <v>616</v>
      </c>
      <c r="I1054" s="4"/>
      <c r="J1054" s="4" t="s">
        <v>142</v>
      </c>
      <c r="K1054" s="5">
        <v>3675000</v>
      </c>
      <c r="L1054" s="5">
        <f>16506000/4</f>
        <v>4126500</v>
      </c>
      <c r="M1054" s="8">
        <v>3445000</v>
      </c>
      <c r="N1054" s="8">
        <f>5981000/4</f>
        <v>1495250</v>
      </c>
      <c r="O1054" s="8">
        <f>SUMIFS(EIAwtransport!$J$2:$J$675,EIAwtransport!$E$2:$E$675,Program_data!$E1054,EIAwtransport!$H$2:$H$675,Program_data!$F1054,EIAwtransport!$I$2:$I$675,Program_data!O$2)</f>
        <v>487529189</v>
      </c>
      <c r="P1054" s="5">
        <f>SUMIFS(EIAwtransport!$J$2:$J$675,EIAwtransport!$E$2:$E$675,Program_data!$E1054,EIAwtransport!$H$2:$H$675,Program_data!$F1054,EIAwtransport!$I$2:$I$675,Program_data!P$2)</f>
        <v>226957000</v>
      </c>
      <c r="Q1054" s="5">
        <f>SUMIFS(EIAwtransport!$J$2:$J$675,EIAwtransport!$E$2:$E$675,Program_data!$E1054,EIAwtransport!$H$2:$H$675,Program_data!$F1054,EIAwtransport!$I$2:$I$675,Program_data!Q$2)</f>
        <v>170351</v>
      </c>
      <c r="R1054" s="8">
        <f>SUMIFS(EIAwtransport!$J$2:$J$675,EIAwtransport!$E$2:$E$675,Program_data!$E1054,EIAwtransport!$I$2:$I$675,Program_data!R$2)</f>
        <v>2196912418</v>
      </c>
      <c r="S1054" s="5">
        <f>SUMIFS(EIAwtransport!$J$2:$J$675,EIAwtransport!$E$2:$E$675,Program_data!$E1054,EIAwtransport!$I$2:$I$675,Program_data!S$2)</f>
        <v>441162766</v>
      </c>
      <c r="T1054" s="5">
        <f>SUMIFS(EIAwtransport!$J$2:$J$675,EIAwtransport!$E$2:$E$675,Program_data!$E1054,EIAwtransport!$I$2:$I$675,Program_data!T$2)</f>
        <v>2252419</v>
      </c>
      <c r="U1054" s="24">
        <f t="shared" si="326"/>
        <v>8.0407903175067541E-4</v>
      </c>
      <c r="V1054" s="24">
        <f t="shared" si="340"/>
        <v>9.0286588422290115E-4</v>
      </c>
      <c r="W1054" s="24">
        <f t="shared" si="327"/>
        <v>1.5681098489744164E-3</v>
      </c>
      <c r="X1054" s="25">
        <f t="shared" si="328"/>
        <v>7.5375571819893234E-4</v>
      </c>
      <c r="Y1054" s="8">
        <f t="shared" si="336"/>
        <v>0.47563164434626537</v>
      </c>
      <c r="Z1054" s="27">
        <f t="shared" si="337"/>
        <v>0.24502133712660029</v>
      </c>
      <c r="AA1054" s="27"/>
      <c r="AB1054" s="40"/>
      <c r="AC1054" s="56">
        <f t="shared" si="339"/>
        <v>8.0408716961316296E-2</v>
      </c>
      <c r="AE1054" s="20">
        <f t="shared" si="330"/>
        <v>2018587.5000000002</v>
      </c>
      <c r="AF1054" s="20">
        <f t="shared" si="331"/>
        <v>2965831764.3000002</v>
      </c>
      <c r="AG1054">
        <f t="shared" si="333"/>
        <v>387639000</v>
      </c>
      <c r="AH1054">
        <f t="shared" si="334"/>
        <v>435263220</v>
      </c>
      <c r="AI1054">
        <f t="shared" si="335"/>
        <v>46533848557.68</v>
      </c>
    </row>
    <row r="1055" spans="2:35" x14ac:dyDescent="0.25">
      <c r="B1055" s="4">
        <v>2025</v>
      </c>
      <c r="C1055" s="4" t="s">
        <v>28</v>
      </c>
      <c r="D1055" s="1" t="s">
        <v>607</v>
      </c>
      <c r="E1055" s="4" t="str">
        <f t="shared" si="325"/>
        <v>Nicor-IL</v>
      </c>
      <c r="F1055" s="4" t="s">
        <v>146</v>
      </c>
      <c r="G1055" s="4"/>
      <c r="H1055" s="11" t="s">
        <v>626</v>
      </c>
      <c r="I1055" s="4"/>
      <c r="J1055" s="4" t="s">
        <v>32</v>
      </c>
      <c r="K1055" s="5">
        <v>116000</v>
      </c>
      <c r="L1055" s="5">
        <f>862000/4</f>
        <v>215500</v>
      </c>
      <c r="M1055" s="8">
        <v>527000</v>
      </c>
      <c r="N1055" s="8">
        <f>406000/4</f>
        <v>101500</v>
      </c>
      <c r="O1055" s="8">
        <f>SUMIFS(EIAwtransport!$J$2:$J$675,EIAwtransport!$E$2:$E$675,Program_data!$E1055,EIAwtransport!$H$2:$H$675,Program_data!$F1055,EIAwtransport!$I$2:$I$675,Program_data!O$2)</f>
        <v>487529189</v>
      </c>
      <c r="P1055" s="5">
        <f>SUMIFS(EIAwtransport!$J$2:$J$675,EIAwtransport!$E$2:$E$675,Program_data!$E1055,EIAwtransport!$H$2:$H$675,Program_data!$F1055,EIAwtransport!$I$2:$I$675,Program_data!P$2)</f>
        <v>226957000</v>
      </c>
      <c r="Q1055" s="5">
        <f>SUMIFS(EIAwtransport!$J$2:$J$675,EIAwtransport!$E$2:$E$675,Program_data!$E1055,EIAwtransport!$H$2:$H$675,Program_data!$F1055,EIAwtransport!$I$2:$I$675,Program_data!Q$2)</f>
        <v>170351</v>
      </c>
      <c r="R1055" s="8">
        <f>SUMIFS(EIAwtransport!$J$2:$J$675,EIAwtransport!$E$2:$E$675,Program_data!$E1055,EIAwtransport!$I$2:$I$675,Program_data!R$2)</f>
        <v>2196912418</v>
      </c>
      <c r="S1055" s="5">
        <f>SUMIFS(EIAwtransport!$J$2:$J$675,EIAwtransport!$E$2:$E$675,Program_data!$E1055,EIAwtransport!$I$2:$I$675,Program_data!S$2)</f>
        <v>441162766</v>
      </c>
      <c r="T1055" s="5">
        <f>SUMIFS(EIAwtransport!$J$2:$J$675,EIAwtransport!$E$2:$E$675,Program_data!$E1055,EIAwtransport!$I$2:$I$675,Program_data!T$2)</f>
        <v>2252419</v>
      </c>
      <c r="U1055" s="24">
        <f t="shared" si="326"/>
        <v>2.5380453791313836E-5</v>
      </c>
      <c r="V1055" s="24">
        <f t="shared" si="340"/>
        <v>4.7150756827828714E-5</v>
      </c>
      <c r="W1055" s="24">
        <f t="shared" si="327"/>
        <v>2.3988211622917778E-4</v>
      </c>
      <c r="X1055" s="25">
        <f t="shared" si="328"/>
        <v>1.1530602713812406E-4</v>
      </c>
      <c r="Y1055" s="8">
        <f t="shared" si="336"/>
        <v>7.2759906116250175E-2</v>
      </c>
      <c r="Z1055" s="27">
        <f t="shared" si="337"/>
        <v>3.748221906116643E-2</v>
      </c>
      <c r="AA1055" s="27"/>
      <c r="AB1055" s="40"/>
      <c r="AC1055" s="56">
        <f t="shared" si="339"/>
        <v>2.5380710659898475E-3</v>
      </c>
      <c r="AE1055" s="20">
        <f t="shared" si="330"/>
        <v>137025</v>
      </c>
      <c r="AF1055" s="20">
        <f t="shared" si="331"/>
        <v>2965831764.3000002</v>
      </c>
      <c r="AG1055">
        <f t="shared" si="333"/>
        <v>12235680</v>
      </c>
      <c r="AH1055">
        <f t="shared" si="334"/>
        <v>22730940</v>
      </c>
      <c r="AI1055">
        <f t="shared" si="335"/>
        <v>46533848557.68</v>
      </c>
    </row>
    <row r="1056" spans="2:35" x14ac:dyDescent="0.25">
      <c r="B1056" s="4">
        <v>2025</v>
      </c>
      <c r="C1056" s="4" t="s">
        <v>28</v>
      </c>
      <c r="D1056" s="1" t="s">
        <v>607</v>
      </c>
      <c r="E1056" s="4" t="str">
        <f t="shared" si="325"/>
        <v>Nicor-IL</v>
      </c>
      <c r="F1056" s="4" t="s">
        <v>146</v>
      </c>
      <c r="G1056" s="4"/>
      <c r="H1056" s="11" t="s">
        <v>627</v>
      </c>
      <c r="I1056" s="4"/>
      <c r="J1056" s="4" t="s">
        <v>61</v>
      </c>
      <c r="K1056" s="5">
        <v>1558000</v>
      </c>
      <c r="L1056" s="5">
        <f>7745000/4</f>
        <v>1936250</v>
      </c>
      <c r="M1056" s="8">
        <v>4394000</v>
      </c>
      <c r="N1056" s="8">
        <f>9290000/4</f>
        <v>2322500</v>
      </c>
      <c r="O1056" s="8">
        <f>SUMIFS(EIAwtransport!$J$2:$J$675,EIAwtransport!$E$2:$E$675,Program_data!$E1056,EIAwtransport!$H$2:$H$675,Program_data!$F1056,EIAwtransport!$I$2:$I$675,Program_data!O$2)</f>
        <v>487529189</v>
      </c>
      <c r="P1056" s="5">
        <f>SUMIFS(EIAwtransport!$J$2:$J$675,EIAwtransport!$E$2:$E$675,Program_data!$E1056,EIAwtransport!$H$2:$H$675,Program_data!$F1056,EIAwtransport!$I$2:$I$675,Program_data!P$2)</f>
        <v>226957000</v>
      </c>
      <c r="Q1056" s="5">
        <f>SUMIFS(EIAwtransport!$J$2:$J$675,EIAwtransport!$E$2:$E$675,Program_data!$E1056,EIAwtransport!$H$2:$H$675,Program_data!$F1056,EIAwtransport!$I$2:$I$675,Program_data!Q$2)</f>
        <v>170351</v>
      </c>
      <c r="R1056" s="8">
        <f>SUMIFS(EIAwtransport!$J$2:$J$675,EIAwtransport!$E$2:$E$675,Program_data!$E1056,EIAwtransport!$I$2:$I$675,Program_data!R$2)</f>
        <v>2196912418</v>
      </c>
      <c r="S1056" s="5">
        <f>SUMIFS(EIAwtransport!$J$2:$J$675,EIAwtransport!$E$2:$E$675,Program_data!$E1056,EIAwtransport!$I$2:$I$675,Program_data!S$2)</f>
        <v>441162766</v>
      </c>
      <c r="T1056" s="5">
        <f>SUMIFS(EIAwtransport!$J$2:$J$675,EIAwtransport!$E$2:$E$675,Program_data!$E1056,EIAwtransport!$I$2:$I$675,Program_data!T$2)</f>
        <v>2252419</v>
      </c>
      <c r="U1056" s="24">
        <f t="shared" si="326"/>
        <v>3.4088575005919783E-4</v>
      </c>
      <c r="V1056" s="24">
        <f t="shared" si="340"/>
        <v>4.2364572115027079E-4</v>
      </c>
      <c r="W1056" s="24">
        <f t="shared" si="327"/>
        <v>2.0000797318994444E-3</v>
      </c>
      <c r="X1056" s="25">
        <f t="shared" si="328"/>
        <v>9.6139408585373272E-4</v>
      </c>
      <c r="Y1056" s="8">
        <f t="shared" si="336"/>
        <v>0.60665470109070829</v>
      </c>
      <c r="Z1056" s="27">
        <f t="shared" si="337"/>
        <v>0.31251778093883359</v>
      </c>
      <c r="AA1056" s="27"/>
      <c r="AB1056" s="40"/>
      <c r="AC1056" s="56">
        <f t="shared" si="339"/>
        <v>3.4088920007001575E-2</v>
      </c>
      <c r="AE1056" s="20">
        <f t="shared" si="330"/>
        <v>3135375</v>
      </c>
      <c r="AF1056" s="20">
        <f t="shared" si="331"/>
        <v>2965831764.3000002</v>
      </c>
      <c r="AG1056">
        <f t="shared" si="333"/>
        <v>164337840</v>
      </c>
      <c r="AH1056">
        <f t="shared" si="334"/>
        <v>204235650</v>
      </c>
      <c r="AI1056">
        <f t="shared" si="335"/>
        <v>46533848557.68</v>
      </c>
    </row>
    <row r="1057" spans="2:35" x14ac:dyDescent="0.25">
      <c r="B1057" s="4">
        <v>2025</v>
      </c>
      <c r="C1057" s="4" t="s">
        <v>28</v>
      </c>
      <c r="D1057" s="1" t="s">
        <v>607</v>
      </c>
      <c r="E1057" s="4" t="str">
        <f t="shared" si="325"/>
        <v>Nicor-IL</v>
      </c>
      <c r="F1057" s="4" t="s">
        <v>146</v>
      </c>
      <c r="G1057" s="4"/>
      <c r="H1057" s="11" t="s">
        <v>617</v>
      </c>
      <c r="I1057" s="4"/>
      <c r="J1057" s="4" t="s">
        <v>238</v>
      </c>
      <c r="K1057" s="5">
        <v>1105000</v>
      </c>
      <c r="L1057" s="5">
        <f>5295000/4</f>
        <v>1323750</v>
      </c>
      <c r="M1057" s="8">
        <v>1720000</v>
      </c>
      <c r="N1057" s="8">
        <f>3265000/4</f>
        <v>816250</v>
      </c>
      <c r="O1057" s="8">
        <f>SUMIFS(EIAwtransport!$J$2:$J$675,EIAwtransport!$E$2:$E$675,Program_data!$E1057,EIAwtransport!$H$2:$H$675,Program_data!$F1057,EIAwtransport!$I$2:$I$675,Program_data!O$2)</f>
        <v>487529189</v>
      </c>
      <c r="P1057" s="5">
        <f>SUMIFS(EIAwtransport!$J$2:$J$675,EIAwtransport!$E$2:$E$675,Program_data!$E1057,EIAwtransport!$H$2:$H$675,Program_data!$F1057,EIAwtransport!$I$2:$I$675,Program_data!P$2)</f>
        <v>226957000</v>
      </c>
      <c r="Q1057" s="5">
        <f>SUMIFS(EIAwtransport!$J$2:$J$675,EIAwtransport!$E$2:$E$675,Program_data!$E1057,EIAwtransport!$H$2:$H$675,Program_data!$F1057,EIAwtransport!$I$2:$I$675,Program_data!Q$2)</f>
        <v>170351</v>
      </c>
      <c r="R1057" s="8">
        <f>SUMIFS(EIAwtransport!$J$2:$J$675,EIAwtransport!$E$2:$E$675,Program_data!$E1057,EIAwtransport!$I$2:$I$675,Program_data!R$2)</f>
        <v>2196912418</v>
      </c>
      <c r="S1057" s="5">
        <f>SUMIFS(EIAwtransport!$J$2:$J$675,EIAwtransport!$E$2:$E$675,Program_data!$E1057,EIAwtransport!$I$2:$I$675,Program_data!S$2)</f>
        <v>441162766</v>
      </c>
      <c r="T1057" s="5">
        <f>SUMIFS(EIAwtransport!$J$2:$J$675,EIAwtransport!$E$2:$E$675,Program_data!$E1057,EIAwtransport!$I$2:$I$675,Program_data!T$2)</f>
        <v>2252419</v>
      </c>
      <c r="U1057" s="24">
        <f t="shared" si="326"/>
        <v>2.4177070206380852E-4</v>
      </c>
      <c r="V1057" s="24">
        <f t="shared" si="340"/>
        <v>2.8963254919182489E-4</v>
      </c>
      <c r="W1057" s="24">
        <f t="shared" si="327"/>
        <v>7.8291696378403374E-4</v>
      </c>
      <c r="X1057" s="25">
        <f t="shared" si="328"/>
        <v>3.7633086656086026E-4</v>
      </c>
      <c r="Y1057" s="8">
        <f t="shared" si="336"/>
        <v>0.23747066132817893</v>
      </c>
      <c r="Z1057" s="27">
        <f t="shared" si="337"/>
        <v>0.12233285917496443</v>
      </c>
      <c r="AA1057" s="27"/>
      <c r="AB1057" s="40"/>
      <c r="AC1057" s="56">
        <f t="shared" si="339"/>
        <v>2.4177314895851565E-2</v>
      </c>
      <c r="AE1057" s="20">
        <f t="shared" si="330"/>
        <v>1101937.5</v>
      </c>
      <c r="AF1057" s="20">
        <f t="shared" si="331"/>
        <v>2965831764.3000002</v>
      </c>
      <c r="AG1057">
        <f t="shared" si="333"/>
        <v>116555400</v>
      </c>
      <c r="AH1057">
        <f t="shared" si="334"/>
        <v>139629150</v>
      </c>
      <c r="AI1057">
        <f t="shared" si="335"/>
        <v>46533848557.68</v>
      </c>
    </row>
    <row r="1058" spans="2:35" x14ac:dyDescent="0.25">
      <c r="B1058" s="4">
        <v>2025</v>
      </c>
      <c r="C1058" s="4" t="s">
        <v>28</v>
      </c>
      <c r="D1058" s="1" t="s">
        <v>607</v>
      </c>
      <c r="E1058" s="4" t="str">
        <f t="shared" si="325"/>
        <v>Nicor-IL</v>
      </c>
      <c r="F1058" s="4" t="s">
        <v>146</v>
      </c>
      <c r="G1058" s="4"/>
      <c r="H1058" s="11" t="s">
        <v>628</v>
      </c>
      <c r="I1058" s="4"/>
      <c r="J1058" s="4" t="s">
        <v>68</v>
      </c>
      <c r="K1058" s="5">
        <v>789000</v>
      </c>
      <c r="L1058" s="5">
        <f>3158000/4</f>
        <v>789500</v>
      </c>
      <c r="M1058" s="8">
        <v>935000</v>
      </c>
      <c r="N1058" s="8">
        <f>2630000/4</f>
        <v>657500</v>
      </c>
      <c r="O1058" s="8">
        <f>SUMIFS(EIAwtransport!$J$2:$J$675,EIAwtransport!$E$2:$E$675,Program_data!$E1058,EIAwtransport!$H$2:$H$675,Program_data!$F1058,EIAwtransport!$I$2:$I$675,Program_data!O$2)</f>
        <v>487529189</v>
      </c>
      <c r="P1058" s="5">
        <f>SUMIFS(EIAwtransport!$J$2:$J$675,EIAwtransport!$E$2:$E$675,Program_data!$E1058,EIAwtransport!$H$2:$H$675,Program_data!$F1058,EIAwtransport!$I$2:$I$675,Program_data!P$2)</f>
        <v>226957000</v>
      </c>
      <c r="Q1058" s="5">
        <f>SUMIFS(EIAwtransport!$J$2:$J$675,EIAwtransport!$E$2:$E$675,Program_data!$E1058,EIAwtransport!$H$2:$H$675,Program_data!$F1058,EIAwtransport!$I$2:$I$675,Program_data!Q$2)</f>
        <v>170351</v>
      </c>
      <c r="R1058" s="8">
        <f>SUMIFS(EIAwtransport!$J$2:$J$675,EIAwtransport!$E$2:$E$675,Program_data!$E1058,EIAwtransport!$I$2:$I$675,Program_data!R$2)</f>
        <v>2196912418</v>
      </c>
      <c r="S1058" s="5">
        <f>SUMIFS(EIAwtransport!$J$2:$J$675,EIAwtransport!$E$2:$E$675,Program_data!$E1058,EIAwtransport!$I$2:$I$675,Program_data!S$2)</f>
        <v>441162766</v>
      </c>
      <c r="T1058" s="5">
        <f>SUMIFS(EIAwtransport!$J$2:$J$675,EIAwtransport!$E$2:$E$675,Program_data!$E1058,EIAwtransport!$I$2:$I$675,Program_data!T$2)</f>
        <v>2252419</v>
      </c>
      <c r="U1058" s="24">
        <f t="shared" si="326"/>
        <v>1.7263084518402255E-4</v>
      </c>
      <c r="V1058" s="24">
        <f t="shared" si="340"/>
        <v>1.7274024369174373E-4</v>
      </c>
      <c r="W1058" s="24">
        <f t="shared" si="327"/>
        <v>4.255973029872509E-4</v>
      </c>
      <c r="X1058" s="25">
        <f t="shared" si="328"/>
        <v>2.0457520943860719E-4</v>
      </c>
      <c r="Y1058" s="8">
        <f t="shared" si="336"/>
        <v>0.12909015601270191</v>
      </c>
      <c r="Z1058" s="27">
        <f t="shared" si="337"/>
        <v>6.6500711237553342E-2</v>
      </c>
      <c r="AA1058" s="27"/>
      <c r="AB1058" s="40"/>
      <c r="AC1058" s="56">
        <f t="shared" si="339"/>
        <v>1.7263259233327499E-2</v>
      </c>
      <c r="AE1058" s="20">
        <f t="shared" si="330"/>
        <v>887625.00000000012</v>
      </c>
      <c r="AF1058" s="20">
        <f t="shared" si="331"/>
        <v>2965831764.3000002</v>
      </c>
      <c r="AG1058">
        <f t="shared" si="333"/>
        <v>83223720</v>
      </c>
      <c r="AH1058">
        <f t="shared" si="334"/>
        <v>83276460</v>
      </c>
      <c r="AI1058">
        <f t="shared" si="335"/>
        <v>46533848557.68</v>
      </c>
    </row>
    <row r="1059" spans="2:35" x14ac:dyDescent="0.25">
      <c r="B1059" s="4">
        <v>2025</v>
      </c>
      <c r="C1059" s="4" t="s">
        <v>28</v>
      </c>
      <c r="D1059" s="1" t="s">
        <v>607</v>
      </c>
      <c r="E1059" s="4" t="str">
        <f t="shared" si="325"/>
        <v>Nicor-IL</v>
      </c>
      <c r="F1059" s="4" t="s">
        <v>155</v>
      </c>
      <c r="G1059" s="4"/>
      <c r="H1059" s="11" t="s">
        <v>618</v>
      </c>
      <c r="I1059" s="4"/>
      <c r="J1059" s="4" t="s">
        <v>155</v>
      </c>
      <c r="K1059" s="5">
        <v>0</v>
      </c>
      <c r="L1059" s="5">
        <v>0</v>
      </c>
      <c r="M1059" s="8">
        <v>1371000</v>
      </c>
      <c r="N1059" s="8">
        <v>0</v>
      </c>
      <c r="O1059" s="8">
        <f>SUMIFS(EIAwtransport!$J$2:$J$675,EIAwtransport!$E$2:$E$675,Program_data!$E1059,EIAwtransport!$H$2:$H$675,Program_data!$F1059,EIAwtransport!$I$2:$I$675,Program_data!O$2)</f>
        <v>0</v>
      </c>
      <c r="P1059" s="5">
        <f>SUMIFS(EIAwtransport!$J$2:$J$675,EIAwtransport!$E$2:$E$675,Program_data!$E1059,EIAwtransport!$H$2:$H$675,Program_data!$F1059,EIAwtransport!$I$2:$I$675,Program_data!P$2)</f>
        <v>0</v>
      </c>
      <c r="Q1059" s="5">
        <f>SUMIFS(EIAwtransport!$J$2:$J$675,EIAwtransport!$E$2:$E$675,Program_data!$E1059,EIAwtransport!$H$2:$H$675,Program_data!$F1059,EIAwtransport!$I$2:$I$675,Program_data!Q$2)</f>
        <v>0</v>
      </c>
      <c r="R1059" s="8">
        <f>SUMIFS(EIAwtransport!$J$2:$J$675,EIAwtransport!$E$2:$E$675,Program_data!$E1059,EIAwtransport!$I$2:$I$675,Program_data!R$2)</f>
        <v>2196912418</v>
      </c>
      <c r="S1059" s="5">
        <f>SUMIFS(EIAwtransport!$J$2:$J$675,EIAwtransport!$E$2:$E$675,Program_data!$E1059,EIAwtransport!$I$2:$I$675,Program_data!S$2)</f>
        <v>441162766</v>
      </c>
      <c r="T1059" s="5">
        <f>SUMIFS(EIAwtransport!$J$2:$J$675,EIAwtransport!$E$2:$E$675,Program_data!$E1059,EIAwtransport!$I$2:$I$675,Program_data!T$2)</f>
        <v>2252419</v>
      </c>
      <c r="U1059" s="24">
        <f t="shared" si="326"/>
        <v>0</v>
      </c>
      <c r="V1059" s="24">
        <f t="shared" si="340"/>
        <v>0</v>
      </c>
      <c r="W1059" s="24">
        <f t="shared" si="327"/>
        <v>6.2405764962087805E-4</v>
      </c>
      <c r="X1059" s="25">
        <f t="shared" si="328"/>
        <v>2.9997070817147642E-4</v>
      </c>
      <c r="Y1059" s="8" t="str">
        <f t="shared" si="336"/>
        <v/>
      </c>
      <c r="Z1059" s="27">
        <f t="shared" si="337"/>
        <v>9.7510668563300137E-2</v>
      </c>
      <c r="AA1059" s="27"/>
      <c r="AB1059" s="40"/>
      <c r="AC1059" s="56">
        <f t="shared" si="339"/>
        <v>0</v>
      </c>
      <c r="AE1059" s="20">
        <f t="shared" si="330"/>
        <v>0</v>
      </c>
      <c r="AF1059" s="20">
        <f t="shared" si="331"/>
        <v>2965831764.3000002</v>
      </c>
      <c r="AG1059">
        <f t="shared" si="333"/>
        <v>0</v>
      </c>
      <c r="AH1059">
        <f t="shared" si="334"/>
        <v>0</v>
      </c>
      <c r="AI1059">
        <f t="shared" si="335"/>
        <v>46533848557.68</v>
      </c>
    </row>
    <row r="1060" spans="2:35" x14ac:dyDescent="0.25">
      <c r="B1060" s="4">
        <v>2025</v>
      </c>
      <c r="C1060" s="4" t="s">
        <v>28</v>
      </c>
      <c r="D1060" s="1" t="s">
        <v>607</v>
      </c>
      <c r="E1060" s="4" t="str">
        <f t="shared" si="325"/>
        <v>Nicor-IL</v>
      </c>
      <c r="F1060" s="4" t="s">
        <v>155</v>
      </c>
      <c r="G1060" s="4"/>
      <c r="H1060" s="11" t="s">
        <v>456</v>
      </c>
      <c r="I1060" s="4"/>
      <c r="J1060" s="4" t="s">
        <v>155</v>
      </c>
      <c r="K1060" s="5">
        <v>0</v>
      </c>
      <c r="L1060" s="5">
        <v>0</v>
      </c>
      <c r="M1060" s="8">
        <v>2285000</v>
      </c>
      <c r="N1060" s="8">
        <v>0</v>
      </c>
      <c r="O1060" s="8">
        <f>SUMIFS(EIAwtransport!$J$2:$J$675,EIAwtransport!$E$2:$E$675,Program_data!$E1060,EIAwtransport!$H$2:$H$675,Program_data!$F1060,EIAwtransport!$I$2:$I$675,Program_data!O$2)</f>
        <v>0</v>
      </c>
      <c r="P1060" s="5">
        <f>SUMIFS(EIAwtransport!$J$2:$J$675,EIAwtransport!$E$2:$E$675,Program_data!$E1060,EIAwtransport!$H$2:$H$675,Program_data!$F1060,EIAwtransport!$I$2:$I$675,Program_data!P$2)</f>
        <v>0</v>
      </c>
      <c r="Q1060" s="5">
        <f>SUMIFS(EIAwtransport!$J$2:$J$675,EIAwtransport!$E$2:$E$675,Program_data!$E1060,EIAwtransport!$H$2:$H$675,Program_data!$F1060,EIAwtransport!$I$2:$I$675,Program_data!Q$2)</f>
        <v>0</v>
      </c>
      <c r="R1060" s="8">
        <f>SUMIFS(EIAwtransport!$J$2:$J$675,EIAwtransport!$E$2:$E$675,Program_data!$E1060,EIAwtransport!$I$2:$I$675,Program_data!R$2)</f>
        <v>2196912418</v>
      </c>
      <c r="S1060" s="5">
        <f>SUMIFS(EIAwtransport!$J$2:$J$675,EIAwtransport!$E$2:$E$675,Program_data!$E1060,EIAwtransport!$I$2:$I$675,Program_data!S$2)</f>
        <v>441162766</v>
      </c>
      <c r="T1060" s="5">
        <f>SUMIFS(EIAwtransport!$J$2:$J$675,EIAwtransport!$E$2:$E$675,Program_data!$E1060,EIAwtransport!$I$2:$I$675,Program_data!T$2)</f>
        <v>2252419</v>
      </c>
      <c r="U1060" s="24">
        <f t="shared" si="326"/>
        <v>0</v>
      </c>
      <c r="V1060" s="24">
        <f t="shared" si="340"/>
        <v>0</v>
      </c>
      <c r="W1060" s="24">
        <f t="shared" si="327"/>
        <v>1.0400960827014634E-3</v>
      </c>
      <c r="X1060" s="25">
        <f t="shared" si="328"/>
        <v>4.999511802857941E-4</v>
      </c>
      <c r="Y1060" s="8" t="str">
        <f t="shared" si="336"/>
        <v/>
      </c>
      <c r="Z1060" s="27">
        <f t="shared" si="337"/>
        <v>0.16251778093883357</v>
      </c>
      <c r="AA1060" s="27"/>
      <c r="AB1060" s="40"/>
      <c r="AC1060" s="56">
        <f t="shared" si="339"/>
        <v>0</v>
      </c>
      <c r="AE1060" s="20">
        <f t="shared" si="330"/>
        <v>0</v>
      </c>
      <c r="AF1060" s="20">
        <f t="shared" si="331"/>
        <v>2965831764.3000002</v>
      </c>
      <c r="AG1060">
        <f t="shared" si="333"/>
        <v>0</v>
      </c>
      <c r="AH1060">
        <f t="shared" si="334"/>
        <v>0</v>
      </c>
      <c r="AI1060">
        <f t="shared" si="335"/>
        <v>46533848557.68</v>
      </c>
    </row>
    <row r="1061" spans="2:35" x14ac:dyDescent="0.25">
      <c r="B1061" s="4">
        <v>2025</v>
      </c>
      <c r="C1061" s="4" t="s">
        <v>28</v>
      </c>
      <c r="D1061" s="1" t="s">
        <v>607</v>
      </c>
      <c r="E1061" s="4" t="str">
        <f t="shared" si="325"/>
        <v>Nicor-IL</v>
      </c>
      <c r="F1061" s="4" t="s">
        <v>155</v>
      </c>
      <c r="G1061" s="4"/>
      <c r="H1061" s="11" t="s">
        <v>619</v>
      </c>
      <c r="I1061" s="4"/>
      <c r="J1061" s="4" t="s">
        <v>155</v>
      </c>
      <c r="K1061" s="5">
        <v>0</v>
      </c>
      <c r="L1061" s="5">
        <v>0</v>
      </c>
      <c r="M1061" s="8">
        <v>1500000</v>
      </c>
      <c r="N1061" s="8">
        <v>0</v>
      </c>
      <c r="O1061" s="8">
        <f>SUMIFS(EIAwtransport!$J$2:$J$675,EIAwtransport!$E$2:$E$675,Program_data!$E1061,EIAwtransport!$H$2:$H$675,Program_data!$F1061,EIAwtransport!$I$2:$I$675,Program_data!O$2)</f>
        <v>0</v>
      </c>
      <c r="P1061" s="5">
        <f>SUMIFS(EIAwtransport!$J$2:$J$675,EIAwtransport!$E$2:$E$675,Program_data!$E1061,EIAwtransport!$H$2:$H$675,Program_data!$F1061,EIAwtransport!$I$2:$I$675,Program_data!P$2)</f>
        <v>0</v>
      </c>
      <c r="Q1061" s="5">
        <f>SUMIFS(EIAwtransport!$J$2:$J$675,EIAwtransport!$E$2:$E$675,Program_data!$E1061,EIAwtransport!$H$2:$H$675,Program_data!$F1061,EIAwtransport!$I$2:$I$675,Program_data!Q$2)</f>
        <v>0</v>
      </c>
      <c r="R1061" s="8">
        <f>SUMIFS(EIAwtransport!$J$2:$J$675,EIAwtransport!$E$2:$E$675,Program_data!$E1061,EIAwtransport!$I$2:$I$675,Program_data!R$2)</f>
        <v>2196912418</v>
      </c>
      <c r="S1061" s="5">
        <f>SUMIFS(EIAwtransport!$J$2:$J$675,EIAwtransport!$E$2:$E$675,Program_data!$E1061,EIAwtransport!$I$2:$I$675,Program_data!S$2)</f>
        <v>441162766</v>
      </c>
      <c r="T1061" s="5">
        <f>SUMIFS(EIAwtransport!$J$2:$J$675,EIAwtransport!$E$2:$E$675,Program_data!$E1061,EIAwtransport!$I$2:$I$675,Program_data!T$2)</f>
        <v>2252419</v>
      </c>
      <c r="U1061" s="24">
        <f t="shared" si="326"/>
        <v>0</v>
      </c>
      <c r="V1061" s="24">
        <f t="shared" si="340"/>
        <v>0</v>
      </c>
      <c r="W1061" s="24">
        <f t="shared" si="327"/>
        <v>6.8277642190468064E-4</v>
      </c>
      <c r="X1061" s="25">
        <f t="shared" si="328"/>
        <v>3.2819552316354096E-4</v>
      </c>
      <c r="Y1061" s="8" t="str">
        <f t="shared" si="336"/>
        <v/>
      </c>
      <c r="Z1061" s="27">
        <f t="shared" si="337"/>
        <v>0.10668563300142248</v>
      </c>
      <c r="AA1061" s="27"/>
      <c r="AB1061" s="40"/>
      <c r="AC1061" s="56">
        <f t="shared" si="339"/>
        <v>0</v>
      </c>
      <c r="AE1061" s="20">
        <f t="shared" ref="AE1061:AE1124" si="341">N1061*1.35</f>
        <v>0</v>
      </c>
      <c r="AF1061" s="20">
        <f t="shared" ref="AF1061:AF1124" si="342">R1061*1.35</f>
        <v>2965831764.3000002</v>
      </c>
      <c r="AG1061">
        <f t="shared" si="333"/>
        <v>0</v>
      </c>
      <c r="AH1061">
        <f t="shared" si="334"/>
        <v>0</v>
      </c>
      <c r="AI1061">
        <f t="shared" si="335"/>
        <v>46533848557.68</v>
      </c>
    </row>
    <row r="1062" spans="2:35" x14ac:dyDescent="0.25">
      <c r="B1062" s="4">
        <v>2025</v>
      </c>
      <c r="C1062" s="4" t="s">
        <v>28</v>
      </c>
      <c r="D1062" s="1" t="s">
        <v>607</v>
      </c>
      <c r="E1062" s="4" t="str">
        <f t="shared" si="325"/>
        <v>Nicor-IL</v>
      </c>
      <c r="F1062" s="4" t="s">
        <v>155</v>
      </c>
      <c r="G1062" s="4"/>
      <c r="H1062" s="11" t="s">
        <v>620</v>
      </c>
      <c r="I1062" s="4"/>
      <c r="J1062" s="4" t="s">
        <v>155</v>
      </c>
      <c r="K1062" s="5">
        <v>0</v>
      </c>
      <c r="L1062" s="5">
        <v>0</v>
      </c>
      <c r="M1062" s="8">
        <v>1371000</v>
      </c>
      <c r="N1062" s="8">
        <v>0</v>
      </c>
      <c r="O1062" s="8">
        <f>SUMIFS(EIAwtransport!$J$2:$J$675,EIAwtransport!$E$2:$E$675,Program_data!$E1062,EIAwtransport!$H$2:$H$675,Program_data!$F1062,EIAwtransport!$I$2:$I$675,Program_data!O$2)</f>
        <v>0</v>
      </c>
      <c r="P1062" s="5">
        <f>SUMIFS(EIAwtransport!$J$2:$J$675,EIAwtransport!$E$2:$E$675,Program_data!$E1062,EIAwtransport!$H$2:$H$675,Program_data!$F1062,EIAwtransport!$I$2:$I$675,Program_data!P$2)</f>
        <v>0</v>
      </c>
      <c r="Q1062" s="5">
        <f>SUMIFS(EIAwtransport!$J$2:$J$675,EIAwtransport!$E$2:$E$675,Program_data!$E1062,EIAwtransport!$H$2:$H$675,Program_data!$F1062,EIAwtransport!$I$2:$I$675,Program_data!Q$2)</f>
        <v>0</v>
      </c>
      <c r="R1062" s="8">
        <f>SUMIFS(EIAwtransport!$J$2:$J$675,EIAwtransport!$E$2:$E$675,Program_data!$E1062,EIAwtransport!$I$2:$I$675,Program_data!R$2)</f>
        <v>2196912418</v>
      </c>
      <c r="S1062" s="5">
        <f>SUMIFS(EIAwtransport!$J$2:$J$675,EIAwtransport!$E$2:$E$675,Program_data!$E1062,EIAwtransport!$I$2:$I$675,Program_data!S$2)</f>
        <v>441162766</v>
      </c>
      <c r="T1062" s="5">
        <f>SUMIFS(EIAwtransport!$J$2:$J$675,EIAwtransport!$E$2:$E$675,Program_data!$E1062,EIAwtransport!$I$2:$I$675,Program_data!T$2)</f>
        <v>2252419</v>
      </c>
      <c r="U1062" s="24">
        <f t="shared" si="326"/>
        <v>0</v>
      </c>
      <c r="V1062" s="24">
        <f t="shared" si="340"/>
        <v>0</v>
      </c>
      <c r="W1062" s="24">
        <f t="shared" si="327"/>
        <v>6.2405764962087805E-4</v>
      </c>
      <c r="X1062" s="25">
        <f t="shared" si="328"/>
        <v>2.9997070817147642E-4</v>
      </c>
      <c r="Y1062" s="8" t="str">
        <f t="shared" si="336"/>
        <v/>
      </c>
      <c r="Z1062" s="27">
        <f t="shared" si="337"/>
        <v>9.7510668563300137E-2</v>
      </c>
      <c r="AA1062" s="27"/>
      <c r="AB1062" s="40"/>
      <c r="AC1062" s="56">
        <f t="shared" si="339"/>
        <v>0</v>
      </c>
      <c r="AE1062" s="20">
        <f t="shared" si="341"/>
        <v>0</v>
      </c>
      <c r="AF1062" s="20">
        <f t="shared" si="342"/>
        <v>2965831764.3000002</v>
      </c>
      <c r="AG1062">
        <f t="shared" si="333"/>
        <v>0</v>
      </c>
      <c r="AH1062">
        <f t="shared" si="334"/>
        <v>0</v>
      </c>
      <c r="AI1062">
        <f t="shared" si="335"/>
        <v>46533848557.68</v>
      </c>
    </row>
    <row r="1063" spans="2:35" x14ac:dyDescent="0.25">
      <c r="B1063" s="4">
        <v>2025</v>
      </c>
      <c r="C1063" s="4" t="s">
        <v>28</v>
      </c>
      <c r="D1063" s="1" t="s">
        <v>607</v>
      </c>
      <c r="E1063" s="4" t="str">
        <f t="shared" si="325"/>
        <v>Nicor-IL</v>
      </c>
      <c r="F1063" s="4" t="s">
        <v>155</v>
      </c>
      <c r="G1063" s="4"/>
      <c r="H1063" s="11" t="s">
        <v>621</v>
      </c>
      <c r="I1063" s="4"/>
      <c r="J1063" s="4" t="s">
        <v>155</v>
      </c>
      <c r="K1063" s="5">
        <v>0</v>
      </c>
      <c r="L1063" s="5">
        <v>0</v>
      </c>
      <c r="M1063" s="8">
        <v>2175000</v>
      </c>
      <c r="N1063" s="8">
        <v>0</v>
      </c>
      <c r="O1063" s="8">
        <f>SUMIFS(EIAwtransport!$J$2:$J$675,EIAwtransport!$E$2:$E$675,Program_data!$E1063,EIAwtransport!$H$2:$H$675,Program_data!$F1063,EIAwtransport!$I$2:$I$675,Program_data!O$2)</f>
        <v>0</v>
      </c>
      <c r="P1063" s="5">
        <f>SUMIFS(EIAwtransport!$J$2:$J$675,EIAwtransport!$E$2:$E$675,Program_data!$E1063,EIAwtransport!$H$2:$H$675,Program_data!$F1063,EIAwtransport!$I$2:$I$675,Program_data!P$2)</f>
        <v>0</v>
      </c>
      <c r="Q1063" s="5">
        <f>SUMIFS(EIAwtransport!$J$2:$J$675,EIAwtransport!$E$2:$E$675,Program_data!$E1063,EIAwtransport!$H$2:$H$675,Program_data!$F1063,EIAwtransport!$I$2:$I$675,Program_data!Q$2)</f>
        <v>0</v>
      </c>
      <c r="R1063" s="8">
        <f>SUMIFS(EIAwtransport!$J$2:$J$675,EIAwtransport!$E$2:$E$675,Program_data!$E1063,EIAwtransport!$I$2:$I$675,Program_data!R$2)</f>
        <v>2196912418</v>
      </c>
      <c r="S1063" s="5">
        <f>SUMIFS(EIAwtransport!$J$2:$J$675,EIAwtransport!$E$2:$E$675,Program_data!$E1063,EIAwtransport!$I$2:$I$675,Program_data!S$2)</f>
        <v>441162766</v>
      </c>
      <c r="T1063" s="5">
        <f>SUMIFS(EIAwtransport!$J$2:$J$675,EIAwtransport!$E$2:$E$675,Program_data!$E1063,EIAwtransport!$I$2:$I$675,Program_data!T$2)</f>
        <v>2252419</v>
      </c>
      <c r="U1063" s="24">
        <f t="shared" si="326"/>
        <v>0</v>
      </c>
      <c r="V1063" s="24">
        <f t="shared" si="340"/>
        <v>0</v>
      </c>
      <c r="W1063" s="24">
        <f t="shared" si="327"/>
        <v>9.9002581176178676E-4</v>
      </c>
      <c r="X1063" s="25">
        <f t="shared" si="328"/>
        <v>4.7588350858713435E-4</v>
      </c>
      <c r="Y1063" s="8" t="str">
        <f t="shared" si="336"/>
        <v/>
      </c>
      <c r="Z1063" s="27">
        <f t="shared" si="337"/>
        <v>0.15469416785206258</v>
      </c>
      <c r="AA1063" s="27"/>
      <c r="AB1063" s="40"/>
      <c r="AC1063" s="56">
        <f t="shared" si="339"/>
        <v>0</v>
      </c>
      <c r="AE1063" s="20">
        <f t="shared" si="341"/>
        <v>0</v>
      </c>
      <c r="AF1063" s="20">
        <f t="shared" si="342"/>
        <v>2965831764.3000002</v>
      </c>
      <c r="AG1063">
        <f t="shared" si="333"/>
        <v>0</v>
      </c>
      <c r="AH1063">
        <f t="shared" si="334"/>
        <v>0</v>
      </c>
      <c r="AI1063">
        <f t="shared" si="335"/>
        <v>46533848557.68</v>
      </c>
    </row>
    <row r="1064" spans="2:35" x14ac:dyDescent="0.25">
      <c r="B1064" s="4">
        <v>2025</v>
      </c>
      <c r="C1064" s="4" t="s">
        <v>28</v>
      </c>
      <c r="D1064" s="1" t="s">
        <v>607</v>
      </c>
      <c r="E1064" s="4" t="str">
        <f t="shared" si="325"/>
        <v>Nicor-IL</v>
      </c>
      <c r="F1064" s="4" t="s">
        <v>155</v>
      </c>
      <c r="G1064" s="4"/>
      <c r="H1064" s="11" t="s">
        <v>622</v>
      </c>
      <c r="I1064" s="4"/>
      <c r="J1064" s="4" t="s">
        <v>155</v>
      </c>
      <c r="K1064" s="5">
        <v>0</v>
      </c>
      <c r="L1064" s="5">
        <v>0</v>
      </c>
      <c r="M1064" s="8">
        <v>1003000</v>
      </c>
      <c r="N1064" s="8">
        <v>0</v>
      </c>
      <c r="O1064" s="8">
        <f>SUMIFS(EIAwtransport!$J$2:$J$675,EIAwtransport!$E$2:$E$675,Program_data!$E1064,EIAwtransport!$H$2:$H$675,Program_data!$F1064,EIAwtransport!$I$2:$I$675,Program_data!O$2)</f>
        <v>0</v>
      </c>
      <c r="P1064" s="5">
        <f>SUMIFS(EIAwtransport!$J$2:$J$675,EIAwtransport!$E$2:$E$675,Program_data!$E1064,EIAwtransport!$H$2:$H$675,Program_data!$F1064,EIAwtransport!$I$2:$I$675,Program_data!P$2)</f>
        <v>0</v>
      </c>
      <c r="Q1064" s="5">
        <f>SUMIFS(EIAwtransport!$J$2:$J$675,EIAwtransport!$E$2:$E$675,Program_data!$E1064,EIAwtransport!$H$2:$H$675,Program_data!$F1064,EIAwtransport!$I$2:$I$675,Program_data!Q$2)</f>
        <v>0</v>
      </c>
      <c r="R1064" s="8">
        <f>SUMIFS(EIAwtransport!$J$2:$J$675,EIAwtransport!$E$2:$E$675,Program_data!$E1064,EIAwtransport!$I$2:$I$675,Program_data!R$2)</f>
        <v>2196912418</v>
      </c>
      <c r="S1064" s="5">
        <f>SUMIFS(EIAwtransport!$J$2:$J$675,EIAwtransport!$E$2:$E$675,Program_data!$E1064,EIAwtransport!$I$2:$I$675,Program_data!S$2)</f>
        <v>441162766</v>
      </c>
      <c r="T1064" s="5">
        <f>SUMIFS(EIAwtransport!$J$2:$J$675,EIAwtransport!$E$2:$E$675,Program_data!$E1064,EIAwtransport!$I$2:$I$675,Program_data!T$2)</f>
        <v>2252419</v>
      </c>
      <c r="U1064" s="24">
        <f t="shared" si="326"/>
        <v>0</v>
      </c>
      <c r="V1064" s="24">
        <f t="shared" si="340"/>
        <v>0</v>
      </c>
      <c r="W1064" s="24">
        <f t="shared" si="327"/>
        <v>4.5654983411359644E-4</v>
      </c>
      <c r="X1064" s="25">
        <f t="shared" si="328"/>
        <v>2.194534064886877E-4</v>
      </c>
      <c r="Y1064" s="8" t="str">
        <f t="shared" si="336"/>
        <v/>
      </c>
      <c r="Z1064" s="27">
        <f t="shared" si="337"/>
        <v>7.1337126600284489E-2</v>
      </c>
      <c r="AA1064" s="27"/>
      <c r="AB1064" s="40"/>
      <c r="AC1064" s="56">
        <f t="shared" si="339"/>
        <v>0</v>
      </c>
      <c r="AE1064" s="20">
        <f t="shared" si="341"/>
        <v>0</v>
      </c>
      <c r="AF1064" s="20">
        <f t="shared" si="342"/>
        <v>2965831764.3000002</v>
      </c>
      <c r="AG1064">
        <f t="shared" si="333"/>
        <v>0</v>
      </c>
      <c r="AH1064">
        <f t="shared" si="334"/>
        <v>0</v>
      </c>
      <c r="AI1064">
        <f t="shared" si="335"/>
        <v>46533848557.68</v>
      </c>
    </row>
    <row r="1065" spans="2:35" x14ac:dyDescent="0.25">
      <c r="B1065" s="4">
        <v>2024</v>
      </c>
      <c r="C1065" s="4" t="s">
        <v>28</v>
      </c>
      <c r="D1065" s="1" t="s">
        <v>629</v>
      </c>
      <c r="E1065" s="4" t="str">
        <f t="shared" ref="E1065:E1128" si="343">D1065&amp;"-"&amp;C1065</f>
        <v>Peoples-IL</v>
      </c>
      <c r="F1065" s="4" t="s">
        <v>135</v>
      </c>
      <c r="G1065" s="4"/>
      <c r="H1065" s="11" t="s">
        <v>312</v>
      </c>
      <c r="I1065" s="4"/>
      <c r="J1065" s="4" t="s">
        <v>42</v>
      </c>
      <c r="K1065" s="5">
        <v>13254</v>
      </c>
      <c r="L1065" s="5">
        <f>K1065/_xlfn.XLOOKUP(C1065,'Utility target list'!$K$2:$K$8,'Utility target list'!$L$2:$L$8,1,0,1)</f>
        <v>14726.666666666666</v>
      </c>
      <c r="M1065" s="8">
        <v>17518</v>
      </c>
      <c r="N1065" s="8">
        <v>15918</v>
      </c>
      <c r="O1065" s="8">
        <f>SUMIFS(EIAwtransport!$J$2:$J$675,EIAwtransport!$E$2:$E$675,Program_data!$E1065,EIAwtransport!$H$2:$H$675,Program_data!$F1065,EIAwtransport!$I$2:$I$675,Program_data!O$2)</f>
        <v>1163097796</v>
      </c>
      <c r="P1065" s="5">
        <f>SUMIFS(EIAwtransport!$J$2:$J$675,EIAwtransport!$E$2:$E$675,Program_data!$E1065,EIAwtransport!$H$2:$H$675,Program_data!$F1065,EIAwtransport!$I$2:$I$675,Program_data!P$2)</f>
        <v>91375272</v>
      </c>
      <c r="Q1065" s="5">
        <f>SUMIFS(EIAwtransport!$J$2:$J$675,EIAwtransport!$E$2:$E$675,Program_data!$E1065,EIAwtransport!$H$2:$H$675,Program_data!$F1065,EIAwtransport!$I$2:$I$675,Program_data!Q$2)</f>
        <v>825920</v>
      </c>
      <c r="R1065" s="8">
        <f>SUMIFS(EIAwtransport!$J$2:$J$675,EIAwtransport!$E$2:$E$675,Program_data!$E1065,EIAwtransport!$I$2:$I$675,Program_data!R$2)</f>
        <v>1502663699</v>
      </c>
      <c r="S1065" s="5">
        <f>SUMIFS(EIAwtransport!$J$2:$J$675,EIAwtransport!$E$2:$E$675,Program_data!$E1065,EIAwtransport!$I$2:$I$675,Program_data!S$2)</f>
        <v>150599900</v>
      </c>
      <c r="T1065" s="5">
        <f>SUMIFS(EIAwtransport!$J$2:$J$675,EIAwtransport!$E$2:$E$675,Program_data!$E1065,EIAwtransport!$I$2:$I$675,Program_data!T$2)</f>
        <v>877342</v>
      </c>
      <c r="U1065" s="24">
        <f t="shared" ref="U1065:U1075" si="344">IFERROR(K1065/10.36/S1065,"")</f>
        <v>8.4949832592427303E-6</v>
      </c>
      <c r="V1065" s="24">
        <f t="shared" si="340"/>
        <v>9.4388702880474789E-6</v>
      </c>
      <c r="W1065" s="24">
        <f t="shared" ref="W1065:W1075" si="345">IFERROR(M1065/R1065,"")</f>
        <v>1.1657964461148535E-5</v>
      </c>
      <c r="X1065" s="25">
        <f t="shared" ref="X1065:X1075" si="346">IFERROR(M1065/S1065/10.36,"")</f>
        <v>1.1227939998145026E-5</v>
      </c>
      <c r="Y1065" s="8">
        <f t="shared" si="336"/>
        <v>6.8553163530092678E-3</v>
      </c>
      <c r="Z1065" s="27">
        <f t="shared" si="337"/>
        <v>2.2648217639054534E-3</v>
      </c>
      <c r="AA1065" s="27"/>
      <c r="AB1065" s="40"/>
      <c r="AC1065" s="56">
        <f t="shared" si="339"/>
        <v>5.4385427233147755E-4</v>
      </c>
      <c r="AE1065" s="20">
        <f t="shared" si="341"/>
        <v>21489.300000000003</v>
      </c>
      <c r="AF1065" s="20">
        <f t="shared" si="342"/>
        <v>2028595993.6500001</v>
      </c>
      <c r="AG1065">
        <f t="shared" si="333"/>
        <v>1398031.9200000002</v>
      </c>
      <c r="AH1065">
        <f t="shared" si="334"/>
        <v>1553368.8</v>
      </c>
      <c r="AI1065">
        <f t="shared" si="335"/>
        <v>15885277452</v>
      </c>
    </row>
    <row r="1066" spans="2:35" x14ac:dyDescent="0.25">
      <c r="B1066" s="4">
        <v>2024</v>
      </c>
      <c r="C1066" s="4" t="s">
        <v>28</v>
      </c>
      <c r="D1066" s="1" t="s">
        <v>629</v>
      </c>
      <c r="E1066" s="4" t="str">
        <f t="shared" si="343"/>
        <v>Peoples-IL</v>
      </c>
      <c r="F1066" s="4" t="s">
        <v>135</v>
      </c>
      <c r="G1066" s="4"/>
      <c r="H1066" s="11" t="s">
        <v>630</v>
      </c>
      <c r="I1066" s="4"/>
      <c r="J1066" s="4" t="s">
        <v>21</v>
      </c>
      <c r="K1066" s="5">
        <v>224310</v>
      </c>
      <c r="L1066" s="5">
        <f>K1066/_xlfn.XLOOKUP(C1066,'Utility target list'!$K$2:$K$8,'Utility target list'!$L$2:$L$8,1,0,1)</f>
        <v>249233.33333333331</v>
      </c>
      <c r="M1066" s="8">
        <v>676167</v>
      </c>
      <c r="N1066" s="8">
        <v>545445</v>
      </c>
      <c r="O1066" s="8">
        <f>SUMIFS(EIAwtransport!$J$2:$J$675,EIAwtransport!$E$2:$E$675,Program_data!$E1066,EIAwtransport!$H$2:$H$675,Program_data!$F1066,EIAwtransport!$I$2:$I$675,Program_data!O$2)</f>
        <v>1163097796</v>
      </c>
      <c r="P1066" s="5">
        <f>SUMIFS(EIAwtransport!$J$2:$J$675,EIAwtransport!$E$2:$E$675,Program_data!$E1066,EIAwtransport!$H$2:$H$675,Program_data!$F1066,EIAwtransport!$I$2:$I$675,Program_data!P$2)</f>
        <v>91375272</v>
      </c>
      <c r="Q1066" s="5">
        <f>SUMIFS(EIAwtransport!$J$2:$J$675,EIAwtransport!$E$2:$E$675,Program_data!$E1066,EIAwtransport!$H$2:$H$675,Program_data!$F1066,EIAwtransport!$I$2:$I$675,Program_data!Q$2)</f>
        <v>825920</v>
      </c>
      <c r="R1066" s="8">
        <f>SUMIFS(EIAwtransport!$J$2:$J$675,EIAwtransport!$E$2:$E$675,Program_data!$E1066,EIAwtransport!$I$2:$I$675,Program_data!R$2)</f>
        <v>1502663699</v>
      </c>
      <c r="S1066" s="5">
        <f>SUMIFS(EIAwtransport!$J$2:$J$675,EIAwtransport!$E$2:$E$675,Program_data!$E1066,EIAwtransport!$I$2:$I$675,Program_data!S$2)</f>
        <v>150599900</v>
      </c>
      <c r="T1066" s="5">
        <f>SUMIFS(EIAwtransport!$J$2:$J$675,EIAwtransport!$E$2:$E$675,Program_data!$E1066,EIAwtransport!$I$2:$I$675,Program_data!T$2)</f>
        <v>877342</v>
      </c>
      <c r="U1066" s="24">
        <f t="shared" si="344"/>
        <v>1.4376865058704822E-4</v>
      </c>
      <c r="V1066" s="24">
        <f t="shared" si="340"/>
        <v>1.5974294509672022E-4</v>
      </c>
      <c r="W1066" s="24">
        <f t="shared" si="345"/>
        <v>4.4997892772014053E-4</v>
      </c>
      <c r="X1066" s="25">
        <f t="shared" si="346"/>
        <v>4.3338066587086011E-4</v>
      </c>
      <c r="Y1066" s="8">
        <f t="shared" si="336"/>
        <v>0.26460433225626312</v>
      </c>
      <c r="Z1066" s="27">
        <f t="shared" si="337"/>
        <v>8.7418525952429438E-2</v>
      </c>
      <c r="AA1066" s="27"/>
      <c r="AB1066" s="40"/>
      <c r="AC1066" s="56">
        <f t="shared" si="339"/>
        <v>9.2041611458181464E-3</v>
      </c>
      <c r="AE1066" s="20">
        <f t="shared" si="341"/>
        <v>736350.75</v>
      </c>
      <c r="AF1066" s="20">
        <f t="shared" si="342"/>
        <v>2028595993.6500001</v>
      </c>
      <c r="AG1066">
        <f t="shared" si="333"/>
        <v>23660218.800000001</v>
      </c>
      <c r="AH1066">
        <f t="shared" si="334"/>
        <v>26289132</v>
      </c>
      <c r="AI1066">
        <f t="shared" si="335"/>
        <v>15885277452</v>
      </c>
    </row>
    <row r="1067" spans="2:35" x14ac:dyDescent="0.25">
      <c r="B1067" s="4">
        <v>2024</v>
      </c>
      <c r="C1067" s="4" t="s">
        <v>28</v>
      </c>
      <c r="D1067" s="1" t="s">
        <v>629</v>
      </c>
      <c r="E1067" s="4" t="str">
        <f t="shared" si="343"/>
        <v>Peoples-IL</v>
      </c>
      <c r="F1067" s="4" t="s">
        <v>135</v>
      </c>
      <c r="G1067" s="4"/>
      <c r="H1067" s="11" t="s">
        <v>313</v>
      </c>
      <c r="I1067" s="4"/>
      <c r="J1067" s="4" t="s">
        <v>21</v>
      </c>
      <c r="K1067" s="5">
        <v>705496</v>
      </c>
      <c r="L1067" s="5">
        <f>K1067/_xlfn.XLOOKUP(C1067,'Utility target list'!$K$2:$K$8,'Utility target list'!$L$2:$L$8,1,0,1)</f>
        <v>783884.44444444438</v>
      </c>
      <c r="M1067" s="8">
        <v>1084443</v>
      </c>
      <c r="N1067" s="8">
        <f>343960+116531</f>
        <v>460491</v>
      </c>
      <c r="O1067" s="8">
        <f>SUMIFS(EIAwtransport!$J$2:$J$675,EIAwtransport!$E$2:$E$675,Program_data!$E1067,EIAwtransport!$H$2:$H$675,Program_data!$F1067,EIAwtransport!$I$2:$I$675,Program_data!O$2)</f>
        <v>1163097796</v>
      </c>
      <c r="P1067" s="5">
        <f>SUMIFS(EIAwtransport!$J$2:$J$675,EIAwtransport!$E$2:$E$675,Program_data!$E1067,EIAwtransport!$H$2:$H$675,Program_data!$F1067,EIAwtransport!$I$2:$I$675,Program_data!P$2)</f>
        <v>91375272</v>
      </c>
      <c r="Q1067" s="5">
        <f>SUMIFS(EIAwtransport!$J$2:$J$675,EIAwtransport!$E$2:$E$675,Program_data!$E1067,EIAwtransport!$H$2:$H$675,Program_data!$F1067,EIAwtransport!$I$2:$I$675,Program_data!Q$2)</f>
        <v>825920</v>
      </c>
      <c r="R1067" s="8">
        <f>SUMIFS(EIAwtransport!$J$2:$J$675,EIAwtransport!$E$2:$E$675,Program_data!$E1067,EIAwtransport!$I$2:$I$675,Program_data!R$2)</f>
        <v>1502663699</v>
      </c>
      <c r="S1067" s="5">
        <f>SUMIFS(EIAwtransport!$J$2:$J$675,EIAwtransport!$E$2:$E$675,Program_data!$E1067,EIAwtransport!$I$2:$I$675,Program_data!S$2)</f>
        <v>150599900</v>
      </c>
      <c r="T1067" s="5">
        <f>SUMIFS(EIAwtransport!$J$2:$J$675,EIAwtransport!$E$2:$E$675,Program_data!$E1067,EIAwtransport!$I$2:$I$675,Program_data!T$2)</f>
        <v>877342</v>
      </c>
      <c r="U1067" s="24">
        <f t="shared" si="344"/>
        <v>4.5217871657331443E-4</v>
      </c>
      <c r="V1067" s="24">
        <f t="shared" si="340"/>
        <v>5.0242079619257157E-4</v>
      </c>
      <c r="W1067" s="24">
        <f t="shared" si="345"/>
        <v>7.216804403551376E-4</v>
      </c>
      <c r="X1067" s="25">
        <f t="shared" si="346"/>
        <v>6.9505999174611182E-4</v>
      </c>
      <c r="Y1067" s="8">
        <f t="shared" si="336"/>
        <v>0.42437491904363678</v>
      </c>
      <c r="Z1067" s="27">
        <f t="shared" si="337"/>
        <v>0.14020265487583752</v>
      </c>
      <c r="AA1067" s="27"/>
      <c r="AB1067" s="40"/>
      <c r="AC1067" s="56">
        <f t="shared" si="339"/>
        <v>2.8948771217199944E-2</v>
      </c>
      <c r="AE1067" s="20">
        <f t="shared" si="341"/>
        <v>621662.85000000009</v>
      </c>
      <c r="AF1067" s="20">
        <f t="shared" si="342"/>
        <v>2028595993.6500001</v>
      </c>
      <c r="AG1067">
        <f t="shared" si="333"/>
        <v>74415718.079999998</v>
      </c>
      <c r="AH1067">
        <f t="shared" si="334"/>
        <v>82684131.200000003</v>
      </c>
      <c r="AI1067">
        <f t="shared" si="335"/>
        <v>15885277452</v>
      </c>
    </row>
    <row r="1068" spans="2:35" x14ac:dyDescent="0.25">
      <c r="B1068" s="4">
        <v>2024</v>
      </c>
      <c r="C1068" s="4" t="s">
        <v>28</v>
      </c>
      <c r="D1068" s="1" t="s">
        <v>629</v>
      </c>
      <c r="E1068" s="4" t="str">
        <f t="shared" si="343"/>
        <v>Peoples-IL</v>
      </c>
      <c r="F1068" s="4" t="s">
        <v>135</v>
      </c>
      <c r="G1068" s="4"/>
      <c r="H1068" s="11" t="s">
        <v>623</v>
      </c>
      <c r="I1068" s="4"/>
      <c r="J1068" s="4" t="s">
        <v>21</v>
      </c>
      <c r="K1068" s="5">
        <v>1612329</v>
      </c>
      <c r="L1068" s="5">
        <f>K1068/_xlfn.XLOOKUP(C1068,'Utility target list'!$K$2:$K$8,'Utility target list'!$L$2:$L$8,1,0,1)</f>
        <v>1791476.6666666665</v>
      </c>
      <c r="M1068" s="8">
        <v>2451859</v>
      </c>
      <c r="N1068" s="8">
        <f>334835+1375088</f>
        <v>1709923</v>
      </c>
      <c r="O1068" s="8">
        <f>SUMIFS(EIAwtransport!$J$2:$J$675,EIAwtransport!$E$2:$E$675,Program_data!$E1068,EIAwtransport!$H$2:$H$675,Program_data!$F1068,EIAwtransport!$I$2:$I$675,Program_data!O$2)</f>
        <v>1163097796</v>
      </c>
      <c r="P1068" s="5">
        <f>SUMIFS(EIAwtransport!$J$2:$J$675,EIAwtransport!$E$2:$E$675,Program_data!$E1068,EIAwtransport!$H$2:$H$675,Program_data!$F1068,EIAwtransport!$I$2:$I$675,Program_data!P$2)</f>
        <v>91375272</v>
      </c>
      <c r="Q1068" s="5">
        <f>SUMIFS(EIAwtransport!$J$2:$J$675,EIAwtransport!$E$2:$E$675,Program_data!$E1068,EIAwtransport!$H$2:$H$675,Program_data!$F1068,EIAwtransport!$I$2:$I$675,Program_data!Q$2)</f>
        <v>825920</v>
      </c>
      <c r="R1068" s="8">
        <f>SUMIFS(EIAwtransport!$J$2:$J$675,EIAwtransport!$E$2:$E$675,Program_data!$E1068,EIAwtransport!$I$2:$I$675,Program_data!R$2)</f>
        <v>1502663699</v>
      </c>
      <c r="S1068" s="5">
        <f>SUMIFS(EIAwtransport!$J$2:$J$675,EIAwtransport!$E$2:$E$675,Program_data!$E1068,EIAwtransport!$I$2:$I$675,Program_data!S$2)</f>
        <v>150599900</v>
      </c>
      <c r="T1068" s="5">
        <f>SUMIFS(EIAwtransport!$J$2:$J$675,EIAwtransport!$E$2:$E$675,Program_data!$E1068,EIAwtransport!$I$2:$I$675,Program_data!T$2)</f>
        <v>877342</v>
      </c>
      <c r="U1068" s="24">
        <f t="shared" si="344"/>
        <v>1.0334018306467161E-3</v>
      </c>
      <c r="V1068" s="24">
        <f t="shared" si="340"/>
        <v>1.1482242562741289E-3</v>
      </c>
      <c r="W1068" s="24">
        <f t="shared" si="345"/>
        <v>1.6316751390425383E-3</v>
      </c>
      <c r="X1068" s="25">
        <f t="shared" si="346"/>
        <v>1.5714879401707881E-3</v>
      </c>
      <c r="Y1068" s="8">
        <f t="shared" si="336"/>
        <v>0.95948562038891139</v>
      </c>
      <c r="Z1068" s="27">
        <f t="shared" si="337"/>
        <v>0.31698958929258259</v>
      </c>
      <c r="AA1068" s="27"/>
      <c r="AB1068" s="40"/>
      <c r="AC1068" s="56">
        <f t="shared" si="339"/>
        <v>6.6159047461440981E-2</v>
      </c>
      <c r="AE1068" s="20">
        <f t="shared" si="341"/>
        <v>2308396.0500000003</v>
      </c>
      <c r="AF1068" s="20">
        <f t="shared" si="342"/>
        <v>2028595993.6500001</v>
      </c>
      <c r="AG1068">
        <f t="shared" si="333"/>
        <v>170068462.92000002</v>
      </c>
      <c r="AH1068">
        <f t="shared" si="334"/>
        <v>188964958.79999998</v>
      </c>
      <c r="AI1068">
        <f t="shared" si="335"/>
        <v>15885277452</v>
      </c>
    </row>
    <row r="1069" spans="2:35" x14ac:dyDescent="0.25">
      <c r="B1069" s="4">
        <v>2024</v>
      </c>
      <c r="C1069" s="4" t="s">
        <v>28</v>
      </c>
      <c r="D1069" s="1" t="s">
        <v>629</v>
      </c>
      <c r="E1069" s="4" t="str">
        <f t="shared" si="343"/>
        <v>Peoples-IL</v>
      </c>
      <c r="F1069" s="4" t="s">
        <v>146</v>
      </c>
      <c r="G1069" s="4"/>
      <c r="H1069" s="11" t="s">
        <v>47</v>
      </c>
      <c r="I1069" s="4"/>
      <c r="J1069" s="4" t="s">
        <v>21</v>
      </c>
      <c r="K1069" s="5">
        <v>1539381</v>
      </c>
      <c r="L1069" s="5">
        <f>K1069/_xlfn.XLOOKUP(C1069,'Utility target list'!$K$2:$K$8,'Utility target list'!$L$2:$L$8,1,0,1)</f>
        <v>1710423.3333333333</v>
      </c>
      <c r="M1069" s="8">
        <v>2323621</v>
      </c>
      <c r="N1069" s="8">
        <v>1572845</v>
      </c>
      <c r="O1069" s="8">
        <f>SUMIFS(EIAwtransport!$J$2:$J$675,EIAwtransport!$E$2:$E$675,Program_data!$E1069,EIAwtransport!$H$2:$H$675,Program_data!$F1069,EIAwtransport!$I$2:$I$675,Program_data!O$2)</f>
        <v>339565903</v>
      </c>
      <c r="P1069" s="5">
        <f>SUMIFS(EIAwtransport!$J$2:$J$675,EIAwtransport!$E$2:$E$675,Program_data!$E1069,EIAwtransport!$H$2:$H$675,Program_data!$F1069,EIAwtransport!$I$2:$I$675,Program_data!P$2)</f>
        <v>59224628</v>
      </c>
      <c r="Q1069" s="5">
        <f>SUMIFS(EIAwtransport!$J$2:$J$675,EIAwtransport!$E$2:$E$675,Program_data!$E1069,EIAwtransport!$H$2:$H$675,Program_data!$F1069,EIAwtransport!$I$2:$I$675,Program_data!Q$2)</f>
        <v>51422</v>
      </c>
      <c r="R1069" s="8">
        <f>SUMIFS(EIAwtransport!$J$2:$J$675,EIAwtransport!$E$2:$E$675,Program_data!$E1069,EIAwtransport!$I$2:$I$675,Program_data!R$2)</f>
        <v>1502663699</v>
      </c>
      <c r="S1069" s="5">
        <f>SUMIFS(EIAwtransport!$J$2:$J$675,EIAwtransport!$E$2:$E$675,Program_data!$E1069,EIAwtransport!$I$2:$I$675,Program_data!S$2)</f>
        <v>150599900</v>
      </c>
      <c r="T1069" s="5">
        <f>SUMIFS(EIAwtransport!$J$2:$J$675,EIAwtransport!$E$2:$E$675,Program_data!$E1069,EIAwtransport!$I$2:$I$675,Program_data!T$2)</f>
        <v>877342</v>
      </c>
      <c r="U1069" s="24">
        <f t="shared" si="344"/>
        <v>9.8664673491748417E-4</v>
      </c>
      <c r="V1069" s="24">
        <f t="shared" si="340"/>
        <v>1.0962741499083155E-3</v>
      </c>
      <c r="W1069" s="24">
        <f t="shared" si="345"/>
        <v>1.5463346865611611E-3</v>
      </c>
      <c r="X1069" s="25">
        <f t="shared" si="346"/>
        <v>1.4892954199354803E-3</v>
      </c>
      <c r="Y1069" s="8">
        <f t="shared" si="336"/>
        <v>0.68481133081959111</v>
      </c>
      <c r="Z1069" s="27">
        <f t="shared" si="337"/>
        <v>0.30041028723985352</v>
      </c>
      <c r="AA1069" s="27"/>
      <c r="AB1069" s="40"/>
      <c r="AC1069" s="56">
        <f t="shared" si="339"/>
        <v>6.3165756269496165E-2</v>
      </c>
      <c r="AE1069" s="20">
        <f t="shared" si="341"/>
        <v>2123340.75</v>
      </c>
      <c r="AF1069" s="20">
        <f t="shared" si="342"/>
        <v>2028595993.6500001</v>
      </c>
      <c r="AG1069">
        <f t="shared" si="333"/>
        <v>162373907.88</v>
      </c>
      <c r="AH1069">
        <f t="shared" si="334"/>
        <v>180415453.19999999</v>
      </c>
      <c r="AI1069">
        <f t="shared" si="335"/>
        <v>15885277452</v>
      </c>
    </row>
    <row r="1070" spans="2:35" x14ac:dyDescent="0.25">
      <c r="B1070" s="4">
        <v>2024</v>
      </c>
      <c r="C1070" s="4" t="s">
        <v>28</v>
      </c>
      <c r="D1070" s="1" t="s">
        <v>629</v>
      </c>
      <c r="E1070" s="4" t="str">
        <f t="shared" si="343"/>
        <v>Peoples-IL</v>
      </c>
      <c r="F1070" s="4" t="s">
        <v>146</v>
      </c>
      <c r="G1070" s="4"/>
      <c r="H1070" s="11" t="s">
        <v>631</v>
      </c>
      <c r="I1070" s="4"/>
      <c r="J1070" s="4" t="s">
        <v>21</v>
      </c>
      <c r="K1070" s="5">
        <v>518773</v>
      </c>
      <c r="L1070" s="5">
        <f>K1070/_xlfn.XLOOKUP(C1070,'Utility target list'!$K$2:$K$8,'Utility target list'!$L$2:$L$8,1,0,1)</f>
        <v>576414.44444444438</v>
      </c>
      <c r="M1070" s="8">
        <v>2422725</v>
      </c>
      <c r="N1070" s="8">
        <v>1195827</v>
      </c>
      <c r="O1070" s="8">
        <f>SUMIFS(EIAwtransport!$J$2:$J$675,EIAwtransport!$E$2:$E$675,Program_data!$E1070,EIAwtransport!$H$2:$H$675,Program_data!$F1070,EIAwtransport!$I$2:$I$675,Program_data!O$2)</f>
        <v>339565903</v>
      </c>
      <c r="P1070" s="5">
        <f>SUMIFS(EIAwtransport!$J$2:$J$675,EIAwtransport!$E$2:$E$675,Program_data!$E1070,EIAwtransport!$H$2:$H$675,Program_data!$F1070,EIAwtransport!$I$2:$I$675,Program_data!P$2)</f>
        <v>59224628</v>
      </c>
      <c r="Q1070" s="5">
        <f>SUMIFS(EIAwtransport!$J$2:$J$675,EIAwtransport!$E$2:$E$675,Program_data!$E1070,EIAwtransport!$H$2:$H$675,Program_data!$F1070,EIAwtransport!$I$2:$I$675,Program_data!Q$2)</f>
        <v>51422</v>
      </c>
      <c r="R1070" s="8">
        <f>SUMIFS(EIAwtransport!$J$2:$J$675,EIAwtransport!$E$2:$E$675,Program_data!$E1070,EIAwtransport!$I$2:$I$675,Program_data!R$2)</f>
        <v>1502663699</v>
      </c>
      <c r="S1070" s="5">
        <f>SUMIFS(EIAwtransport!$J$2:$J$675,EIAwtransport!$E$2:$E$675,Program_data!$E1070,EIAwtransport!$I$2:$I$675,Program_data!S$2)</f>
        <v>150599900</v>
      </c>
      <c r="T1070" s="5">
        <f>SUMIFS(EIAwtransport!$J$2:$J$675,EIAwtransport!$E$2:$E$675,Program_data!$E1070,EIAwtransport!$I$2:$I$675,Program_data!T$2)</f>
        <v>877342</v>
      </c>
      <c r="U1070" s="24">
        <f t="shared" si="344"/>
        <v>3.3250097708971855E-4</v>
      </c>
      <c r="V1070" s="24">
        <f t="shared" si="340"/>
        <v>3.6944553009968722E-4</v>
      </c>
      <c r="W1070" s="24">
        <f t="shared" si="345"/>
        <v>1.6122869019942964E-3</v>
      </c>
      <c r="X1070" s="25">
        <f t="shared" si="346"/>
        <v>1.5528148722460274E-3</v>
      </c>
      <c r="Y1070" s="8">
        <f t="shared" si="336"/>
        <v>0.71401899512007083</v>
      </c>
      <c r="Z1070" s="27">
        <f t="shared" si="337"/>
        <v>0.31322298823826006</v>
      </c>
      <c r="AA1070" s="27"/>
      <c r="AB1070" s="40"/>
      <c r="AC1070" s="56">
        <f t="shared" si="339"/>
        <v>2.1286925639068779E-2</v>
      </c>
      <c r="AE1070" s="20">
        <f t="shared" si="341"/>
        <v>1614366.4500000002</v>
      </c>
      <c r="AF1070" s="20">
        <f t="shared" si="342"/>
        <v>2028595993.6500001</v>
      </c>
      <c r="AG1070">
        <f t="shared" si="333"/>
        <v>54720176.039999999</v>
      </c>
      <c r="AH1070">
        <f t="shared" si="334"/>
        <v>60800195.599999994</v>
      </c>
      <c r="AI1070">
        <f t="shared" si="335"/>
        <v>15885277452</v>
      </c>
    </row>
    <row r="1071" spans="2:35" x14ac:dyDescent="0.25">
      <c r="B1071" s="4">
        <v>2024</v>
      </c>
      <c r="C1071" s="4" t="s">
        <v>28</v>
      </c>
      <c r="D1071" s="1" t="s">
        <v>629</v>
      </c>
      <c r="E1071" s="4" t="str">
        <f t="shared" si="343"/>
        <v>Peoples-IL</v>
      </c>
      <c r="F1071" s="4" t="s">
        <v>146</v>
      </c>
      <c r="G1071" s="4"/>
      <c r="H1071" s="11" t="s">
        <v>632</v>
      </c>
      <c r="I1071" s="4"/>
      <c r="J1071" s="4" t="s">
        <v>75</v>
      </c>
      <c r="K1071" s="5">
        <v>1226240</v>
      </c>
      <c r="L1071" s="5">
        <f>K1071/_xlfn.XLOOKUP(C1071,'Utility target list'!$K$2:$K$8,'Utility target list'!$L$2:$L$8,1,0,1)</f>
        <v>1362488.8888888888</v>
      </c>
      <c r="M1071" s="8">
        <v>2013450</v>
      </c>
      <c r="N1071" s="8">
        <f>302774+589405</f>
        <v>892179</v>
      </c>
      <c r="O1071" s="8">
        <f>SUMIFS(EIAwtransport!$J$2:$J$675,EIAwtransport!$E$2:$E$675,Program_data!$E1071,EIAwtransport!$H$2:$H$675,Program_data!$F1071,EIAwtransport!$I$2:$I$675,Program_data!O$2)</f>
        <v>339565903</v>
      </c>
      <c r="P1071" s="5">
        <f>SUMIFS(EIAwtransport!$J$2:$J$675,EIAwtransport!$E$2:$E$675,Program_data!$E1071,EIAwtransport!$H$2:$H$675,Program_data!$F1071,EIAwtransport!$I$2:$I$675,Program_data!P$2)</f>
        <v>59224628</v>
      </c>
      <c r="Q1071" s="5">
        <f>SUMIFS(EIAwtransport!$J$2:$J$675,EIAwtransport!$E$2:$E$675,Program_data!$E1071,EIAwtransport!$H$2:$H$675,Program_data!$F1071,EIAwtransport!$I$2:$I$675,Program_data!Q$2)</f>
        <v>51422</v>
      </c>
      <c r="R1071" s="8">
        <f>SUMIFS(EIAwtransport!$J$2:$J$675,EIAwtransport!$E$2:$E$675,Program_data!$E1071,EIAwtransport!$I$2:$I$675,Program_data!R$2)</f>
        <v>1502663699</v>
      </c>
      <c r="S1071" s="5">
        <f>SUMIFS(EIAwtransport!$J$2:$J$675,EIAwtransport!$E$2:$E$675,Program_data!$E1071,EIAwtransport!$I$2:$I$675,Program_data!S$2)</f>
        <v>150599900</v>
      </c>
      <c r="T1071" s="5">
        <f>SUMIFS(EIAwtransport!$J$2:$J$675,EIAwtransport!$E$2:$E$675,Program_data!$E1071,EIAwtransport!$I$2:$I$675,Program_data!T$2)</f>
        <v>877342</v>
      </c>
      <c r="U1071" s="24">
        <f t="shared" si="344"/>
        <v>7.8594298112372163E-4</v>
      </c>
      <c r="V1071" s="24">
        <f t="shared" si="340"/>
        <v>8.7326997902635736E-4</v>
      </c>
      <c r="W1071" s="24">
        <f t="shared" si="345"/>
        <v>1.3399205699451717E-3</v>
      </c>
      <c r="X1071" s="25">
        <f t="shared" si="346"/>
        <v>1.2904952499865909E-3</v>
      </c>
      <c r="Y1071" s="8">
        <f t="shared" si="336"/>
        <v>0.59339856802753366</v>
      </c>
      <c r="Z1071" s="27">
        <f t="shared" si="337"/>
        <v>0.26030970319302632</v>
      </c>
      <c r="AA1071" s="27"/>
      <c r="AB1071" s="40"/>
      <c r="AC1071" s="56">
        <f t="shared" si="339"/>
        <v>5.0316573329089405E-2</v>
      </c>
      <c r="AE1071" s="20">
        <f t="shared" si="341"/>
        <v>1204441.6500000001</v>
      </c>
      <c r="AF1071" s="20">
        <f t="shared" si="342"/>
        <v>2028595993.6500001</v>
      </c>
      <c r="AG1071">
        <f t="shared" si="333"/>
        <v>129343795.2</v>
      </c>
      <c r="AH1071">
        <f t="shared" si="334"/>
        <v>143715328</v>
      </c>
      <c r="AI1071">
        <f t="shared" si="335"/>
        <v>15885277452</v>
      </c>
    </row>
    <row r="1072" spans="2:35" x14ac:dyDescent="0.25">
      <c r="B1072" s="4">
        <v>2024</v>
      </c>
      <c r="C1072" s="4" t="s">
        <v>28</v>
      </c>
      <c r="D1072" s="1" t="s">
        <v>629</v>
      </c>
      <c r="E1072" s="4" t="str">
        <f t="shared" si="343"/>
        <v>Peoples-IL</v>
      </c>
      <c r="F1072" s="4" t="s">
        <v>146</v>
      </c>
      <c r="G1072" s="4"/>
      <c r="H1072" s="11" t="s">
        <v>321</v>
      </c>
      <c r="I1072" s="4"/>
      <c r="J1072" s="4" t="s">
        <v>21</v>
      </c>
      <c r="K1072" s="5">
        <v>108688</v>
      </c>
      <c r="L1072" s="5">
        <f>K1072/_xlfn.XLOOKUP(C1072,'Utility target list'!$K$2:$K$8,'Utility target list'!$L$2:$L$8,1,0,1)</f>
        <v>120764.44444444444</v>
      </c>
      <c r="M1072" s="8">
        <v>262885</v>
      </c>
      <c r="N1072" s="8">
        <v>132942</v>
      </c>
      <c r="O1072" s="8">
        <f>SUMIFS(EIAwtransport!$J$2:$J$675,EIAwtransport!$E$2:$E$675,Program_data!$E1072,EIAwtransport!$H$2:$H$675,Program_data!$F1072,EIAwtransport!$I$2:$I$675,Program_data!O$2)</f>
        <v>339565903</v>
      </c>
      <c r="P1072" s="5">
        <f>SUMIFS(EIAwtransport!$J$2:$J$675,EIAwtransport!$E$2:$E$675,Program_data!$E1072,EIAwtransport!$H$2:$H$675,Program_data!$F1072,EIAwtransport!$I$2:$I$675,Program_data!P$2)</f>
        <v>59224628</v>
      </c>
      <c r="Q1072" s="5">
        <f>SUMIFS(EIAwtransport!$J$2:$J$675,EIAwtransport!$E$2:$E$675,Program_data!$E1072,EIAwtransport!$H$2:$H$675,Program_data!$F1072,EIAwtransport!$I$2:$I$675,Program_data!Q$2)</f>
        <v>51422</v>
      </c>
      <c r="R1072" s="8">
        <f>SUMIFS(EIAwtransport!$J$2:$J$675,EIAwtransport!$E$2:$E$675,Program_data!$E1072,EIAwtransport!$I$2:$I$675,Program_data!R$2)</f>
        <v>1502663699</v>
      </c>
      <c r="S1072" s="5">
        <f>SUMIFS(EIAwtransport!$J$2:$J$675,EIAwtransport!$E$2:$E$675,Program_data!$E1072,EIAwtransport!$I$2:$I$675,Program_data!S$2)</f>
        <v>150599900</v>
      </c>
      <c r="T1072" s="5">
        <f>SUMIFS(EIAwtransport!$J$2:$J$675,EIAwtransport!$E$2:$E$675,Program_data!$E1072,EIAwtransport!$I$2:$I$675,Program_data!T$2)</f>
        <v>877342</v>
      </c>
      <c r="U1072" s="24">
        <f t="shared" si="344"/>
        <v>6.9662195599862219E-5</v>
      </c>
      <c r="V1072" s="24">
        <f t="shared" si="340"/>
        <v>7.7402439555402468E-5</v>
      </c>
      <c r="W1072" s="24">
        <f t="shared" si="345"/>
        <v>1.749459976806161E-4</v>
      </c>
      <c r="X1072" s="25">
        <f t="shared" si="346"/>
        <v>1.684928077641486E-4</v>
      </c>
      <c r="Y1072" s="8">
        <f t="shared" si="336"/>
        <v>7.7476760066511802E-2</v>
      </c>
      <c r="Z1072" s="27">
        <f t="shared" si="337"/>
        <v>3.3987194280413587E-2</v>
      </c>
      <c r="AA1072" s="27"/>
      <c r="AB1072" s="40"/>
      <c r="AC1072" s="56">
        <f t="shared" si="339"/>
        <v>4.4598184058520923E-3</v>
      </c>
      <c r="AE1072" s="20">
        <f t="shared" si="341"/>
        <v>179471.7</v>
      </c>
      <c r="AF1072" s="20">
        <f t="shared" si="342"/>
        <v>2028595993.6500001</v>
      </c>
      <c r="AG1072">
        <f t="shared" si="333"/>
        <v>11464410.24</v>
      </c>
      <c r="AH1072">
        <f t="shared" si="334"/>
        <v>12738233.6</v>
      </c>
      <c r="AI1072">
        <f t="shared" si="335"/>
        <v>15885277452</v>
      </c>
    </row>
    <row r="1073" spans="2:35" x14ac:dyDescent="0.25">
      <c r="B1073" s="4">
        <v>2024</v>
      </c>
      <c r="C1073" s="4" t="s">
        <v>28</v>
      </c>
      <c r="D1073" s="1" t="s">
        <v>629</v>
      </c>
      <c r="E1073" s="4" t="str">
        <f t="shared" si="343"/>
        <v>Peoples-IL</v>
      </c>
      <c r="F1073" s="4" t="s">
        <v>143</v>
      </c>
      <c r="G1073" s="4">
        <v>1</v>
      </c>
      <c r="H1073" s="11" t="s">
        <v>633</v>
      </c>
      <c r="I1073" s="4"/>
      <c r="J1073" s="4" t="s">
        <v>21</v>
      </c>
      <c r="K1073" s="5">
        <v>841577</v>
      </c>
      <c r="L1073" s="5">
        <f>K1073/_xlfn.XLOOKUP(C1073,'Utility target list'!$K$2:$K$8,'Utility target list'!$L$2:$L$8,1,0,1)</f>
        <v>935085.5555555555</v>
      </c>
      <c r="M1073" s="8">
        <v>5275305</v>
      </c>
      <c r="N1073" s="8">
        <v>4806249</v>
      </c>
      <c r="O1073" s="8">
        <f>SUMIFS(EIAwtransport!$J$2:$J$675,EIAwtransport!$E$2:$E$675,Program_data!$E1073,EIAwtransport!$H$2:$H$675,Program_data!$F1073,EIAwtransport!$I$2:$I$675,Program_data!O$2)</f>
        <v>0</v>
      </c>
      <c r="P1073" s="5">
        <f>SUMIFS(EIAwtransport!$J$2:$J$675,EIAwtransport!$E$2:$E$675,Program_data!$E1073,EIAwtransport!$H$2:$H$675,Program_data!$F1073,EIAwtransport!$I$2:$I$675,Program_data!P$2)</f>
        <v>0</v>
      </c>
      <c r="Q1073" s="5">
        <f>SUMIFS(EIAwtransport!$J$2:$J$675,EIAwtransport!$E$2:$E$675,Program_data!$E1073,EIAwtransport!$H$2:$H$675,Program_data!$F1073,EIAwtransport!$I$2:$I$675,Program_data!Q$2)</f>
        <v>0</v>
      </c>
      <c r="R1073" s="8">
        <f>SUMIFS(EIAwtransport!$J$2:$J$675,EIAwtransport!$E$2:$E$675,Program_data!$E1073,EIAwtransport!$I$2:$I$675,Program_data!R$2)</f>
        <v>1502663699</v>
      </c>
      <c r="S1073" s="5">
        <f>SUMIFS(EIAwtransport!$J$2:$J$675,EIAwtransport!$E$2:$E$675,Program_data!$E1073,EIAwtransport!$I$2:$I$675,Program_data!S$2)</f>
        <v>150599900</v>
      </c>
      <c r="T1073" s="5">
        <f>SUMIFS(EIAwtransport!$J$2:$J$675,EIAwtransport!$E$2:$E$675,Program_data!$E1073,EIAwtransport!$I$2:$I$675,Program_data!T$2)</f>
        <v>877342</v>
      </c>
      <c r="U1073" s="24">
        <f t="shared" si="344"/>
        <v>5.393981082211952E-4</v>
      </c>
      <c r="V1073" s="24">
        <f t="shared" si="340"/>
        <v>5.9933123135688345E-4</v>
      </c>
      <c r="W1073" s="24">
        <f t="shared" si="345"/>
        <v>3.5106358152596855E-3</v>
      </c>
      <c r="X1073" s="25">
        <f t="shared" si="346"/>
        <v>3.3811398568280877E-3</v>
      </c>
      <c r="Y1073" s="8">
        <f t="shared" si="336"/>
        <v>2.9531128768429999</v>
      </c>
      <c r="Z1073" s="27">
        <f t="shared" si="337"/>
        <v>0.68201995520260639</v>
      </c>
      <c r="AA1073" s="27"/>
      <c r="AB1073" s="40"/>
      <c r="AC1073" s="56">
        <f t="shared" si="339"/>
        <v>3.4532612565709053E-2</v>
      </c>
      <c r="AE1073" s="20">
        <f t="shared" si="341"/>
        <v>6488436.1500000004</v>
      </c>
      <c r="AF1073" s="20">
        <f t="shared" si="342"/>
        <v>2028595993.6500001</v>
      </c>
      <c r="AG1073">
        <f t="shared" si="333"/>
        <v>88769541.960000008</v>
      </c>
      <c r="AH1073">
        <f t="shared" si="334"/>
        <v>98632824.399999991</v>
      </c>
      <c r="AI1073">
        <f t="shared" si="335"/>
        <v>15885277452</v>
      </c>
    </row>
    <row r="1074" spans="2:35" x14ac:dyDescent="0.25">
      <c r="B1074" s="4">
        <v>2024</v>
      </c>
      <c r="C1074" s="4" t="s">
        <v>28</v>
      </c>
      <c r="D1074" s="1" t="s">
        <v>629</v>
      </c>
      <c r="E1074" s="4" t="str">
        <f t="shared" si="343"/>
        <v>Peoples-IL</v>
      </c>
      <c r="F1074" s="4" t="s">
        <v>143</v>
      </c>
      <c r="G1074" s="4">
        <v>1</v>
      </c>
      <c r="H1074" s="11" t="s">
        <v>623</v>
      </c>
      <c r="I1074" s="4"/>
      <c r="J1074" s="4" t="s">
        <v>21</v>
      </c>
      <c r="K1074" s="5">
        <v>944777</v>
      </c>
      <c r="L1074" s="5">
        <f>K1074/_xlfn.XLOOKUP(C1074,'Utility target list'!$K$2:$K$8,'Utility target list'!$L$2:$L$8,1,0,1)</f>
        <v>1049752.2222222222</v>
      </c>
      <c r="M1074" s="8">
        <v>7142526</v>
      </c>
      <c r="N1074" s="8">
        <v>469000</v>
      </c>
      <c r="O1074" s="8">
        <f>SUMIFS(EIAwtransport!$J$2:$J$675,EIAwtransport!$E$2:$E$675,Program_data!$E1074,EIAwtransport!$H$2:$H$675,Program_data!$F1074,EIAwtransport!$I$2:$I$675,Program_data!O$2)</f>
        <v>0</v>
      </c>
      <c r="P1074" s="5">
        <f>SUMIFS(EIAwtransport!$J$2:$J$675,EIAwtransport!$E$2:$E$675,Program_data!$E1074,EIAwtransport!$H$2:$H$675,Program_data!$F1074,EIAwtransport!$I$2:$I$675,Program_data!P$2)</f>
        <v>0</v>
      </c>
      <c r="Q1074" s="5">
        <f>SUMIFS(EIAwtransport!$J$2:$J$675,EIAwtransport!$E$2:$E$675,Program_data!$E1074,EIAwtransport!$H$2:$H$675,Program_data!$F1074,EIAwtransport!$I$2:$I$675,Program_data!Q$2)</f>
        <v>0</v>
      </c>
      <c r="R1074" s="8">
        <f>SUMIFS(EIAwtransport!$J$2:$J$675,EIAwtransport!$E$2:$E$675,Program_data!$E1074,EIAwtransport!$I$2:$I$675,Program_data!R$2)</f>
        <v>1502663699</v>
      </c>
      <c r="S1074" s="5">
        <f>SUMIFS(EIAwtransport!$J$2:$J$675,EIAwtransport!$E$2:$E$675,Program_data!$E1074,EIAwtransport!$I$2:$I$675,Program_data!S$2)</f>
        <v>150599900</v>
      </c>
      <c r="T1074" s="5">
        <f>SUMIFS(EIAwtransport!$J$2:$J$675,EIAwtransport!$E$2:$E$675,Program_data!$E1074,EIAwtransport!$I$2:$I$675,Program_data!T$2)</f>
        <v>877342</v>
      </c>
      <c r="U1074" s="24">
        <f t="shared" si="344"/>
        <v>6.0554283980063153E-4</v>
      </c>
      <c r="V1074" s="24">
        <f t="shared" si="340"/>
        <v>6.7282537755625725E-4</v>
      </c>
      <c r="W1074" s="24">
        <f t="shared" si="345"/>
        <v>4.7532431939050924E-3</v>
      </c>
      <c r="X1074" s="25">
        <f t="shared" si="346"/>
        <v>4.5779114832281542E-3</v>
      </c>
      <c r="Y1074" s="8">
        <f t="shared" si="336"/>
        <v>3.9983821795679915</v>
      </c>
      <c r="Z1074" s="27">
        <f t="shared" si="337"/>
        <v>0.92342438258137705</v>
      </c>
      <c r="AA1074" s="27"/>
      <c r="AB1074" s="40"/>
      <c r="AC1074" s="56">
        <f t="shared" si="339"/>
        <v>3.8767240670779864E-2</v>
      </c>
      <c r="AE1074" s="20">
        <f t="shared" si="341"/>
        <v>633150</v>
      </c>
      <c r="AF1074" s="20">
        <f t="shared" si="342"/>
        <v>2028595993.6500001</v>
      </c>
      <c r="AG1074">
        <f t="shared" si="333"/>
        <v>99655077.960000008</v>
      </c>
      <c r="AH1074">
        <f t="shared" si="334"/>
        <v>110727864.40000001</v>
      </c>
      <c r="AI1074">
        <f t="shared" si="335"/>
        <v>15885277452</v>
      </c>
    </row>
    <row r="1075" spans="2:35" x14ac:dyDescent="0.25">
      <c r="B1075" s="4">
        <v>2024</v>
      </c>
      <c r="C1075" s="4" t="s">
        <v>28</v>
      </c>
      <c r="D1075" s="1" t="s">
        <v>629</v>
      </c>
      <c r="E1075" s="4" t="str">
        <f t="shared" si="343"/>
        <v>Peoples-IL</v>
      </c>
      <c r="F1075" s="4" t="s">
        <v>306</v>
      </c>
      <c r="G1075" s="4"/>
      <c r="H1075" s="11" t="s">
        <v>634</v>
      </c>
      <c r="I1075" s="4"/>
      <c r="J1075" s="4" t="s">
        <v>155</v>
      </c>
      <c r="K1075" s="5">
        <v>0</v>
      </c>
      <c r="L1075" s="38"/>
      <c r="M1075" s="8">
        <v>700000</v>
      </c>
      <c r="N1075" s="8">
        <v>0</v>
      </c>
      <c r="O1075" s="8">
        <f>SUMIFS(EIAwtransport!$J$2:$J$675,EIAwtransport!$E$2:$E$675,Program_data!$E1075,EIAwtransport!$H$2:$H$675,Program_data!$F1075,EIAwtransport!$I$2:$I$675,Program_data!O$2)</f>
        <v>0</v>
      </c>
      <c r="P1075" s="5">
        <f>SUMIFS(EIAwtransport!$J$2:$J$675,EIAwtransport!$E$2:$E$675,Program_data!$E1075,EIAwtransport!$H$2:$H$675,Program_data!$F1075,EIAwtransport!$I$2:$I$675,Program_data!P$2)</f>
        <v>0</v>
      </c>
      <c r="Q1075" s="5">
        <f>SUMIFS(EIAwtransport!$J$2:$J$675,EIAwtransport!$E$2:$E$675,Program_data!$E1075,EIAwtransport!$H$2:$H$675,Program_data!$F1075,EIAwtransport!$I$2:$I$675,Program_data!Q$2)</f>
        <v>0</v>
      </c>
      <c r="R1075" s="8">
        <f>SUMIFS(EIAwtransport!$J$2:$J$675,EIAwtransport!$E$2:$E$675,Program_data!$E1075,EIAwtransport!$I$2:$I$675,Program_data!R$2)</f>
        <v>1502663699</v>
      </c>
      <c r="S1075" s="5">
        <f>SUMIFS(EIAwtransport!$J$2:$J$675,EIAwtransport!$E$2:$E$675,Program_data!$E1075,EIAwtransport!$I$2:$I$675,Program_data!S$2)</f>
        <v>150599900</v>
      </c>
      <c r="T1075" s="5">
        <f>SUMIFS(EIAwtransport!$J$2:$J$675,EIAwtransport!$E$2:$E$675,Program_data!$E1075,EIAwtransport!$I$2:$I$675,Program_data!T$2)</f>
        <v>877342</v>
      </c>
      <c r="U1075" s="24">
        <f t="shared" si="344"/>
        <v>0</v>
      </c>
      <c r="V1075" s="24">
        <f t="shared" si="340"/>
        <v>0</v>
      </c>
      <c r="W1075" s="24">
        <f t="shared" si="345"/>
        <v>4.6583942931864222E-4</v>
      </c>
      <c r="X1075" s="25">
        <f t="shared" si="346"/>
        <v>4.4865612505431653E-4</v>
      </c>
      <c r="Y1075" s="8" t="str">
        <f t="shared" si="336"/>
        <v/>
      </c>
      <c r="Z1075" s="27">
        <f t="shared" si="337"/>
        <v>9.0499785063010471E-2</v>
      </c>
      <c r="AA1075" s="27"/>
      <c r="AB1075" s="40"/>
      <c r="AC1075" s="56">
        <f t="shared" si="339"/>
        <v>0</v>
      </c>
      <c r="AE1075" s="20">
        <f t="shared" si="341"/>
        <v>0</v>
      </c>
      <c r="AF1075" s="20">
        <f t="shared" si="342"/>
        <v>2028595993.6500001</v>
      </c>
      <c r="AG1075">
        <f t="shared" si="333"/>
        <v>0</v>
      </c>
      <c r="AH1075">
        <f t="shared" si="334"/>
        <v>0</v>
      </c>
      <c r="AI1075">
        <f t="shared" si="335"/>
        <v>15885277452</v>
      </c>
    </row>
    <row r="1076" spans="2:35" x14ac:dyDescent="0.25">
      <c r="B1076" s="4">
        <v>2025</v>
      </c>
      <c r="C1076" s="4" t="s">
        <v>28</v>
      </c>
      <c r="D1076" s="1" t="s">
        <v>629</v>
      </c>
      <c r="E1076" s="4" t="str">
        <f t="shared" si="343"/>
        <v>Peoples-IL</v>
      </c>
      <c r="F1076" s="4" t="s">
        <v>135</v>
      </c>
      <c r="G1076" s="4"/>
      <c r="H1076" s="11" t="s">
        <v>312</v>
      </c>
      <c r="I1076" s="4"/>
      <c r="J1076" s="4" t="s">
        <v>142</v>
      </c>
      <c r="K1076" s="5">
        <v>13254</v>
      </c>
      <c r="L1076" s="5">
        <f>K1076/_xlfn.XLOOKUP(C1076,'Utility target list'!$K$2:$K$8,'Utility target list'!$L$2:$L$8,1,0,1)</f>
        <v>14726.666666666666</v>
      </c>
      <c r="M1076" s="8">
        <v>17518</v>
      </c>
      <c r="N1076" s="8">
        <v>15918</v>
      </c>
      <c r="O1076" s="8">
        <f>SUMIFS(EIAwtransport!$J$2:$J$675,EIAwtransport!$E$2:$E$675,Program_data!$E1076,EIAwtransport!$H$2:$H$675,Program_data!$F1076,EIAwtransport!$I$2:$I$675,Program_data!O$2)</f>
        <v>1163097796</v>
      </c>
      <c r="P1076" s="5">
        <f>SUMIFS(EIAwtransport!$J$2:$J$675,EIAwtransport!$E$2:$E$675,Program_data!$E1076,EIAwtransport!$H$2:$H$675,Program_data!$F1076,EIAwtransport!$I$2:$I$675,Program_data!P$2)</f>
        <v>91375272</v>
      </c>
      <c r="Q1076" s="5">
        <f>SUMIFS(EIAwtransport!$J$2:$J$675,EIAwtransport!$E$2:$E$675,Program_data!$E1076,EIAwtransport!$H$2:$H$675,Program_data!$F1076,EIAwtransport!$I$2:$I$675,Program_data!Q$2)</f>
        <v>825920</v>
      </c>
      <c r="R1076" s="8">
        <f>SUMIFS(EIAwtransport!$J$2:$J$675,EIAwtransport!$E$2:$E$675,Program_data!$E1076,EIAwtransport!$I$2:$I$675,Program_data!R$2)</f>
        <v>1502663699</v>
      </c>
      <c r="S1076" s="5">
        <f>SUMIFS(EIAwtransport!$J$2:$J$675,EIAwtransport!$E$2:$E$675,Program_data!$E1076,EIAwtransport!$I$2:$I$675,Program_data!S$2)</f>
        <v>150599900</v>
      </c>
      <c r="T1076" s="5">
        <f>SUMIFS(EIAwtransport!$J$2:$J$675,EIAwtransport!$E$2:$E$675,Program_data!$E1076,EIAwtransport!$I$2:$I$675,Program_data!T$2)</f>
        <v>877342</v>
      </c>
      <c r="U1076" s="24">
        <f t="shared" ref="U1076:U1128" si="347">IFERROR(K1076/10.36/S1076,"")</f>
        <v>8.4949832592427303E-6</v>
      </c>
      <c r="V1076" s="24">
        <f t="shared" si="340"/>
        <v>9.4388702880474789E-6</v>
      </c>
      <c r="W1076" s="24">
        <f t="shared" ref="W1076:W1128" si="348">IFERROR(M1076/R1076,"")</f>
        <v>1.1657964461148535E-5</v>
      </c>
      <c r="X1076" s="25">
        <f t="shared" ref="X1076:X1128" si="349">IFERROR(M1076/S1076/10.36,"")</f>
        <v>1.1227939998145026E-5</v>
      </c>
      <c r="Y1076" s="8">
        <f t="shared" si="336"/>
        <v>8.4281447497055583E-3</v>
      </c>
      <c r="Z1076" s="27">
        <f t="shared" si="337"/>
        <v>2.4986588857076799E-3</v>
      </c>
      <c r="AA1076" s="27"/>
      <c r="AB1076" s="40"/>
      <c r="AC1076" s="56">
        <f t="shared" si="339"/>
        <v>5.4370399268005576E-4</v>
      </c>
      <c r="AE1076" s="20">
        <f t="shared" si="341"/>
        <v>21489.300000000003</v>
      </c>
      <c r="AF1076" s="20">
        <f t="shared" si="342"/>
        <v>2028595993.6500001</v>
      </c>
      <c r="AG1076">
        <f t="shared" si="333"/>
        <v>1398031.9200000002</v>
      </c>
      <c r="AH1076">
        <f t="shared" si="334"/>
        <v>1553368.8</v>
      </c>
      <c r="AI1076">
        <f t="shared" si="335"/>
        <v>15885277452</v>
      </c>
    </row>
    <row r="1077" spans="2:35" x14ac:dyDescent="0.25">
      <c r="B1077" s="4">
        <v>2025</v>
      </c>
      <c r="C1077" s="4" t="s">
        <v>28</v>
      </c>
      <c r="D1077" s="1" t="s">
        <v>629</v>
      </c>
      <c r="E1077" s="4" t="str">
        <f t="shared" si="343"/>
        <v>Peoples-IL</v>
      </c>
      <c r="F1077" s="4" t="s">
        <v>135</v>
      </c>
      <c r="G1077" s="4"/>
      <c r="H1077" s="11" t="s">
        <v>630</v>
      </c>
      <c r="I1077" s="4"/>
      <c r="J1077" s="4" t="s">
        <v>142</v>
      </c>
      <c r="K1077" s="5">
        <v>194567</v>
      </c>
      <c r="L1077" s="5">
        <f>K1077/_xlfn.XLOOKUP(C1077,'Utility target list'!$K$2:$K$8,'Utility target list'!$L$2:$L$8,1,0,1)</f>
        <v>216185.55555555556</v>
      </c>
      <c r="M1077" s="8">
        <v>586222</v>
      </c>
      <c r="N1077" s="8">
        <v>472930</v>
      </c>
      <c r="O1077" s="8">
        <f>SUMIFS(EIAwtransport!$J$2:$J$675,EIAwtransport!$E$2:$E$675,Program_data!$E1077,EIAwtransport!$H$2:$H$675,Program_data!$F1077,EIAwtransport!$I$2:$I$675,Program_data!O$2)</f>
        <v>1163097796</v>
      </c>
      <c r="P1077" s="5">
        <f>SUMIFS(EIAwtransport!$J$2:$J$675,EIAwtransport!$E$2:$E$675,Program_data!$E1077,EIAwtransport!$H$2:$H$675,Program_data!$F1077,EIAwtransport!$I$2:$I$675,Program_data!P$2)</f>
        <v>91375272</v>
      </c>
      <c r="Q1077" s="5">
        <f>SUMIFS(EIAwtransport!$J$2:$J$675,EIAwtransport!$E$2:$E$675,Program_data!$E1077,EIAwtransport!$H$2:$H$675,Program_data!$F1077,EIAwtransport!$I$2:$I$675,Program_data!Q$2)</f>
        <v>825920</v>
      </c>
      <c r="R1077" s="8">
        <f>SUMIFS(EIAwtransport!$J$2:$J$675,EIAwtransport!$E$2:$E$675,Program_data!$E1077,EIAwtransport!$I$2:$I$675,Program_data!R$2)</f>
        <v>1502663699</v>
      </c>
      <c r="S1077" s="5">
        <f>SUMIFS(EIAwtransport!$J$2:$J$675,EIAwtransport!$E$2:$E$675,Program_data!$E1077,EIAwtransport!$I$2:$I$675,Program_data!S$2)</f>
        <v>150599900</v>
      </c>
      <c r="T1077" s="5">
        <f>SUMIFS(EIAwtransport!$J$2:$J$675,EIAwtransport!$E$2:$E$675,Program_data!$E1077,EIAwtransport!$I$2:$I$675,Program_data!T$2)</f>
        <v>877342</v>
      </c>
      <c r="U1077" s="24">
        <f t="shared" si="347"/>
        <v>1.2470525183349031E-4</v>
      </c>
      <c r="V1077" s="24">
        <f t="shared" si="340"/>
        <v>1.3856139092610035E-4</v>
      </c>
      <c r="W1077" s="24">
        <f t="shared" si="348"/>
        <v>3.9012188847719015E-4</v>
      </c>
      <c r="X1077" s="25">
        <f t="shared" si="349"/>
        <v>3.7573155848798798E-4</v>
      </c>
      <c r="Y1077" s="8">
        <f t="shared" si="336"/>
        <v>0.28203926655222583</v>
      </c>
      <c r="Z1077" s="27">
        <f t="shared" si="337"/>
        <v>8.3615070744224654E-2</v>
      </c>
      <c r="AA1077" s="27"/>
      <c r="AB1077" s="40"/>
      <c r="AC1077" s="56">
        <f t="shared" si="339"/>
        <v>7.9815040549102469E-3</v>
      </c>
      <c r="AE1077" s="20">
        <f t="shared" si="341"/>
        <v>638455.5</v>
      </c>
      <c r="AF1077" s="20">
        <f t="shared" si="342"/>
        <v>2028595993.6500001</v>
      </c>
      <c r="AG1077">
        <f t="shared" si="333"/>
        <v>20522927.16</v>
      </c>
      <c r="AH1077">
        <f t="shared" si="334"/>
        <v>22803252.400000002</v>
      </c>
      <c r="AI1077">
        <f t="shared" si="335"/>
        <v>15885277452</v>
      </c>
    </row>
    <row r="1078" spans="2:35" x14ac:dyDescent="0.25">
      <c r="B1078" s="4">
        <v>2025</v>
      </c>
      <c r="C1078" s="4" t="s">
        <v>28</v>
      </c>
      <c r="D1078" s="1" t="s">
        <v>629</v>
      </c>
      <c r="E1078" s="4" t="str">
        <f t="shared" si="343"/>
        <v>Peoples-IL</v>
      </c>
      <c r="F1078" s="4" t="s">
        <v>135</v>
      </c>
      <c r="G1078" s="4"/>
      <c r="H1078" s="11" t="s">
        <v>313</v>
      </c>
      <c r="I1078" s="4"/>
      <c r="J1078" s="4" t="s">
        <v>142</v>
      </c>
      <c r="K1078" s="5">
        <v>686531</v>
      </c>
      <c r="L1078" s="5">
        <f>K1078/_xlfn.XLOOKUP(C1078,'Utility target list'!$K$2:$K$8,'Utility target list'!$L$2:$L$8,1,0,1)</f>
        <v>762812.22222222225</v>
      </c>
      <c r="M1078" s="8">
        <v>1042581</v>
      </c>
      <c r="N1078" s="8">
        <f>317090+116531</f>
        <v>433621</v>
      </c>
      <c r="O1078" s="8">
        <f>SUMIFS(EIAwtransport!$J$2:$J$675,EIAwtransport!$E$2:$E$675,Program_data!$E1078,EIAwtransport!$H$2:$H$675,Program_data!$F1078,EIAwtransport!$I$2:$I$675,Program_data!O$2)</f>
        <v>1163097796</v>
      </c>
      <c r="P1078" s="5">
        <f>SUMIFS(EIAwtransport!$J$2:$J$675,EIAwtransport!$E$2:$E$675,Program_data!$E1078,EIAwtransport!$H$2:$H$675,Program_data!$F1078,EIAwtransport!$I$2:$I$675,Program_data!P$2)</f>
        <v>91375272</v>
      </c>
      <c r="Q1078" s="5">
        <f>SUMIFS(EIAwtransport!$J$2:$J$675,EIAwtransport!$E$2:$E$675,Program_data!$E1078,EIAwtransport!$H$2:$H$675,Program_data!$F1078,EIAwtransport!$I$2:$I$675,Program_data!Q$2)</f>
        <v>825920</v>
      </c>
      <c r="R1078" s="8">
        <f>SUMIFS(EIAwtransport!$J$2:$J$675,EIAwtransport!$E$2:$E$675,Program_data!$E1078,EIAwtransport!$I$2:$I$675,Program_data!R$2)</f>
        <v>1502663699</v>
      </c>
      <c r="S1078" s="5">
        <f>SUMIFS(EIAwtransport!$J$2:$J$675,EIAwtransport!$E$2:$E$675,Program_data!$E1078,EIAwtransport!$I$2:$I$675,Program_data!S$2)</f>
        <v>150599900</v>
      </c>
      <c r="T1078" s="5">
        <f>SUMIFS(EIAwtransport!$J$2:$J$675,EIAwtransport!$E$2:$E$675,Program_data!$E1078,EIAwtransport!$I$2:$I$675,Program_data!T$2)</f>
        <v>877342</v>
      </c>
      <c r="U1078" s="24">
        <f t="shared" si="347"/>
        <v>4.4002334027095003E-4</v>
      </c>
      <c r="V1078" s="24">
        <f t="shared" si="340"/>
        <v>4.889148225232778E-4</v>
      </c>
      <c r="W1078" s="24">
        <f t="shared" si="348"/>
        <v>6.9382191151208473E-4</v>
      </c>
      <c r="X1078" s="25">
        <f t="shared" si="349"/>
        <v>6.682290735932206E-4</v>
      </c>
      <c r="Y1078" s="8">
        <f t="shared" si="336"/>
        <v>0.50159970209457538</v>
      </c>
      <c r="Z1078" s="27">
        <f t="shared" si="337"/>
        <v>0.14870728848727013</v>
      </c>
      <c r="AA1078" s="27"/>
      <c r="AB1078" s="40"/>
      <c r="AC1078" s="56">
        <f t="shared" si="339"/>
        <v>2.8162792047580459E-2</v>
      </c>
      <c r="AE1078" s="20">
        <f t="shared" si="341"/>
        <v>585388.35000000009</v>
      </c>
      <c r="AF1078" s="20">
        <f t="shared" si="342"/>
        <v>2028595993.6500001</v>
      </c>
      <c r="AG1078">
        <f t="shared" si="333"/>
        <v>72415289.88000001</v>
      </c>
      <c r="AH1078">
        <f t="shared" si="334"/>
        <v>80461433.200000003</v>
      </c>
      <c r="AI1078">
        <f t="shared" si="335"/>
        <v>15885277452</v>
      </c>
    </row>
    <row r="1079" spans="2:35" x14ac:dyDescent="0.25">
      <c r="B1079" s="4">
        <v>2025</v>
      </c>
      <c r="C1079" s="4" t="s">
        <v>28</v>
      </c>
      <c r="D1079" s="1" t="s">
        <v>629</v>
      </c>
      <c r="E1079" s="4" t="str">
        <f t="shared" si="343"/>
        <v>Peoples-IL</v>
      </c>
      <c r="F1079" s="4" t="s">
        <v>135</v>
      </c>
      <c r="G1079" s="4"/>
      <c r="H1079" s="11" t="s">
        <v>623</v>
      </c>
      <c r="I1079" s="4"/>
      <c r="J1079" s="4" t="s">
        <v>142</v>
      </c>
      <c r="K1079" s="5">
        <v>1184160</v>
      </c>
      <c r="L1079" s="5">
        <f>K1079/_xlfn.XLOOKUP(C1079,'Utility target list'!$K$2:$K$8,'Utility target list'!$L$2:$L$8,1,0,1)</f>
        <v>1315733.3333333333</v>
      </c>
      <c r="M1079" s="8">
        <v>1797355</v>
      </c>
      <c r="N1079" s="8">
        <f>241824+1011106</f>
        <v>1252930</v>
      </c>
      <c r="O1079" s="8">
        <f>SUMIFS(EIAwtransport!$J$2:$J$675,EIAwtransport!$E$2:$E$675,Program_data!$E1079,EIAwtransport!$H$2:$H$675,Program_data!$F1079,EIAwtransport!$I$2:$I$675,Program_data!O$2)</f>
        <v>1163097796</v>
      </c>
      <c r="P1079" s="5">
        <f>SUMIFS(EIAwtransport!$J$2:$J$675,EIAwtransport!$E$2:$E$675,Program_data!$E1079,EIAwtransport!$H$2:$H$675,Program_data!$F1079,EIAwtransport!$I$2:$I$675,Program_data!P$2)</f>
        <v>91375272</v>
      </c>
      <c r="Q1079" s="5">
        <f>SUMIFS(EIAwtransport!$J$2:$J$675,EIAwtransport!$E$2:$E$675,Program_data!$E1079,EIAwtransport!$H$2:$H$675,Program_data!$F1079,EIAwtransport!$I$2:$I$675,Program_data!Q$2)</f>
        <v>825920</v>
      </c>
      <c r="R1079" s="8">
        <f>SUMIFS(EIAwtransport!$J$2:$J$675,EIAwtransport!$E$2:$E$675,Program_data!$E1079,EIAwtransport!$I$2:$I$675,Program_data!R$2)</f>
        <v>1502663699</v>
      </c>
      <c r="S1079" s="5">
        <f>SUMIFS(EIAwtransport!$J$2:$J$675,EIAwtransport!$E$2:$E$675,Program_data!$E1079,EIAwtransport!$I$2:$I$675,Program_data!S$2)</f>
        <v>150599900</v>
      </c>
      <c r="T1079" s="5">
        <f>SUMIFS(EIAwtransport!$J$2:$J$675,EIAwtransport!$E$2:$E$675,Program_data!$E1079,EIAwtransport!$I$2:$I$675,Program_data!T$2)</f>
        <v>877342</v>
      </c>
      <c r="U1079" s="24">
        <f t="shared" si="347"/>
        <v>7.5897233863474222E-4</v>
      </c>
      <c r="V1079" s="24">
        <f t="shared" si="340"/>
        <v>8.4330259848304674E-4</v>
      </c>
      <c r="W1079" s="24">
        <f t="shared" si="348"/>
        <v>1.1961126106900118E-3</v>
      </c>
      <c r="X1079" s="25">
        <f t="shared" si="349"/>
        <v>1.151991899495716E-3</v>
      </c>
      <c r="Y1079" s="8">
        <f t="shared" si="336"/>
        <v>0.86473159644976794</v>
      </c>
      <c r="Z1079" s="27">
        <f t="shared" si="337"/>
        <v>0.25636357127075732</v>
      </c>
      <c r="AA1079" s="27"/>
      <c r="AB1079" s="40"/>
      <c r="AC1079" s="56">
        <f t="shared" si="339"/>
        <v>4.8576468988381985E-2</v>
      </c>
      <c r="AE1079" s="20">
        <f t="shared" si="341"/>
        <v>1691455.5</v>
      </c>
      <c r="AF1079" s="20">
        <f t="shared" si="342"/>
        <v>2028595993.6500001</v>
      </c>
      <c r="AG1079">
        <f t="shared" si="333"/>
        <v>124905196.80000001</v>
      </c>
      <c r="AH1079">
        <f t="shared" si="334"/>
        <v>138783552</v>
      </c>
      <c r="AI1079">
        <f t="shared" si="335"/>
        <v>15885277452</v>
      </c>
    </row>
    <row r="1080" spans="2:35" x14ac:dyDescent="0.25">
      <c r="B1080" s="4">
        <v>2025</v>
      </c>
      <c r="C1080" s="4" t="s">
        <v>28</v>
      </c>
      <c r="D1080" s="1" t="s">
        <v>629</v>
      </c>
      <c r="E1080" s="4" t="str">
        <f t="shared" si="343"/>
        <v>Peoples-IL</v>
      </c>
      <c r="F1080" s="4" t="s">
        <v>146</v>
      </c>
      <c r="G1080" s="4"/>
      <c r="H1080" s="11" t="s">
        <v>47</v>
      </c>
      <c r="I1080" s="4"/>
      <c r="J1080" s="4" t="s">
        <v>142</v>
      </c>
      <c r="K1080" s="5">
        <v>1190556</v>
      </c>
      <c r="L1080" s="5">
        <f>K1080/_xlfn.XLOOKUP(C1080,'Utility target list'!$K$2:$K$8,'Utility target list'!$L$2:$L$8,1,0,1)</f>
        <v>1322840</v>
      </c>
      <c r="M1080" s="34">
        <v>1824295</v>
      </c>
      <c r="N1080">
        <v>1243646</v>
      </c>
      <c r="O1080" s="8">
        <f>SUMIFS(EIAwtransport!$J$2:$J$675,EIAwtransport!$E$2:$E$675,Program_data!$E1080,EIAwtransport!$H$2:$H$675,Program_data!$F1080,EIAwtransport!$I$2:$I$675,Program_data!O$2)</f>
        <v>339565903</v>
      </c>
      <c r="P1080" s="5">
        <f>SUMIFS(EIAwtransport!$J$2:$J$675,EIAwtransport!$E$2:$E$675,Program_data!$E1080,EIAwtransport!$H$2:$H$675,Program_data!$F1080,EIAwtransport!$I$2:$I$675,Program_data!P$2)</f>
        <v>59224628</v>
      </c>
      <c r="Q1080" s="5">
        <f>SUMIFS(EIAwtransport!$J$2:$J$675,EIAwtransport!$E$2:$E$675,Program_data!$E1080,EIAwtransport!$H$2:$H$675,Program_data!$F1080,EIAwtransport!$I$2:$I$675,Program_data!Q$2)</f>
        <v>51422</v>
      </c>
      <c r="R1080" s="8">
        <f>SUMIFS(EIAwtransport!$J$2:$J$675,EIAwtransport!$E$2:$E$675,Program_data!$E1080,EIAwtransport!$I$2:$I$675,Program_data!R$2)</f>
        <v>1502663699</v>
      </c>
      <c r="S1080" s="5">
        <f>SUMIFS(EIAwtransport!$J$2:$J$675,EIAwtransport!$E$2:$E$675,Program_data!$E1080,EIAwtransport!$I$2:$I$675,Program_data!S$2)</f>
        <v>150599900</v>
      </c>
      <c r="T1080" s="5">
        <f>SUMIFS(EIAwtransport!$J$2:$J$675,EIAwtransport!$E$2:$E$675,Program_data!$E1080,EIAwtransport!$I$2:$I$675,Program_data!T$2)</f>
        <v>877342</v>
      </c>
      <c r="U1080" s="24">
        <f t="shared" si="347"/>
        <v>7.6307177374309557E-4</v>
      </c>
      <c r="V1080" s="24">
        <f t="shared" si="340"/>
        <v>8.4785752638121741E-4</v>
      </c>
      <c r="W1080" s="24">
        <f t="shared" si="348"/>
        <v>1.2140407738697892E-3</v>
      </c>
      <c r="X1080" s="25">
        <f t="shared" si="349"/>
        <v>1.1692587509370921E-3</v>
      </c>
      <c r="Y1080" s="8">
        <f t="shared" si="336"/>
        <v>0.60894029478091705</v>
      </c>
      <c r="Z1080" s="27">
        <f t="shared" si="337"/>
        <v>0.26020612580786001</v>
      </c>
      <c r="AA1080" s="27"/>
      <c r="AB1080" s="40"/>
      <c r="AC1080" s="56">
        <f t="shared" si="339"/>
        <v>4.8838844930526371E-2</v>
      </c>
      <c r="AE1080" s="20">
        <f t="shared" si="341"/>
        <v>1678922.1</v>
      </c>
      <c r="AF1080" s="20">
        <f t="shared" si="342"/>
        <v>2028595993.6500001</v>
      </c>
      <c r="AG1080">
        <f t="shared" si="333"/>
        <v>125579846.88000001</v>
      </c>
      <c r="AH1080">
        <f t="shared" si="334"/>
        <v>139533163.20000002</v>
      </c>
      <c r="AI1080">
        <f t="shared" si="335"/>
        <v>15885277452</v>
      </c>
    </row>
    <row r="1081" spans="2:35" x14ac:dyDescent="0.25">
      <c r="B1081" s="4">
        <v>2025</v>
      </c>
      <c r="C1081" s="4" t="s">
        <v>28</v>
      </c>
      <c r="D1081" s="1" t="s">
        <v>629</v>
      </c>
      <c r="E1081" s="4" t="str">
        <f t="shared" si="343"/>
        <v>Peoples-IL</v>
      </c>
      <c r="F1081" s="4" t="s">
        <v>146</v>
      </c>
      <c r="G1081" s="4"/>
      <c r="H1081" s="11" t="s">
        <v>631</v>
      </c>
      <c r="I1081" s="4"/>
      <c r="J1081" s="4" t="s">
        <v>142</v>
      </c>
      <c r="K1081" s="5">
        <v>518773</v>
      </c>
      <c r="L1081" s="5">
        <f>K1081/_xlfn.XLOOKUP(C1081,'Utility target list'!$K$2:$K$8,'Utility target list'!$L$2:$L$8,1,0,1)</f>
        <v>576414.44444444438</v>
      </c>
      <c r="M1081" s="8">
        <v>2422725</v>
      </c>
      <c r="N1081" s="8">
        <v>1195827</v>
      </c>
      <c r="O1081" s="8">
        <f>SUMIFS(EIAwtransport!$J$2:$J$675,EIAwtransport!$E$2:$E$675,Program_data!$E1081,EIAwtransport!$H$2:$H$675,Program_data!$F1081,EIAwtransport!$I$2:$I$675,Program_data!O$2)</f>
        <v>339565903</v>
      </c>
      <c r="P1081" s="5">
        <f>SUMIFS(EIAwtransport!$J$2:$J$675,EIAwtransport!$E$2:$E$675,Program_data!$E1081,EIAwtransport!$H$2:$H$675,Program_data!$F1081,EIAwtransport!$I$2:$I$675,Program_data!P$2)</f>
        <v>59224628</v>
      </c>
      <c r="Q1081" s="5">
        <f>SUMIFS(EIAwtransport!$J$2:$J$675,EIAwtransport!$E$2:$E$675,Program_data!$E1081,EIAwtransport!$H$2:$H$675,Program_data!$F1081,EIAwtransport!$I$2:$I$675,Program_data!Q$2)</f>
        <v>51422</v>
      </c>
      <c r="R1081" s="8">
        <f>SUMIFS(EIAwtransport!$J$2:$J$675,EIAwtransport!$E$2:$E$675,Program_data!$E1081,EIAwtransport!$I$2:$I$675,Program_data!R$2)</f>
        <v>1502663699</v>
      </c>
      <c r="S1081" s="5">
        <f>SUMIFS(EIAwtransport!$J$2:$J$675,EIAwtransport!$E$2:$E$675,Program_data!$E1081,EIAwtransport!$I$2:$I$675,Program_data!S$2)</f>
        <v>150599900</v>
      </c>
      <c r="T1081" s="5">
        <f>SUMIFS(EIAwtransport!$J$2:$J$675,EIAwtransport!$E$2:$E$675,Program_data!$E1081,EIAwtransport!$I$2:$I$675,Program_data!T$2)</f>
        <v>877342</v>
      </c>
      <c r="U1081" s="24">
        <f t="shared" si="347"/>
        <v>3.3250097708971855E-4</v>
      </c>
      <c r="V1081" s="24">
        <f t="shared" si="340"/>
        <v>3.6944553009968722E-4</v>
      </c>
      <c r="W1081" s="24">
        <f t="shared" si="348"/>
        <v>1.6122869019942964E-3</v>
      </c>
      <c r="X1081" s="25">
        <f t="shared" si="349"/>
        <v>1.5528148722460274E-3</v>
      </c>
      <c r="Y1081" s="8">
        <f t="shared" si="336"/>
        <v>0.80869315306630629</v>
      </c>
      <c r="Z1081" s="27">
        <f t="shared" si="337"/>
        <v>0.34556246996667078</v>
      </c>
      <c r="AA1081" s="27"/>
      <c r="AB1081" s="40"/>
      <c r="AC1081" s="56">
        <f t="shared" si="339"/>
        <v>2.1281043563800405E-2</v>
      </c>
      <c r="AE1081" s="20">
        <f t="shared" si="341"/>
        <v>1614366.4500000002</v>
      </c>
      <c r="AF1081" s="20">
        <f t="shared" si="342"/>
        <v>2028595993.6500001</v>
      </c>
      <c r="AG1081">
        <f t="shared" si="333"/>
        <v>54720176.039999999</v>
      </c>
      <c r="AH1081">
        <f t="shared" si="334"/>
        <v>60800195.599999994</v>
      </c>
      <c r="AI1081">
        <f t="shared" si="335"/>
        <v>15885277452</v>
      </c>
    </row>
    <row r="1082" spans="2:35" x14ac:dyDescent="0.25">
      <c r="B1082" s="4">
        <v>2025</v>
      </c>
      <c r="C1082" s="4" t="s">
        <v>28</v>
      </c>
      <c r="D1082" s="1" t="s">
        <v>629</v>
      </c>
      <c r="E1082" s="4" t="str">
        <f t="shared" si="343"/>
        <v>Peoples-IL</v>
      </c>
      <c r="F1082" s="4" t="s">
        <v>146</v>
      </c>
      <c r="G1082" s="4"/>
      <c r="H1082" s="11" t="s">
        <v>632</v>
      </c>
      <c r="I1082" s="4"/>
      <c r="J1082" s="4" t="s">
        <v>75</v>
      </c>
      <c r="K1082" s="5">
        <v>1158017</v>
      </c>
      <c r="L1082" s="5">
        <f>K1082/_xlfn.XLOOKUP(C1082,'Utility target list'!$K$2:$K$8,'Utility target list'!$L$2:$L$8,1,0,1)</f>
        <v>1286685.5555555555</v>
      </c>
      <c r="M1082" s="8">
        <v>1886221</v>
      </c>
      <c r="N1082" s="8">
        <f>269396+557937</f>
        <v>827333</v>
      </c>
      <c r="O1082" s="8">
        <f>SUMIFS(EIAwtransport!$J$2:$J$675,EIAwtransport!$E$2:$E$675,Program_data!$E1082,EIAwtransport!$H$2:$H$675,Program_data!$F1082,EIAwtransport!$I$2:$I$675,Program_data!O$2)</f>
        <v>339565903</v>
      </c>
      <c r="P1082" s="5">
        <f>SUMIFS(EIAwtransport!$J$2:$J$675,EIAwtransport!$E$2:$E$675,Program_data!$E1082,EIAwtransport!$H$2:$H$675,Program_data!$F1082,EIAwtransport!$I$2:$I$675,Program_data!P$2)</f>
        <v>59224628</v>
      </c>
      <c r="Q1082" s="5">
        <f>SUMIFS(EIAwtransport!$J$2:$J$675,EIAwtransport!$E$2:$E$675,Program_data!$E1082,EIAwtransport!$H$2:$H$675,Program_data!$F1082,EIAwtransport!$I$2:$I$675,Program_data!Q$2)</f>
        <v>51422</v>
      </c>
      <c r="R1082" s="8">
        <f>SUMIFS(EIAwtransport!$J$2:$J$675,EIAwtransport!$E$2:$E$675,Program_data!$E1082,EIAwtransport!$I$2:$I$675,Program_data!R$2)</f>
        <v>1502663699</v>
      </c>
      <c r="S1082" s="5">
        <f>SUMIFS(EIAwtransport!$J$2:$J$675,EIAwtransport!$E$2:$E$675,Program_data!$E1082,EIAwtransport!$I$2:$I$675,Program_data!S$2)</f>
        <v>150599900</v>
      </c>
      <c r="T1082" s="5">
        <f>SUMIFS(EIAwtransport!$J$2:$J$675,EIAwtransport!$E$2:$E$675,Program_data!$E1082,EIAwtransport!$I$2:$I$675,Program_data!T$2)</f>
        <v>877342</v>
      </c>
      <c r="U1082" s="24">
        <f t="shared" si="347"/>
        <v>7.4221631423860646E-4</v>
      </c>
      <c r="V1082" s="24">
        <f t="shared" si="340"/>
        <v>8.2468479359845161E-4</v>
      </c>
      <c r="W1082" s="24">
        <f t="shared" si="348"/>
        <v>1.2552515917269125E-3</v>
      </c>
      <c r="X1082" s="25">
        <f t="shared" si="349"/>
        <v>1.2089494355086829E-3</v>
      </c>
      <c r="Y1082" s="8">
        <f t="shared" si="336"/>
        <v>0.62961087530358639</v>
      </c>
      <c r="Z1082" s="27">
        <f t="shared" si="337"/>
        <v>0.26903886642644281</v>
      </c>
      <c r="AA1082" s="27"/>
      <c r="AB1082" s="40"/>
      <c r="AC1082" s="56">
        <f t="shared" si="339"/>
        <v>4.750403398908859E-2</v>
      </c>
      <c r="AE1082" s="20">
        <f t="shared" si="341"/>
        <v>1116899.55</v>
      </c>
      <c r="AF1082" s="20">
        <f t="shared" si="342"/>
        <v>2028595993.6500001</v>
      </c>
      <c r="AG1082">
        <f t="shared" si="333"/>
        <v>122147633.16000001</v>
      </c>
      <c r="AH1082">
        <f t="shared" si="334"/>
        <v>135719592.40000001</v>
      </c>
      <c r="AI1082">
        <f t="shared" si="335"/>
        <v>15885277452</v>
      </c>
    </row>
    <row r="1083" spans="2:35" x14ac:dyDescent="0.25">
      <c r="B1083" s="4">
        <v>2025</v>
      </c>
      <c r="C1083" s="4" t="s">
        <v>28</v>
      </c>
      <c r="D1083" s="1" t="s">
        <v>629</v>
      </c>
      <c r="E1083" s="4" t="str">
        <f t="shared" si="343"/>
        <v>Peoples-IL</v>
      </c>
      <c r="F1083" s="4" t="s">
        <v>146</v>
      </c>
      <c r="G1083" s="4"/>
      <c r="H1083" s="11" t="s">
        <v>321</v>
      </c>
      <c r="I1083" s="4"/>
      <c r="J1083" s="4" t="s">
        <v>142</v>
      </c>
      <c r="K1083" s="5">
        <v>128506</v>
      </c>
      <c r="L1083" s="5">
        <f>K1083/_xlfn.XLOOKUP(C1083,'Utility target list'!$K$2:$K$8,'Utility target list'!$L$2:$L$8,1,0,1)</f>
        <v>142784.44444444444</v>
      </c>
      <c r="M1083" s="8">
        <v>316791</v>
      </c>
      <c r="N1083" s="8">
        <v>163155</v>
      </c>
      <c r="O1083" s="8">
        <f>SUMIFS(EIAwtransport!$J$2:$J$675,EIAwtransport!$E$2:$E$675,Program_data!$E1083,EIAwtransport!$H$2:$H$675,Program_data!$F1083,EIAwtransport!$I$2:$I$675,Program_data!O$2)</f>
        <v>339565903</v>
      </c>
      <c r="P1083" s="5">
        <f>SUMIFS(EIAwtransport!$J$2:$J$675,EIAwtransport!$E$2:$E$675,Program_data!$E1083,EIAwtransport!$H$2:$H$675,Program_data!$F1083,EIAwtransport!$I$2:$I$675,Program_data!P$2)</f>
        <v>59224628</v>
      </c>
      <c r="Q1083" s="5">
        <f>SUMIFS(EIAwtransport!$J$2:$J$675,EIAwtransport!$E$2:$E$675,Program_data!$E1083,EIAwtransport!$H$2:$H$675,Program_data!$F1083,EIAwtransport!$I$2:$I$675,Program_data!Q$2)</f>
        <v>51422</v>
      </c>
      <c r="R1083" s="8">
        <f>SUMIFS(EIAwtransport!$J$2:$J$675,EIAwtransport!$E$2:$E$675,Program_data!$E1083,EIAwtransport!$I$2:$I$675,Program_data!R$2)</f>
        <v>1502663699</v>
      </c>
      <c r="S1083" s="5">
        <f>SUMIFS(EIAwtransport!$J$2:$J$675,EIAwtransport!$E$2:$E$675,Program_data!$E1083,EIAwtransport!$I$2:$I$675,Program_data!S$2)</f>
        <v>150599900</v>
      </c>
      <c r="T1083" s="5">
        <f>SUMIFS(EIAwtransport!$J$2:$J$675,EIAwtransport!$E$2:$E$675,Program_data!$E1083,EIAwtransport!$I$2:$I$675,Program_data!T$2)</f>
        <v>877342</v>
      </c>
      <c r="U1083" s="24">
        <f t="shared" si="347"/>
        <v>8.2364291437471445E-5</v>
      </c>
      <c r="V1083" s="24">
        <f t="shared" si="340"/>
        <v>9.151587937496825E-5</v>
      </c>
      <c r="W1083" s="24">
        <f t="shared" si="348"/>
        <v>2.108196266475457E-4</v>
      </c>
      <c r="X1083" s="25">
        <f t="shared" si="349"/>
        <v>2.0304317501726002E-4</v>
      </c>
      <c r="Y1083" s="8">
        <f t="shared" si="336"/>
        <v>0.10574320760838653</v>
      </c>
      <c r="Z1083" s="27">
        <f t="shared" si="337"/>
        <v>4.5185103725437922E-2</v>
      </c>
      <c r="AA1083" s="27"/>
      <c r="AB1083" s="40"/>
      <c r="AC1083" s="56">
        <f t="shared" si="339"/>
        <v>5.2715576643536481E-3</v>
      </c>
      <c r="AE1083" s="20">
        <f t="shared" si="341"/>
        <v>220259.25</v>
      </c>
      <c r="AF1083" s="20">
        <f t="shared" si="342"/>
        <v>2028595993.6500001</v>
      </c>
      <c r="AG1083">
        <f t="shared" si="333"/>
        <v>13554812.880000001</v>
      </c>
      <c r="AH1083">
        <f t="shared" si="334"/>
        <v>15060903.199999999</v>
      </c>
      <c r="AI1083">
        <f t="shared" si="335"/>
        <v>15885277452</v>
      </c>
    </row>
    <row r="1084" spans="2:35" x14ac:dyDescent="0.25">
      <c r="B1084" s="4">
        <v>2025</v>
      </c>
      <c r="C1084" s="4" t="s">
        <v>28</v>
      </c>
      <c r="D1084" s="1" t="s">
        <v>629</v>
      </c>
      <c r="E1084" s="4" t="str">
        <f t="shared" si="343"/>
        <v>Peoples-IL</v>
      </c>
      <c r="F1084" s="4" t="s">
        <v>143</v>
      </c>
      <c r="G1084" s="4">
        <v>1</v>
      </c>
      <c r="H1084" s="11" t="s">
        <v>633</v>
      </c>
      <c r="I1084" s="4"/>
      <c r="J1084" s="4" t="s">
        <v>108</v>
      </c>
      <c r="K1084" s="5">
        <v>895356</v>
      </c>
      <c r="L1084" s="5">
        <f>K1084/_xlfn.XLOOKUP(C1084,'Utility target list'!$K$2:$K$8,'Utility target list'!$L$2:$L$8,1,0,1)</f>
        <v>994840</v>
      </c>
      <c r="M1084" s="8">
        <v>5685910</v>
      </c>
      <c r="N1084" s="8">
        <v>5174627</v>
      </c>
      <c r="O1084" s="8">
        <f>SUMIFS(EIAwtransport!$J$2:$J$675,EIAwtransport!$E$2:$E$675,Program_data!$E1084,EIAwtransport!$H$2:$H$675,Program_data!$F1084,EIAwtransport!$I$2:$I$675,Program_data!O$2)</f>
        <v>0</v>
      </c>
      <c r="P1084" s="5">
        <f>SUMIFS(EIAwtransport!$J$2:$J$675,EIAwtransport!$E$2:$E$675,Program_data!$E1084,EIAwtransport!$H$2:$H$675,Program_data!$F1084,EIAwtransport!$I$2:$I$675,Program_data!P$2)</f>
        <v>0</v>
      </c>
      <c r="Q1084" s="5">
        <f>SUMIFS(EIAwtransport!$J$2:$J$675,EIAwtransport!$E$2:$E$675,Program_data!$E1084,EIAwtransport!$H$2:$H$675,Program_data!$F1084,EIAwtransport!$I$2:$I$675,Program_data!Q$2)</f>
        <v>0</v>
      </c>
      <c r="R1084" s="8">
        <f>SUMIFS(EIAwtransport!$J$2:$J$675,EIAwtransport!$E$2:$E$675,Program_data!$E1084,EIAwtransport!$I$2:$I$675,Program_data!R$2)</f>
        <v>1502663699</v>
      </c>
      <c r="S1084" s="5">
        <f>SUMIFS(EIAwtransport!$J$2:$J$675,EIAwtransport!$E$2:$E$675,Program_data!$E1084,EIAwtransport!$I$2:$I$675,Program_data!S$2)</f>
        <v>150599900</v>
      </c>
      <c r="T1084" s="5">
        <f>SUMIFS(EIAwtransport!$J$2:$J$675,EIAwtransport!$E$2:$E$675,Program_data!$E1084,EIAwtransport!$I$2:$I$675,Program_data!T$2)</f>
        <v>877342</v>
      </c>
      <c r="U1084" s="24">
        <f t="shared" si="347"/>
        <v>5.7386707643447533E-4</v>
      </c>
      <c r="V1084" s="24">
        <f t="shared" si="340"/>
        <v>6.3763008492719465E-4</v>
      </c>
      <c r="W1084" s="24">
        <f t="shared" si="348"/>
        <v>3.7838872422245157E-3</v>
      </c>
      <c r="X1084" s="25">
        <f t="shared" si="349"/>
        <v>3.6443119257251275E-3</v>
      </c>
      <c r="Y1084" s="8">
        <f t="shared" si="336"/>
        <v>2.936031605956221</v>
      </c>
      <c r="Z1084" s="27">
        <f t="shared" si="337"/>
        <v>0.81100294239263349</v>
      </c>
      <c r="AA1084" s="27"/>
      <c r="AB1084" s="40"/>
      <c r="AC1084" s="56">
        <f t="shared" si="339"/>
        <v>3.6729186062324129E-2</v>
      </c>
      <c r="AE1084" s="20">
        <f t="shared" si="341"/>
        <v>6985746.4500000002</v>
      </c>
      <c r="AF1084" s="20">
        <f t="shared" si="342"/>
        <v>2028595993.6500001</v>
      </c>
      <c r="AG1084">
        <f t="shared" si="333"/>
        <v>94442150.88000001</v>
      </c>
      <c r="AH1084">
        <f t="shared" si="334"/>
        <v>104935723.2</v>
      </c>
      <c r="AI1084">
        <f t="shared" si="335"/>
        <v>15885277452</v>
      </c>
    </row>
    <row r="1085" spans="2:35" x14ac:dyDescent="0.25">
      <c r="B1085" s="4">
        <v>2025</v>
      </c>
      <c r="C1085" s="4" t="s">
        <v>28</v>
      </c>
      <c r="D1085" s="1" t="s">
        <v>629</v>
      </c>
      <c r="E1085" s="4" t="str">
        <f t="shared" si="343"/>
        <v>Peoples-IL</v>
      </c>
      <c r="F1085" s="4" t="s">
        <v>143</v>
      </c>
      <c r="G1085" s="4">
        <v>1</v>
      </c>
      <c r="H1085" s="11" t="s">
        <v>623</v>
      </c>
      <c r="I1085" s="4"/>
      <c r="J1085" s="4" t="s">
        <v>108</v>
      </c>
      <c r="K1085" s="5">
        <v>1041241</v>
      </c>
      <c r="L1085" s="5">
        <f>K1085/_xlfn.XLOOKUP(C1085,'Utility target list'!$K$2:$K$8,'Utility target list'!$L$2:$L$8,1,0,1)</f>
        <v>1156934.4444444445</v>
      </c>
      <c r="M1085" s="8">
        <v>8097617</v>
      </c>
      <c r="N1085" s="8">
        <v>5349494</v>
      </c>
      <c r="O1085" s="8">
        <f>SUMIFS(EIAwtransport!$J$2:$J$675,EIAwtransport!$E$2:$E$675,Program_data!$E1085,EIAwtransport!$H$2:$H$675,Program_data!$F1085,EIAwtransport!$I$2:$I$675,Program_data!O$2)</f>
        <v>0</v>
      </c>
      <c r="P1085" s="5">
        <f>SUMIFS(EIAwtransport!$J$2:$J$675,EIAwtransport!$E$2:$E$675,Program_data!$E1085,EIAwtransport!$H$2:$H$675,Program_data!$F1085,EIAwtransport!$I$2:$I$675,Program_data!P$2)</f>
        <v>0</v>
      </c>
      <c r="Q1085" s="5">
        <f>SUMIFS(EIAwtransport!$J$2:$J$675,EIAwtransport!$E$2:$E$675,Program_data!$E1085,EIAwtransport!$H$2:$H$675,Program_data!$F1085,EIAwtransport!$I$2:$I$675,Program_data!Q$2)</f>
        <v>0</v>
      </c>
      <c r="R1085" s="8">
        <f>SUMIFS(EIAwtransport!$J$2:$J$675,EIAwtransport!$E$2:$E$675,Program_data!$E1085,EIAwtransport!$I$2:$I$675,Program_data!R$2)</f>
        <v>1502663699</v>
      </c>
      <c r="S1085" s="5">
        <f>SUMIFS(EIAwtransport!$J$2:$J$675,EIAwtransport!$E$2:$E$675,Program_data!$E1085,EIAwtransport!$I$2:$I$675,Program_data!S$2)</f>
        <v>150599900</v>
      </c>
      <c r="T1085" s="5">
        <f>SUMIFS(EIAwtransport!$J$2:$J$675,EIAwtransport!$E$2:$E$675,Program_data!$E1085,EIAwtransport!$I$2:$I$675,Program_data!T$2)</f>
        <v>877342</v>
      </c>
      <c r="U1085" s="24">
        <f t="shared" si="347"/>
        <v>6.6737021758240232E-4</v>
      </c>
      <c r="V1085" s="24">
        <f t="shared" si="340"/>
        <v>7.4152246398044705E-4</v>
      </c>
      <c r="W1085" s="24">
        <f t="shared" si="348"/>
        <v>5.3888418316013365E-3</v>
      </c>
      <c r="X1085" s="25">
        <f t="shared" si="349"/>
        <v>5.1900649505627998E-3</v>
      </c>
      <c r="Y1085" s="8">
        <f t="shared" si="336"/>
        <v>4.181364011201091</v>
      </c>
      <c r="Z1085" s="27">
        <f t="shared" si="337"/>
        <v>1.1549938731651765</v>
      </c>
      <c r="AA1085" s="27"/>
      <c r="AB1085" s="40"/>
      <c r="AC1085" s="56">
        <f t="shared" si="339"/>
        <v>4.2713662972851514E-2</v>
      </c>
      <c r="AE1085" s="20">
        <f t="shared" si="341"/>
        <v>7221816.9000000004</v>
      </c>
      <c r="AF1085" s="20">
        <f t="shared" si="342"/>
        <v>2028595993.6500001</v>
      </c>
      <c r="AG1085">
        <f t="shared" si="333"/>
        <v>109830100.68000001</v>
      </c>
      <c r="AH1085">
        <f t="shared" si="334"/>
        <v>122033445.2</v>
      </c>
      <c r="AI1085">
        <f t="shared" si="335"/>
        <v>15885277452</v>
      </c>
    </row>
    <row r="1086" spans="2:35" x14ac:dyDescent="0.25">
      <c r="B1086" s="4">
        <v>2025</v>
      </c>
      <c r="C1086" s="4" t="s">
        <v>28</v>
      </c>
      <c r="D1086" s="1" t="s">
        <v>629</v>
      </c>
      <c r="E1086" s="4" t="str">
        <f t="shared" si="343"/>
        <v>Peoples-IL</v>
      </c>
      <c r="F1086" s="4" t="s">
        <v>155</v>
      </c>
      <c r="G1086" s="4"/>
      <c r="H1086" s="11" t="s">
        <v>634</v>
      </c>
      <c r="I1086" s="4"/>
      <c r="J1086" s="4" t="s">
        <v>155</v>
      </c>
      <c r="K1086" s="5">
        <v>0</v>
      </c>
      <c r="L1086" s="38"/>
      <c r="M1086" s="8">
        <v>700000</v>
      </c>
      <c r="N1086" s="8">
        <v>0</v>
      </c>
      <c r="O1086" s="8">
        <f>SUMIFS(EIAwtransport!$J$2:$J$675,EIAwtransport!$E$2:$E$675,Program_data!$E1086,EIAwtransport!$H$2:$H$675,Program_data!$F1086,EIAwtransport!$I$2:$I$675,Program_data!O$2)</f>
        <v>0</v>
      </c>
      <c r="P1086" s="5">
        <f>SUMIFS(EIAwtransport!$J$2:$J$675,EIAwtransport!$E$2:$E$675,Program_data!$E1086,EIAwtransport!$H$2:$H$675,Program_data!$F1086,EIAwtransport!$I$2:$I$675,Program_data!P$2)</f>
        <v>0</v>
      </c>
      <c r="Q1086" s="5">
        <f>SUMIFS(EIAwtransport!$J$2:$J$675,EIAwtransport!$E$2:$E$675,Program_data!$E1086,EIAwtransport!$H$2:$H$675,Program_data!$F1086,EIAwtransport!$I$2:$I$675,Program_data!Q$2)</f>
        <v>0</v>
      </c>
      <c r="R1086" s="8">
        <f>SUMIFS(EIAwtransport!$J$2:$J$675,EIAwtransport!$E$2:$E$675,Program_data!$E1086,EIAwtransport!$I$2:$I$675,Program_data!R$2)</f>
        <v>1502663699</v>
      </c>
      <c r="S1086" s="5">
        <f>SUMIFS(EIAwtransport!$J$2:$J$675,EIAwtransport!$E$2:$E$675,Program_data!$E1086,EIAwtransport!$I$2:$I$675,Program_data!S$2)</f>
        <v>150599900</v>
      </c>
      <c r="T1086" s="5">
        <f>SUMIFS(EIAwtransport!$J$2:$J$675,EIAwtransport!$E$2:$E$675,Program_data!$E1086,EIAwtransport!$I$2:$I$675,Program_data!T$2)</f>
        <v>877342</v>
      </c>
      <c r="U1086" s="24">
        <f t="shared" si="347"/>
        <v>0</v>
      </c>
      <c r="V1086" s="24">
        <f t="shared" si="340"/>
        <v>0</v>
      </c>
      <c r="W1086" s="24">
        <f t="shared" si="348"/>
        <v>4.6583942931864222E-4</v>
      </c>
      <c r="X1086" s="25">
        <f t="shared" si="349"/>
        <v>4.4865612505431653E-4</v>
      </c>
      <c r="Y1086" s="8" t="str">
        <f t="shared" si="336"/>
        <v/>
      </c>
      <c r="Z1086" s="27">
        <f t="shared" si="337"/>
        <v>9.9843659093239862E-2</v>
      </c>
      <c r="AA1086" s="27"/>
      <c r="AB1086" s="40"/>
      <c r="AC1086" s="56">
        <f t="shared" si="339"/>
        <v>0</v>
      </c>
      <c r="AE1086" s="20">
        <f t="shared" si="341"/>
        <v>0</v>
      </c>
      <c r="AF1086" s="20">
        <f t="shared" si="342"/>
        <v>2028595993.6500001</v>
      </c>
      <c r="AG1086">
        <f t="shared" si="333"/>
        <v>0</v>
      </c>
      <c r="AH1086">
        <f t="shared" si="334"/>
        <v>0</v>
      </c>
      <c r="AI1086">
        <f t="shared" si="335"/>
        <v>15885277452</v>
      </c>
    </row>
    <row r="1087" spans="2:35" x14ac:dyDescent="0.25">
      <c r="B1087" s="4">
        <v>2025</v>
      </c>
      <c r="C1087" s="4" t="s">
        <v>241</v>
      </c>
      <c r="D1087" s="1" t="s">
        <v>242</v>
      </c>
      <c r="E1087" s="4" t="str">
        <f t="shared" si="343"/>
        <v>Xcel-MN</v>
      </c>
      <c r="F1087" s="4" t="s">
        <v>135</v>
      </c>
      <c r="G1087" s="4"/>
      <c r="H1087" s="11" t="s">
        <v>480</v>
      </c>
      <c r="I1087" s="4"/>
      <c r="J1087" s="4" t="s">
        <v>155</v>
      </c>
      <c r="K1087" s="5">
        <v>0</v>
      </c>
      <c r="L1087" s="5">
        <f t="shared" ref="L1087:L1118" si="350">K1087</f>
        <v>0</v>
      </c>
      <c r="M1087" s="8">
        <v>674100</v>
      </c>
      <c r="N1087" s="8">
        <v>0</v>
      </c>
      <c r="O1087" s="8">
        <f>SUMIFS(EIAwtransport!$J$2:$J$675,EIAwtransport!$E$2:$E$675,Program_data!$E1087,EIAwtransport!$H$2:$H$675,Program_data!$F1087,EIAwtransport!$I$2:$I$675,Program_data!O$2)</f>
        <v>306619750</v>
      </c>
      <c r="P1087" s="5">
        <f>SUMIFS(EIAwtransport!$J$2:$J$675,EIAwtransport!$E$2:$E$675,Program_data!$E1087,EIAwtransport!$H$2:$H$675,Program_data!$F1087,EIAwtransport!$I$2:$I$675,Program_data!P$2)</f>
        <v>35286911</v>
      </c>
      <c r="Q1087" s="5">
        <f>SUMIFS(EIAwtransport!$J$2:$J$675,EIAwtransport!$E$2:$E$675,Program_data!$E1087,EIAwtransport!$H$2:$H$675,Program_data!$F1087,EIAwtransport!$I$2:$I$675,Program_data!Q$2)</f>
        <v>438247</v>
      </c>
      <c r="R1087" s="8">
        <f>SUMIFS(EIAwtransport!$J$2:$J$675,EIAwtransport!$E$2:$E$675,Program_data!$E1087,EIAwtransport!$I$2:$I$675,Program_data!R$2)</f>
        <v>526109473</v>
      </c>
      <c r="S1087" s="5">
        <f>SUMIFS(EIAwtransport!$J$2:$J$675,EIAwtransport!$E$2:$E$675,Program_data!$E1087,EIAwtransport!$I$2:$I$675,Program_data!S$2)</f>
        <v>80336233</v>
      </c>
      <c r="T1087" s="5">
        <f>SUMIFS(EIAwtransport!$J$2:$J$675,EIAwtransport!$E$2:$E$675,Program_data!$E1087,EIAwtransport!$I$2:$I$675,Program_data!T$2)</f>
        <v>474354</v>
      </c>
      <c r="U1087" s="24">
        <f t="shared" si="347"/>
        <v>0</v>
      </c>
      <c r="V1087" s="24">
        <f t="shared" si="340"/>
        <v>0</v>
      </c>
      <c r="W1087" s="24">
        <f t="shared" si="348"/>
        <v>1.2812922682348281E-3</v>
      </c>
      <c r="X1087" s="25">
        <f t="shared" si="349"/>
        <v>8.0994048560339602E-4</v>
      </c>
      <c r="Y1087" s="8">
        <f t="shared" si="336"/>
        <v>0.14436296975252064</v>
      </c>
      <c r="Z1087" s="27">
        <f t="shared" si="337"/>
        <v>5.2476500009730843E-2</v>
      </c>
      <c r="AA1087" s="27"/>
      <c r="AB1087" s="40"/>
      <c r="AC1087" s="56">
        <f t="shared" si="339"/>
        <v>0</v>
      </c>
      <c r="AE1087" s="20">
        <f t="shared" si="341"/>
        <v>0</v>
      </c>
      <c r="AF1087" s="20">
        <f t="shared" si="342"/>
        <v>710247788.55000007</v>
      </c>
      <c r="AG1087">
        <f t="shared" si="333"/>
        <v>0</v>
      </c>
      <c r="AH1087">
        <f t="shared" si="334"/>
        <v>0</v>
      </c>
      <c r="AI1087">
        <f t="shared" si="335"/>
        <v>8473865856.8400002</v>
      </c>
    </row>
    <row r="1088" spans="2:35" x14ac:dyDescent="0.25">
      <c r="B1088" s="4">
        <v>2025</v>
      </c>
      <c r="C1088" s="4" t="s">
        <v>241</v>
      </c>
      <c r="D1088" s="1" t="s">
        <v>242</v>
      </c>
      <c r="E1088" s="4" t="str">
        <f t="shared" si="343"/>
        <v>Xcel-MN</v>
      </c>
      <c r="F1088" s="4" t="s">
        <v>135</v>
      </c>
      <c r="G1088" s="4"/>
      <c r="H1088" s="11" t="s">
        <v>481</v>
      </c>
      <c r="I1088" s="4"/>
      <c r="J1088" s="4" t="s">
        <v>32</v>
      </c>
      <c r="K1088" s="5">
        <v>437640</v>
      </c>
      <c r="L1088" s="5">
        <f t="shared" si="350"/>
        <v>437640</v>
      </c>
      <c r="M1088" s="8">
        <v>2443495</v>
      </c>
      <c r="N1088" s="8">
        <v>1473945</v>
      </c>
      <c r="O1088" s="8">
        <f>SUMIFS(EIAwtransport!$J$2:$J$675,EIAwtransport!$E$2:$E$675,Program_data!$E1088,EIAwtransport!$H$2:$H$675,Program_data!$F1088,EIAwtransport!$I$2:$I$675,Program_data!O$2)</f>
        <v>306619750</v>
      </c>
      <c r="P1088" s="5">
        <f>SUMIFS(EIAwtransport!$J$2:$J$675,EIAwtransport!$E$2:$E$675,Program_data!$E1088,EIAwtransport!$H$2:$H$675,Program_data!$F1088,EIAwtransport!$I$2:$I$675,Program_data!P$2)</f>
        <v>35286911</v>
      </c>
      <c r="Q1088" s="5">
        <f>SUMIFS(EIAwtransport!$J$2:$J$675,EIAwtransport!$E$2:$E$675,Program_data!$E1088,EIAwtransport!$H$2:$H$675,Program_data!$F1088,EIAwtransport!$I$2:$I$675,Program_data!Q$2)</f>
        <v>438247</v>
      </c>
      <c r="R1088" s="8">
        <f>SUMIFS(EIAwtransport!$J$2:$J$675,EIAwtransport!$E$2:$E$675,Program_data!$E1088,EIAwtransport!$I$2:$I$675,Program_data!R$2)</f>
        <v>526109473</v>
      </c>
      <c r="S1088" s="5">
        <f>SUMIFS(EIAwtransport!$J$2:$J$675,EIAwtransport!$E$2:$E$675,Program_data!$E1088,EIAwtransport!$I$2:$I$675,Program_data!S$2)</f>
        <v>80336233</v>
      </c>
      <c r="T1088" s="5">
        <f>SUMIFS(EIAwtransport!$J$2:$J$675,EIAwtransport!$E$2:$E$675,Program_data!$E1088,EIAwtransport!$I$2:$I$675,Program_data!T$2)</f>
        <v>474354</v>
      </c>
      <c r="U1088" s="24">
        <f t="shared" si="347"/>
        <v>5.2583052087148833E-4</v>
      </c>
      <c r="V1088" s="24">
        <f t="shared" si="340"/>
        <v>5.2583052087148833E-4</v>
      </c>
      <c r="W1088" s="24">
        <f t="shared" si="348"/>
        <v>4.644461134802642E-3</v>
      </c>
      <c r="X1088" s="25">
        <f t="shared" si="349"/>
        <v>2.9358930824350546E-3</v>
      </c>
      <c r="Y1088" s="8">
        <f t="shared" si="336"/>
        <v>0.52329060195139498</v>
      </c>
      <c r="Z1088" s="27">
        <f t="shared" si="337"/>
        <v>0.19021816554113227</v>
      </c>
      <c r="AA1088" s="27"/>
      <c r="AB1088" s="40">
        <v>39905</v>
      </c>
      <c r="AC1088" s="56">
        <f t="shared" si="339"/>
        <v>1.389066985251082E-2</v>
      </c>
      <c r="AE1088" s="20">
        <f t="shared" si="341"/>
        <v>1989825.7500000002</v>
      </c>
      <c r="AF1088" s="20">
        <f t="shared" si="342"/>
        <v>710247788.55000007</v>
      </c>
      <c r="AG1088">
        <f t="shared" si="333"/>
        <v>46162267.200000003</v>
      </c>
      <c r="AH1088">
        <f t="shared" si="334"/>
        <v>46162267.200000003</v>
      </c>
      <c r="AI1088">
        <f t="shared" si="335"/>
        <v>8473865856.8400002</v>
      </c>
    </row>
    <row r="1089" spans="2:35" x14ac:dyDescent="0.25">
      <c r="B1089" s="4">
        <v>2025</v>
      </c>
      <c r="C1089" s="4" t="s">
        <v>241</v>
      </c>
      <c r="D1089" s="1" t="s">
        <v>242</v>
      </c>
      <c r="E1089" s="4" t="str">
        <f t="shared" si="343"/>
        <v>Xcel-MN</v>
      </c>
      <c r="F1089" s="4" t="s">
        <v>135</v>
      </c>
      <c r="G1089" s="4"/>
      <c r="H1089" s="11" t="s">
        <v>482</v>
      </c>
      <c r="I1089" s="4"/>
      <c r="J1089" s="4" t="s">
        <v>142</v>
      </c>
      <c r="K1089" s="5">
        <v>142850</v>
      </c>
      <c r="L1089" s="5">
        <f t="shared" si="350"/>
        <v>142850</v>
      </c>
      <c r="M1089" s="8">
        <v>254232</v>
      </c>
      <c r="N1089" s="8">
        <v>53853</v>
      </c>
      <c r="O1089" s="8">
        <f>SUMIFS(EIAwtransport!$J$2:$J$675,EIAwtransport!$E$2:$E$675,Program_data!$E1089,EIAwtransport!$H$2:$H$675,Program_data!$F1089,EIAwtransport!$I$2:$I$675,Program_data!O$2)</f>
        <v>306619750</v>
      </c>
      <c r="P1089" s="5">
        <f>SUMIFS(EIAwtransport!$J$2:$J$675,EIAwtransport!$E$2:$E$675,Program_data!$E1089,EIAwtransport!$H$2:$H$675,Program_data!$F1089,EIAwtransport!$I$2:$I$675,Program_data!P$2)</f>
        <v>35286911</v>
      </c>
      <c r="Q1089" s="5">
        <f>SUMIFS(EIAwtransport!$J$2:$J$675,EIAwtransport!$E$2:$E$675,Program_data!$E1089,EIAwtransport!$H$2:$H$675,Program_data!$F1089,EIAwtransport!$I$2:$I$675,Program_data!Q$2)</f>
        <v>438247</v>
      </c>
      <c r="R1089" s="8">
        <f>SUMIFS(EIAwtransport!$J$2:$J$675,EIAwtransport!$E$2:$E$675,Program_data!$E1089,EIAwtransport!$I$2:$I$675,Program_data!R$2)</f>
        <v>526109473</v>
      </c>
      <c r="S1089" s="5">
        <f>SUMIFS(EIAwtransport!$J$2:$J$675,EIAwtransport!$E$2:$E$675,Program_data!$E1089,EIAwtransport!$I$2:$I$675,Program_data!S$2)</f>
        <v>80336233</v>
      </c>
      <c r="T1089" s="5">
        <f>SUMIFS(EIAwtransport!$J$2:$J$675,EIAwtransport!$E$2:$E$675,Program_data!$E1089,EIAwtransport!$I$2:$I$675,Program_data!T$2)</f>
        <v>474354</v>
      </c>
      <c r="U1089" s="24">
        <f t="shared" si="347"/>
        <v>1.716362533280598E-4</v>
      </c>
      <c r="V1089" s="24">
        <f t="shared" si="340"/>
        <v>1.716362533280598E-4</v>
      </c>
      <c r="W1089" s="24">
        <f t="shared" si="348"/>
        <v>4.8323022687713515E-4</v>
      </c>
      <c r="X1089" s="25">
        <f t="shared" si="349"/>
        <v>3.0546326885613794E-4</v>
      </c>
      <c r="Y1089" s="8">
        <f t="shared" si="336"/>
        <v>5.4445462878093494E-2</v>
      </c>
      <c r="Z1089" s="27">
        <f t="shared" si="337"/>
        <v>1.9791137146527062E-2</v>
      </c>
      <c r="AA1089" s="27"/>
      <c r="AB1089" s="40">
        <v>13004</v>
      </c>
      <c r="AC1089" s="56">
        <f t="shared" si="339"/>
        <v>4.534051248585985E-3</v>
      </c>
      <c r="AE1089" s="20">
        <f t="shared" si="341"/>
        <v>72701.55</v>
      </c>
      <c r="AF1089" s="20">
        <f t="shared" si="342"/>
        <v>710247788.55000007</v>
      </c>
      <c r="AG1089">
        <f t="shared" si="333"/>
        <v>15067818</v>
      </c>
      <c r="AH1089">
        <f t="shared" si="334"/>
        <v>15067818</v>
      </c>
      <c r="AI1089">
        <f t="shared" si="335"/>
        <v>8473865856.8400002</v>
      </c>
    </row>
    <row r="1090" spans="2:35" x14ac:dyDescent="0.25">
      <c r="B1090" s="4">
        <v>2025</v>
      </c>
      <c r="C1090" s="4" t="s">
        <v>241</v>
      </c>
      <c r="D1090" s="1" t="s">
        <v>242</v>
      </c>
      <c r="E1090" s="4" t="str">
        <f t="shared" si="343"/>
        <v>Xcel-MN</v>
      </c>
      <c r="F1090" s="4" t="s">
        <v>135</v>
      </c>
      <c r="G1090" s="4"/>
      <c r="H1090" s="11" t="s">
        <v>483</v>
      </c>
      <c r="I1090" s="4"/>
      <c r="J1090" s="4" t="s">
        <v>155</v>
      </c>
      <c r="K1090" s="5">
        <v>0</v>
      </c>
      <c r="L1090" s="5">
        <f t="shared" si="350"/>
        <v>0</v>
      </c>
      <c r="M1090" s="8">
        <v>1707142</v>
      </c>
      <c r="N1090" s="8">
        <v>0</v>
      </c>
      <c r="O1090" s="8">
        <f>SUMIFS(EIAwtransport!$J$2:$J$675,EIAwtransport!$E$2:$E$675,Program_data!$E1090,EIAwtransport!$H$2:$H$675,Program_data!$F1090,EIAwtransport!$I$2:$I$675,Program_data!O$2)</f>
        <v>306619750</v>
      </c>
      <c r="P1090" s="5">
        <f>SUMIFS(EIAwtransport!$J$2:$J$675,EIAwtransport!$E$2:$E$675,Program_data!$E1090,EIAwtransport!$H$2:$H$675,Program_data!$F1090,EIAwtransport!$I$2:$I$675,Program_data!P$2)</f>
        <v>35286911</v>
      </c>
      <c r="Q1090" s="5">
        <f>SUMIFS(EIAwtransport!$J$2:$J$675,EIAwtransport!$E$2:$E$675,Program_data!$E1090,EIAwtransport!$H$2:$H$675,Program_data!$F1090,EIAwtransport!$I$2:$I$675,Program_data!Q$2)</f>
        <v>438247</v>
      </c>
      <c r="R1090" s="8">
        <f>SUMIFS(EIAwtransport!$J$2:$J$675,EIAwtransport!$E$2:$E$675,Program_data!$E1090,EIAwtransport!$I$2:$I$675,Program_data!R$2)</f>
        <v>526109473</v>
      </c>
      <c r="S1090" s="5">
        <f>SUMIFS(EIAwtransport!$J$2:$J$675,EIAwtransport!$E$2:$E$675,Program_data!$E1090,EIAwtransport!$I$2:$I$675,Program_data!S$2)</f>
        <v>80336233</v>
      </c>
      <c r="T1090" s="5">
        <f>SUMIFS(EIAwtransport!$J$2:$J$675,EIAwtransport!$E$2:$E$675,Program_data!$E1090,EIAwtransport!$I$2:$I$675,Program_data!T$2)</f>
        <v>474354</v>
      </c>
      <c r="U1090" s="24">
        <f t="shared" si="347"/>
        <v>0</v>
      </c>
      <c r="V1090" s="24">
        <f t="shared" si="340"/>
        <v>0</v>
      </c>
      <c r="W1090" s="24">
        <f t="shared" si="348"/>
        <v>3.2448417821969154E-3</v>
      </c>
      <c r="X1090" s="25">
        <f t="shared" si="349"/>
        <v>2.0511547551905545E-3</v>
      </c>
      <c r="Y1090" s="8">
        <f t="shared" si="336"/>
        <v>0.36559574085337126</v>
      </c>
      <c r="Z1090" s="27">
        <f t="shared" si="337"/>
        <v>0.13289547126481521</v>
      </c>
      <c r="AA1090" s="27"/>
      <c r="AB1090" s="40"/>
      <c r="AC1090" s="56">
        <f t="shared" si="339"/>
        <v>0</v>
      </c>
      <c r="AE1090" s="20">
        <f t="shared" si="341"/>
        <v>0</v>
      </c>
      <c r="AF1090" s="20">
        <f t="shared" si="342"/>
        <v>710247788.55000007</v>
      </c>
      <c r="AG1090">
        <f t="shared" ref="AG1090:AG1153" si="351">K1090*105.48</f>
        <v>0</v>
      </c>
      <c r="AH1090">
        <f t="shared" ref="AH1090:AH1153" si="352">L1090*105.48</f>
        <v>0</v>
      </c>
      <c r="AI1090">
        <f t="shared" ref="AI1090:AI1153" si="353">S1090*105.48</f>
        <v>8473865856.8400002</v>
      </c>
    </row>
    <row r="1091" spans="2:35" x14ac:dyDescent="0.25">
      <c r="B1091" s="4">
        <v>2025</v>
      </c>
      <c r="C1091" s="4" t="s">
        <v>241</v>
      </c>
      <c r="D1091" s="1" t="s">
        <v>242</v>
      </c>
      <c r="E1091" s="4" t="str">
        <f t="shared" si="343"/>
        <v>Xcel-MN</v>
      </c>
      <c r="F1091" s="4" t="s">
        <v>135</v>
      </c>
      <c r="G1091" s="4"/>
      <c r="H1091" s="11" t="s">
        <v>484</v>
      </c>
      <c r="I1091" s="4"/>
      <c r="J1091" s="4" t="s">
        <v>142</v>
      </c>
      <c r="K1091" s="5">
        <v>643660</v>
      </c>
      <c r="L1091" s="5">
        <f t="shared" si="350"/>
        <v>643660</v>
      </c>
      <c r="M1091" s="8">
        <v>315309</v>
      </c>
      <c r="N1091" s="8">
        <v>0</v>
      </c>
      <c r="O1091" s="8">
        <f>SUMIFS(EIAwtransport!$J$2:$J$675,EIAwtransport!$E$2:$E$675,Program_data!$E1091,EIAwtransport!$H$2:$H$675,Program_data!$F1091,EIAwtransport!$I$2:$I$675,Program_data!O$2)</f>
        <v>306619750</v>
      </c>
      <c r="P1091" s="5">
        <f>SUMIFS(EIAwtransport!$J$2:$J$675,EIAwtransport!$E$2:$E$675,Program_data!$E1091,EIAwtransport!$H$2:$H$675,Program_data!$F1091,EIAwtransport!$I$2:$I$675,Program_data!P$2)</f>
        <v>35286911</v>
      </c>
      <c r="Q1091" s="5">
        <f>SUMIFS(EIAwtransport!$J$2:$J$675,EIAwtransport!$E$2:$E$675,Program_data!$E1091,EIAwtransport!$H$2:$H$675,Program_data!$F1091,EIAwtransport!$I$2:$I$675,Program_data!Q$2)</f>
        <v>438247</v>
      </c>
      <c r="R1091" s="8">
        <f>SUMIFS(EIAwtransport!$J$2:$J$675,EIAwtransport!$E$2:$E$675,Program_data!$E1091,EIAwtransport!$I$2:$I$675,Program_data!R$2)</f>
        <v>526109473</v>
      </c>
      <c r="S1091" s="5">
        <f>SUMIFS(EIAwtransport!$J$2:$J$675,EIAwtransport!$E$2:$E$675,Program_data!$E1091,EIAwtransport!$I$2:$I$675,Program_data!S$2)</f>
        <v>80336233</v>
      </c>
      <c r="T1091" s="5">
        <f>SUMIFS(EIAwtransport!$J$2:$J$675,EIAwtransport!$E$2:$E$675,Program_data!$E1091,EIAwtransport!$I$2:$I$675,Program_data!T$2)</f>
        <v>474354</v>
      </c>
      <c r="U1091" s="24">
        <f t="shared" si="347"/>
        <v>7.7336640404017485E-4</v>
      </c>
      <c r="V1091" s="24">
        <f t="shared" si="340"/>
        <v>7.7336640404017485E-4</v>
      </c>
      <c r="W1091" s="24">
        <f t="shared" si="348"/>
        <v>5.9932203501684522E-4</v>
      </c>
      <c r="X1091" s="25">
        <f t="shared" si="349"/>
        <v>3.7884813021083104E-4</v>
      </c>
      <c r="Y1091" s="8">
        <f t="shared" si="336"/>
        <v>6.7525506052065754E-2</v>
      </c>
      <c r="Z1091" s="27">
        <f t="shared" si="337"/>
        <v>2.4545783624934318E-2</v>
      </c>
      <c r="AA1091" s="27"/>
      <c r="AB1091" s="40">
        <v>63598</v>
      </c>
      <c r="AC1091" s="56">
        <f t="shared" si="339"/>
        <v>2.0429733473327653E-2</v>
      </c>
      <c r="AE1091" s="20">
        <f t="shared" si="341"/>
        <v>0</v>
      </c>
      <c r="AF1091" s="20">
        <f t="shared" si="342"/>
        <v>710247788.55000007</v>
      </c>
      <c r="AG1091">
        <f t="shared" si="351"/>
        <v>67893256.799999997</v>
      </c>
      <c r="AH1091">
        <f t="shared" si="352"/>
        <v>67893256.799999997</v>
      </c>
      <c r="AI1091">
        <f t="shared" si="353"/>
        <v>8473865856.8400002</v>
      </c>
    </row>
    <row r="1092" spans="2:35" x14ac:dyDescent="0.25">
      <c r="B1092" s="4">
        <v>2025</v>
      </c>
      <c r="C1092" s="4" t="s">
        <v>241</v>
      </c>
      <c r="D1092" s="1" t="s">
        <v>242</v>
      </c>
      <c r="E1092" s="4" t="str">
        <f t="shared" si="343"/>
        <v>Xcel-MN</v>
      </c>
      <c r="F1092" s="4" t="s">
        <v>135</v>
      </c>
      <c r="G1092" s="4"/>
      <c r="H1092" s="11" t="s">
        <v>278</v>
      </c>
      <c r="I1092" s="4"/>
      <c r="J1092" s="4" t="s">
        <v>142</v>
      </c>
      <c r="K1092" s="5">
        <v>358820</v>
      </c>
      <c r="L1092" s="5">
        <f t="shared" si="350"/>
        <v>358820</v>
      </c>
      <c r="M1092" s="8">
        <v>1131141</v>
      </c>
      <c r="N1092" s="8">
        <v>167756</v>
      </c>
      <c r="O1092" s="8">
        <f>SUMIFS(EIAwtransport!$J$2:$J$675,EIAwtransport!$E$2:$E$675,Program_data!$E1092,EIAwtransport!$H$2:$H$675,Program_data!$F1092,EIAwtransport!$I$2:$I$675,Program_data!O$2)</f>
        <v>306619750</v>
      </c>
      <c r="P1092" s="5">
        <f>SUMIFS(EIAwtransport!$J$2:$J$675,EIAwtransport!$E$2:$E$675,Program_data!$E1092,EIAwtransport!$H$2:$H$675,Program_data!$F1092,EIAwtransport!$I$2:$I$675,Program_data!P$2)</f>
        <v>35286911</v>
      </c>
      <c r="Q1092" s="5">
        <f>SUMIFS(EIAwtransport!$J$2:$J$675,EIAwtransport!$E$2:$E$675,Program_data!$E1092,EIAwtransport!$H$2:$H$675,Program_data!$F1092,EIAwtransport!$I$2:$I$675,Program_data!Q$2)</f>
        <v>438247</v>
      </c>
      <c r="R1092" s="8">
        <f>SUMIFS(EIAwtransport!$J$2:$J$675,EIAwtransport!$E$2:$E$675,Program_data!$E1092,EIAwtransport!$I$2:$I$675,Program_data!R$2)</f>
        <v>526109473</v>
      </c>
      <c r="S1092" s="5">
        <f>SUMIFS(EIAwtransport!$J$2:$J$675,EIAwtransport!$E$2:$E$675,Program_data!$E1092,EIAwtransport!$I$2:$I$675,Program_data!S$2)</f>
        <v>80336233</v>
      </c>
      <c r="T1092" s="5">
        <f>SUMIFS(EIAwtransport!$J$2:$J$675,EIAwtransport!$E$2:$E$675,Program_data!$E1092,EIAwtransport!$I$2:$I$675,Program_data!T$2)</f>
        <v>474354</v>
      </c>
      <c r="U1092" s="24">
        <f t="shared" si="347"/>
        <v>4.3112719929418571E-4</v>
      </c>
      <c r="V1092" s="24">
        <f t="shared" si="340"/>
        <v>4.3112719929418571E-4</v>
      </c>
      <c r="W1092" s="24">
        <f t="shared" si="348"/>
        <v>2.1500107069921549E-3</v>
      </c>
      <c r="X1092" s="25">
        <f t="shared" si="349"/>
        <v>1.3590815766591174E-3</v>
      </c>
      <c r="Y1092" s="8">
        <f t="shared" ref="Y1092:Y1155" si="354">IFERROR(M1092/SUMIFS($K$3:$K$1492,$E$3:$E$1492,E1092,$B$3:$B$1492,B1092,$F$3:$F$1492,F1092,$A$3:$A$1492,""),"")</f>
        <v>0.24224132023265973</v>
      </c>
      <c r="Z1092" s="27">
        <f t="shared" ref="Z1092:Z1155" si="355">IFERROR(M1092/SUMIFS($K$3:$K$1492,$E$3:$E$1492,E1092,$B$3:$B$1492,B1092,$A$3:$A$1492,""),"")</f>
        <v>8.8055660432438745E-2</v>
      </c>
      <c r="AA1092" s="27"/>
      <c r="AB1092" s="40">
        <v>33827</v>
      </c>
      <c r="AC1092" s="56">
        <f t="shared" si="339"/>
        <v>1.1388927329489838E-2</v>
      </c>
      <c r="AE1092" s="20">
        <f t="shared" si="341"/>
        <v>226470.6</v>
      </c>
      <c r="AF1092" s="20">
        <f t="shared" si="342"/>
        <v>710247788.55000007</v>
      </c>
      <c r="AG1092">
        <f t="shared" si="351"/>
        <v>37848333.600000001</v>
      </c>
      <c r="AH1092">
        <f t="shared" si="352"/>
        <v>37848333.600000001</v>
      </c>
      <c r="AI1092">
        <f t="shared" si="353"/>
        <v>8473865856.8400002</v>
      </c>
    </row>
    <row r="1093" spans="2:35" x14ac:dyDescent="0.25">
      <c r="B1093" s="4">
        <v>2025</v>
      </c>
      <c r="C1093" s="4" t="s">
        <v>241</v>
      </c>
      <c r="D1093" s="1" t="s">
        <v>242</v>
      </c>
      <c r="E1093" s="4" t="str">
        <f t="shared" si="343"/>
        <v>Xcel-MN</v>
      </c>
      <c r="F1093" s="4" t="s">
        <v>135</v>
      </c>
      <c r="G1093" s="4"/>
      <c r="H1093" s="11" t="s">
        <v>485</v>
      </c>
      <c r="I1093" s="4"/>
      <c r="J1093" s="4" t="s">
        <v>27</v>
      </c>
      <c r="K1093" s="5">
        <v>354700</v>
      </c>
      <c r="L1093" s="5">
        <f t="shared" si="350"/>
        <v>354700</v>
      </c>
      <c r="M1093" s="8">
        <v>1337055</v>
      </c>
      <c r="N1093" s="8">
        <v>1287774</v>
      </c>
      <c r="O1093" s="8">
        <f>SUMIFS(EIAwtransport!$J$2:$J$675,EIAwtransport!$E$2:$E$675,Program_data!$E1093,EIAwtransport!$H$2:$H$675,Program_data!$F1093,EIAwtransport!$I$2:$I$675,Program_data!O$2)</f>
        <v>306619750</v>
      </c>
      <c r="P1093" s="5">
        <f>SUMIFS(EIAwtransport!$J$2:$J$675,EIAwtransport!$E$2:$E$675,Program_data!$E1093,EIAwtransport!$H$2:$H$675,Program_data!$F1093,EIAwtransport!$I$2:$I$675,Program_data!P$2)</f>
        <v>35286911</v>
      </c>
      <c r="Q1093" s="5">
        <f>SUMIFS(EIAwtransport!$J$2:$J$675,EIAwtransport!$E$2:$E$675,Program_data!$E1093,EIAwtransport!$H$2:$H$675,Program_data!$F1093,EIAwtransport!$I$2:$I$675,Program_data!Q$2)</f>
        <v>438247</v>
      </c>
      <c r="R1093" s="8">
        <f>SUMIFS(EIAwtransport!$J$2:$J$675,EIAwtransport!$E$2:$E$675,Program_data!$E1093,EIAwtransport!$I$2:$I$675,Program_data!R$2)</f>
        <v>526109473</v>
      </c>
      <c r="S1093" s="5">
        <f>SUMIFS(EIAwtransport!$J$2:$J$675,EIAwtransport!$E$2:$E$675,Program_data!$E1093,EIAwtransport!$I$2:$I$675,Program_data!S$2)</f>
        <v>80336233</v>
      </c>
      <c r="T1093" s="5">
        <f>SUMIFS(EIAwtransport!$J$2:$J$675,EIAwtransport!$E$2:$E$675,Program_data!$E1093,EIAwtransport!$I$2:$I$675,Program_data!T$2)</f>
        <v>474354</v>
      </c>
      <c r="U1093" s="24">
        <f t="shared" si="347"/>
        <v>4.2617696223635153E-4</v>
      </c>
      <c r="V1093" s="24">
        <f t="shared" si="340"/>
        <v>4.2617696223635153E-4</v>
      </c>
      <c r="W1093" s="24">
        <f t="shared" si="348"/>
        <v>2.5414007323909184E-3</v>
      </c>
      <c r="X1093" s="25">
        <f t="shared" si="349"/>
        <v>1.6064900993598113E-3</v>
      </c>
      <c r="Y1093" s="8">
        <f t="shared" si="354"/>
        <v>0.2863391641039259</v>
      </c>
      <c r="Z1093" s="27">
        <f t="shared" si="355"/>
        <v>0.10408539789424517</v>
      </c>
      <c r="AA1093" s="27"/>
      <c r="AB1093" s="40">
        <v>32321</v>
      </c>
      <c r="AC1093" s="56">
        <f t="shared" si="339"/>
        <v>1.1258158753051795E-2</v>
      </c>
      <c r="AE1093" s="20">
        <f t="shared" si="341"/>
        <v>1738494.9000000001</v>
      </c>
      <c r="AF1093" s="20">
        <f t="shared" si="342"/>
        <v>710247788.55000007</v>
      </c>
      <c r="AG1093">
        <f t="shared" si="351"/>
        <v>37413756</v>
      </c>
      <c r="AH1093">
        <f t="shared" si="352"/>
        <v>37413756</v>
      </c>
      <c r="AI1093">
        <f t="shared" si="353"/>
        <v>8473865856.8400002</v>
      </c>
    </row>
    <row r="1094" spans="2:35" x14ac:dyDescent="0.25">
      <c r="B1094" s="4">
        <v>2025</v>
      </c>
      <c r="C1094" s="4" t="s">
        <v>241</v>
      </c>
      <c r="D1094" s="1" t="s">
        <v>242</v>
      </c>
      <c r="E1094" s="4" t="str">
        <f t="shared" si="343"/>
        <v>Xcel-MN</v>
      </c>
      <c r="F1094" s="4" t="s">
        <v>135</v>
      </c>
      <c r="G1094" s="4"/>
      <c r="H1094" s="11" t="s">
        <v>486</v>
      </c>
      <c r="I1094" s="4"/>
      <c r="J1094" s="4" t="s">
        <v>142</v>
      </c>
      <c r="K1094" s="5">
        <v>2055400</v>
      </c>
      <c r="L1094" s="5">
        <f t="shared" si="350"/>
        <v>2055400</v>
      </c>
      <c r="M1094" s="8">
        <v>5400940</v>
      </c>
      <c r="N1094" s="8">
        <v>4885702</v>
      </c>
      <c r="O1094" s="8">
        <f>SUMIFS(EIAwtransport!$J$2:$J$675,EIAwtransport!$E$2:$E$675,Program_data!$E1094,EIAwtransport!$H$2:$H$675,Program_data!$F1094,EIAwtransport!$I$2:$I$675,Program_data!O$2)</f>
        <v>306619750</v>
      </c>
      <c r="P1094" s="5">
        <f>SUMIFS(EIAwtransport!$J$2:$J$675,EIAwtransport!$E$2:$E$675,Program_data!$E1094,EIAwtransport!$H$2:$H$675,Program_data!$F1094,EIAwtransport!$I$2:$I$675,Program_data!P$2)</f>
        <v>35286911</v>
      </c>
      <c r="Q1094" s="5">
        <f>SUMIFS(EIAwtransport!$J$2:$J$675,EIAwtransport!$E$2:$E$675,Program_data!$E1094,EIAwtransport!$H$2:$H$675,Program_data!$F1094,EIAwtransport!$I$2:$I$675,Program_data!Q$2)</f>
        <v>438247</v>
      </c>
      <c r="R1094" s="8">
        <f>SUMIFS(EIAwtransport!$J$2:$J$675,EIAwtransport!$E$2:$E$675,Program_data!$E1094,EIAwtransport!$I$2:$I$675,Program_data!R$2)</f>
        <v>526109473</v>
      </c>
      <c r="S1094" s="5">
        <f>SUMIFS(EIAwtransport!$J$2:$J$675,EIAwtransport!$E$2:$E$675,Program_data!$E1094,EIAwtransport!$I$2:$I$675,Program_data!S$2)</f>
        <v>80336233</v>
      </c>
      <c r="T1094" s="5">
        <f>SUMIFS(EIAwtransport!$J$2:$J$675,EIAwtransport!$E$2:$E$675,Program_data!$E1094,EIAwtransport!$I$2:$I$675,Program_data!T$2)</f>
        <v>474354</v>
      </c>
      <c r="U1094" s="24">
        <f t="shared" si="347"/>
        <v>2.4695915652117196E-3</v>
      </c>
      <c r="V1094" s="24">
        <f t="shared" si="340"/>
        <v>2.4695915652117196E-3</v>
      </c>
      <c r="W1094" s="24">
        <f t="shared" si="348"/>
        <v>1.0265810210948245E-2</v>
      </c>
      <c r="X1094" s="25">
        <f t="shared" si="349"/>
        <v>6.4893042075579383E-3</v>
      </c>
      <c r="Y1094" s="8">
        <f t="shared" si="354"/>
        <v>1.1566469928129042</v>
      </c>
      <c r="Z1094" s="27">
        <f t="shared" si="355"/>
        <v>0.42044567269330324</v>
      </c>
      <c r="AA1094" s="27"/>
      <c r="AB1094" s="40">
        <v>205540</v>
      </c>
      <c r="AC1094" s="56">
        <f t="shared" si="339"/>
        <v>6.5238284468628879E-2</v>
      </c>
      <c r="AE1094" s="20">
        <f t="shared" si="341"/>
        <v>6595697.7000000002</v>
      </c>
      <c r="AF1094" s="20">
        <f t="shared" si="342"/>
        <v>710247788.55000007</v>
      </c>
      <c r="AG1094">
        <f t="shared" si="351"/>
        <v>216803592</v>
      </c>
      <c r="AH1094">
        <f t="shared" si="352"/>
        <v>216803592</v>
      </c>
      <c r="AI1094">
        <f t="shared" si="353"/>
        <v>8473865856.8400002</v>
      </c>
    </row>
    <row r="1095" spans="2:35" x14ac:dyDescent="0.25">
      <c r="B1095" s="4">
        <v>2025</v>
      </c>
      <c r="C1095" s="4" t="s">
        <v>241</v>
      </c>
      <c r="D1095" s="1" t="s">
        <v>242</v>
      </c>
      <c r="E1095" s="4" t="str">
        <f t="shared" si="343"/>
        <v>Xcel-MN</v>
      </c>
      <c r="F1095" s="4" t="s">
        <v>135</v>
      </c>
      <c r="G1095" s="4"/>
      <c r="H1095" s="11" t="s">
        <v>487</v>
      </c>
      <c r="I1095" s="4"/>
      <c r="J1095" s="4" t="s">
        <v>42</v>
      </c>
      <c r="K1095" s="5">
        <v>529300</v>
      </c>
      <c r="L1095" s="5">
        <f t="shared" si="350"/>
        <v>529300</v>
      </c>
      <c r="M1095" s="8">
        <v>414624</v>
      </c>
      <c r="N1095" s="8">
        <v>87400</v>
      </c>
      <c r="O1095" s="8">
        <f>SUMIFS(EIAwtransport!$J$2:$J$675,EIAwtransport!$E$2:$E$675,Program_data!$E1095,EIAwtransport!$H$2:$H$675,Program_data!$F1095,EIAwtransport!$I$2:$I$675,Program_data!O$2)</f>
        <v>306619750</v>
      </c>
      <c r="P1095" s="5">
        <f>SUMIFS(EIAwtransport!$J$2:$J$675,EIAwtransport!$E$2:$E$675,Program_data!$E1095,EIAwtransport!$H$2:$H$675,Program_data!$F1095,EIAwtransport!$I$2:$I$675,Program_data!P$2)</f>
        <v>35286911</v>
      </c>
      <c r="Q1095" s="5">
        <f>SUMIFS(EIAwtransport!$J$2:$J$675,EIAwtransport!$E$2:$E$675,Program_data!$E1095,EIAwtransport!$H$2:$H$675,Program_data!$F1095,EIAwtransport!$I$2:$I$675,Program_data!Q$2)</f>
        <v>438247</v>
      </c>
      <c r="R1095" s="8">
        <f>SUMIFS(EIAwtransport!$J$2:$J$675,EIAwtransport!$E$2:$E$675,Program_data!$E1095,EIAwtransport!$I$2:$I$675,Program_data!R$2)</f>
        <v>526109473</v>
      </c>
      <c r="S1095" s="5">
        <f>SUMIFS(EIAwtransport!$J$2:$J$675,EIAwtransport!$E$2:$E$675,Program_data!$E1095,EIAwtransport!$I$2:$I$675,Program_data!S$2)</f>
        <v>80336233</v>
      </c>
      <c r="T1095" s="5">
        <f>SUMIFS(EIAwtransport!$J$2:$J$675,EIAwtransport!$E$2:$E$675,Program_data!$E1095,EIAwtransport!$I$2:$I$675,Program_data!T$2)</f>
        <v>474354</v>
      </c>
      <c r="U1095" s="24">
        <f t="shared" si="347"/>
        <v>6.35961280269808E-4</v>
      </c>
      <c r="V1095" s="24">
        <f t="shared" si="340"/>
        <v>6.35961280269808E-4</v>
      </c>
      <c r="W1095" s="24">
        <f t="shared" si="348"/>
        <v>7.8809453408188303E-4</v>
      </c>
      <c r="X1095" s="25">
        <f t="shared" si="349"/>
        <v>4.9817647812316044E-4</v>
      </c>
      <c r="Y1095" s="8">
        <f t="shared" si="354"/>
        <v>8.8794469619743521E-2</v>
      </c>
      <c r="Z1095" s="27">
        <f t="shared" si="355"/>
        <v>3.2277134460813886E-2</v>
      </c>
      <c r="AA1095" s="27"/>
      <c r="AB1095" s="40">
        <v>51598</v>
      </c>
      <c r="AC1095" s="56">
        <f t="shared" si="339"/>
        <v>1.6799953278799875E-2</v>
      </c>
      <c r="AE1095" s="20">
        <f t="shared" si="341"/>
        <v>117990.00000000001</v>
      </c>
      <c r="AF1095" s="20">
        <f t="shared" si="342"/>
        <v>710247788.55000007</v>
      </c>
      <c r="AG1095">
        <f t="shared" si="351"/>
        <v>55830564</v>
      </c>
      <c r="AH1095">
        <f t="shared" si="352"/>
        <v>55830564</v>
      </c>
      <c r="AI1095">
        <f t="shared" si="353"/>
        <v>8473865856.8400002</v>
      </c>
    </row>
    <row r="1096" spans="2:35" x14ac:dyDescent="0.25">
      <c r="B1096" s="4">
        <v>2025</v>
      </c>
      <c r="C1096" s="4" t="s">
        <v>241</v>
      </c>
      <c r="D1096" s="1" t="s">
        <v>242</v>
      </c>
      <c r="E1096" s="4" t="str">
        <f t="shared" si="343"/>
        <v>Xcel-MN</v>
      </c>
      <c r="F1096" s="4" t="s">
        <v>135</v>
      </c>
      <c r="G1096" s="4"/>
      <c r="H1096" s="11" t="s">
        <v>488</v>
      </c>
      <c r="I1096" s="4"/>
      <c r="J1096" s="4" t="s">
        <v>142</v>
      </c>
      <c r="K1096" s="5">
        <v>40350</v>
      </c>
      <c r="L1096" s="5">
        <f t="shared" si="350"/>
        <v>40350</v>
      </c>
      <c r="M1096" s="8">
        <v>186602</v>
      </c>
      <c r="N1096" s="8">
        <v>150970</v>
      </c>
      <c r="O1096" s="8">
        <f>SUMIFS(EIAwtransport!$J$2:$J$675,EIAwtransport!$E$2:$E$675,Program_data!$E1096,EIAwtransport!$H$2:$H$675,Program_data!$F1096,EIAwtransport!$I$2:$I$675,Program_data!O$2)</f>
        <v>306619750</v>
      </c>
      <c r="P1096" s="5">
        <f>SUMIFS(EIAwtransport!$J$2:$J$675,EIAwtransport!$E$2:$E$675,Program_data!$E1096,EIAwtransport!$H$2:$H$675,Program_data!$F1096,EIAwtransport!$I$2:$I$675,Program_data!P$2)</f>
        <v>35286911</v>
      </c>
      <c r="Q1096" s="5">
        <f>SUMIFS(EIAwtransport!$J$2:$J$675,EIAwtransport!$E$2:$E$675,Program_data!$E1096,EIAwtransport!$H$2:$H$675,Program_data!$F1096,EIAwtransport!$I$2:$I$675,Program_data!Q$2)</f>
        <v>438247</v>
      </c>
      <c r="R1096" s="8">
        <f>SUMIFS(EIAwtransport!$J$2:$J$675,EIAwtransport!$E$2:$E$675,Program_data!$E1096,EIAwtransport!$I$2:$I$675,Program_data!R$2)</f>
        <v>526109473</v>
      </c>
      <c r="S1096" s="5">
        <f>SUMIFS(EIAwtransport!$J$2:$J$675,EIAwtransport!$E$2:$E$675,Program_data!$E1096,EIAwtransport!$I$2:$I$675,Program_data!S$2)</f>
        <v>80336233</v>
      </c>
      <c r="T1096" s="5">
        <f>SUMIFS(EIAwtransport!$J$2:$J$675,EIAwtransport!$E$2:$E$675,Program_data!$E1096,EIAwtransport!$I$2:$I$675,Program_data!T$2)</f>
        <v>474354</v>
      </c>
      <c r="U1096" s="24">
        <f t="shared" si="347"/>
        <v>4.8481083806700836E-5</v>
      </c>
      <c r="V1096" s="24">
        <f t="shared" si="340"/>
        <v>4.8481083806700836E-5</v>
      </c>
      <c r="W1096" s="24">
        <f t="shared" si="348"/>
        <v>3.5468283613285175E-4</v>
      </c>
      <c r="X1096" s="25">
        <f t="shared" si="349"/>
        <v>2.2420488724902079E-4</v>
      </c>
      <c r="Y1096" s="8">
        <f t="shared" si="354"/>
        <v>3.9962051448983613E-2</v>
      </c>
      <c r="Z1096" s="27">
        <f t="shared" si="355"/>
        <v>1.4526360858649747E-2</v>
      </c>
      <c r="AA1096" s="27"/>
      <c r="AB1096" s="40">
        <v>3685</v>
      </c>
      <c r="AC1096" s="56">
        <f t="shared" si="339"/>
        <v>1.2807068105036368E-3</v>
      </c>
      <c r="AE1096" s="20">
        <f t="shared" si="341"/>
        <v>203809.5</v>
      </c>
      <c r="AF1096" s="20">
        <f t="shared" si="342"/>
        <v>710247788.55000007</v>
      </c>
      <c r="AG1096">
        <f t="shared" si="351"/>
        <v>4256118</v>
      </c>
      <c r="AH1096">
        <f t="shared" si="352"/>
        <v>4256118</v>
      </c>
      <c r="AI1096">
        <f t="shared" si="353"/>
        <v>8473865856.8400002</v>
      </c>
    </row>
    <row r="1097" spans="2:35" x14ac:dyDescent="0.25">
      <c r="B1097" s="4">
        <v>2025</v>
      </c>
      <c r="C1097" s="4" t="s">
        <v>241</v>
      </c>
      <c r="D1097" s="1" t="s">
        <v>242</v>
      </c>
      <c r="E1097" s="4" t="str">
        <f t="shared" si="343"/>
        <v>Xcel-MN</v>
      </c>
      <c r="F1097" s="4" t="s">
        <v>146</v>
      </c>
      <c r="G1097" s="4"/>
      <c r="H1097" s="11" t="s">
        <v>490</v>
      </c>
      <c r="I1097" s="4"/>
      <c r="J1097" s="4" t="s">
        <v>155</v>
      </c>
      <c r="K1097" s="44">
        <v>0</v>
      </c>
      <c r="L1097" s="5">
        <f t="shared" si="350"/>
        <v>0</v>
      </c>
      <c r="M1097" s="8">
        <v>33000</v>
      </c>
      <c r="N1097" s="8">
        <v>0</v>
      </c>
      <c r="O1097" s="8">
        <f>SUMIFS(EIAwtransport!$J$2:$J$675,EIAwtransport!$E$2:$E$675,Program_data!$E1097,EIAwtransport!$H$2:$H$675,Program_data!$F1097,EIAwtransport!$I$2:$I$675,Program_data!O$2)</f>
        <v>219489723</v>
      </c>
      <c r="P1097" s="5">
        <f>SUMIFS(EIAwtransport!$J$2:$J$675,EIAwtransport!$E$2:$E$675,Program_data!$E1097,EIAwtransport!$H$2:$H$675,Program_data!$F1097,EIAwtransport!$I$2:$I$675,Program_data!P$2)</f>
        <v>45049322</v>
      </c>
      <c r="Q1097" s="5">
        <f>SUMIFS(EIAwtransport!$J$2:$J$675,EIAwtransport!$E$2:$E$675,Program_data!$E1097,EIAwtransport!$H$2:$H$675,Program_data!$F1097,EIAwtransport!$I$2:$I$675,Program_data!Q$2)</f>
        <v>36107</v>
      </c>
      <c r="R1097" s="8">
        <f>SUMIFS(EIAwtransport!$J$2:$J$675,EIAwtransport!$E$2:$E$675,Program_data!$E1097,EIAwtransport!$I$2:$I$675,Program_data!R$2)</f>
        <v>526109473</v>
      </c>
      <c r="S1097" s="5">
        <f>SUMIFS(EIAwtransport!$J$2:$J$675,EIAwtransport!$E$2:$E$675,Program_data!$E1097,EIAwtransport!$I$2:$I$675,Program_data!S$2)</f>
        <v>80336233</v>
      </c>
      <c r="T1097" s="5">
        <f>SUMIFS(EIAwtransport!$J$2:$J$675,EIAwtransport!$E$2:$E$675,Program_data!$E1097,EIAwtransport!$I$2:$I$675,Program_data!T$2)</f>
        <v>474354</v>
      </c>
      <c r="U1097" s="24">
        <f t="shared" si="347"/>
        <v>0</v>
      </c>
      <c r="V1097" s="24">
        <f t="shared" ref="V1097:V1160" si="356">IFERROR(L1097/10.36/S1097,"")</f>
        <v>0</v>
      </c>
      <c r="W1097" s="24">
        <f t="shared" si="348"/>
        <v>6.272458812008504E-5</v>
      </c>
      <c r="X1097" s="25">
        <f t="shared" si="349"/>
        <v>3.9649957016632648E-5</v>
      </c>
      <c r="Y1097" s="8">
        <f t="shared" si="354"/>
        <v>4.2066135613572832E-3</v>
      </c>
      <c r="Z1097" s="27">
        <f t="shared" si="355"/>
        <v>2.5689430356343537E-3</v>
      </c>
      <c r="AA1097" s="27"/>
      <c r="AB1097" s="40"/>
      <c r="AC1097" s="56">
        <f t="shared" si="339"/>
        <v>0</v>
      </c>
      <c r="AE1097" s="20">
        <f t="shared" si="341"/>
        <v>0</v>
      </c>
      <c r="AF1097" s="20">
        <f t="shared" si="342"/>
        <v>710247788.55000007</v>
      </c>
      <c r="AG1097">
        <f t="shared" si="351"/>
        <v>0</v>
      </c>
      <c r="AH1097">
        <f t="shared" si="352"/>
        <v>0</v>
      </c>
      <c r="AI1097">
        <f t="shared" si="353"/>
        <v>8473865856.8400002</v>
      </c>
    </row>
    <row r="1098" spans="2:35" x14ac:dyDescent="0.25">
      <c r="B1098" s="4">
        <v>2025</v>
      </c>
      <c r="C1098" s="4" t="s">
        <v>241</v>
      </c>
      <c r="D1098" s="1" t="s">
        <v>242</v>
      </c>
      <c r="E1098" s="4" t="str">
        <f t="shared" si="343"/>
        <v>Xcel-MN</v>
      </c>
      <c r="F1098" s="4" t="s">
        <v>146</v>
      </c>
      <c r="G1098" s="4"/>
      <c r="H1098" s="11" t="s">
        <v>491</v>
      </c>
      <c r="I1098" s="4"/>
      <c r="J1098" s="4" t="s">
        <v>68</v>
      </c>
      <c r="K1098" s="44">
        <v>298590</v>
      </c>
      <c r="L1098" s="5">
        <f t="shared" si="350"/>
        <v>298590</v>
      </c>
      <c r="M1098" s="8">
        <v>435924</v>
      </c>
      <c r="N1098" s="8">
        <v>219442</v>
      </c>
      <c r="O1098" s="8">
        <f>SUMIFS(EIAwtransport!$J$2:$J$675,EIAwtransport!$E$2:$E$675,Program_data!$E1098,EIAwtransport!$H$2:$H$675,Program_data!$F1098,EIAwtransport!$I$2:$I$675,Program_data!O$2)</f>
        <v>219489723</v>
      </c>
      <c r="P1098" s="5">
        <f>SUMIFS(EIAwtransport!$J$2:$J$675,EIAwtransport!$E$2:$E$675,Program_data!$E1098,EIAwtransport!$H$2:$H$675,Program_data!$F1098,EIAwtransport!$I$2:$I$675,Program_data!P$2)</f>
        <v>45049322</v>
      </c>
      <c r="Q1098" s="5">
        <f>SUMIFS(EIAwtransport!$J$2:$J$675,EIAwtransport!$E$2:$E$675,Program_data!$E1098,EIAwtransport!$H$2:$H$675,Program_data!$F1098,EIAwtransport!$I$2:$I$675,Program_data!Q$2)</f>
        <v>36107</v>
      </c>
      <c r="R1098" s="8">
        <f>SUMIFS(EIAwtransport!$J$2:$J$675,EIAwtransport!$E$2:$E$675,Program_data!$E1098,EIAwtransport!$I$2:$I$675,Program_data!R$2)</f>
        <v>526109473</v>
      </c>
      <c r="S1098" s="5">
        <f>SUMIFS(EIAwtransport!$J$2:$J$675,EIAwtransport!$E$2:$E$675,Program_data!$E1098,EIAwtransport!$I$2:$I$675,Program_data!S$2)</f>
        <v>80336233</v>
      </c>
      <c r="T1098" s="5">
        <f>SUMIFS(EIAwtransport!$J$2:$J$675,EIAwtransport!$E$2:$E$675,Program_data!$E1098,EIAwtransport!$I$2:$I$675,Program_data!T$2)</f>
        <v>474354</v>
      </c>
      <c r="U1098" s="24">
        <f t="shared" si="347"/>
        <v>3.5876002016958618E-4</v>
      </c>
      <c r="V1098" s="24">
        <f t="shared" si="356"/>
        <v>3.5876002016958618E-4</v>
      </c>
      <c r="W1098" s="24">
        <f t="shared" si="348"/>
        <v>8.2858040459575608E-4</v>
      </c>
      <c r="X1098" s="25">
        <f t="shared" si="349"/>
        <v>5.2376872310662338E-4</v>
      </c>
      <c r="Y1098" s="8">
        <f t="shared" si="354"/>
        <v>5.5568600306700369E-2</v>
      </c>
      <c r="Z1098" s="27">
        <f t="shared" si="355"/>
        <v>3.3935270420177882E-2</v>
      </c>
      <c r="AA1098" s="27"/>
      <c r="AB1098" s="40">
        <v>27552</v>
      </c>
      <c r="AC1098" s="56">
        <f t="shared" si="339"/>
        <v>9.4772303977269119E-3</v>
      </c>
      <c r="AE1098" s="20">
        <f t="shared" si="341"/>
        <v>296246.7</v>
      </c>
      <c r="AF1098" s="20">
        <f t="shared" si="342"/>
        <v>710247788.55000007</v>
      </c>
      <c r="AG1098">
        <f t="shared" si="351"/>
        <v>31495273.200000003</v>
      </c>
      <c r="AH1098">
        <f t="shared" si="352"/>
        <v>31495273.200000003</v>
      </c>
      <c r="AI1098">
        <f t="shared" si="353"/>
        <v>8473865856.8400002</v>
      </c>
    </row>
    <row r="1099" spans="2:35" x14ac:dyDescent="0.25">
      <c r="B1099" s="4">
        <v>2025</v>
      </c>
      <c r="C1099" s="4" t="s">
        <v>241</v>
      </c>
      <c r="D1099" s="1" t="s">
        <v>242</v>
      </c>
      <c r="E1099" s="4" t="str">
        <f t="shared" si="343"/>
        <v>Xcel-MN</v>
      </c>
      <c r="F1099" s="4" t="s">
        <v>146</v>
      </c>
      <c r="G1099" s="4"/>
      <c r="H1099" s="11" t="s">
        <v>492</v>
      </c>
      <c r="I1099" s="4"/>
      <c r="J1099" s="4" t="s">
        <v>32</v>
      </c>
      <c r="K1099" s="44">
        <v>706640</v>
      </c>
      <c r="L1099" s="5">
        <f t="shared" si="350"/>
        <v>706640</v>
      </c>
      <c r="M1099" s="8">
        <v>702499</v>
      </c>
      <c r="N1099" s="8">
        <v>369024</v>
      </c>
      <c r="O1099" s="8">
        <f>SUMIFS(EIAwtransport!$J$2:$J$675,EIAwtransport!$E$2:$E$675,Program_data!$E1099,EIAwtransport!$H$2:$H$675,Program_data!$F1099,EIAwtransport!$I$2:$I$675,Program_data!O$2)</f>
        <v>219489723</v>
      </c>
      <c r="P1099" s="5">
        <f>SUMIFS(EIAwtransport!$J$2:$J$675,EIAwtransport!$E$2:$E$675,Program_data!$E1099,EIAwtransport!$H$2:$H$675,Program_data!$F1099,EIAwtransport!$I$2:$I$675,Program_data!P$2)</f>
        <v>45049322</v>
      </c>
      <c r="Q1099" s="5">
        <f>SUMIFS(EIAwtransport!$J$2:$J$675,EIAwtransport!$E$2:$E$675,Program_data!$E1099,EIAwtransport!$H$2:$H$675,Program_data!$F1099,EIAwtransport!$I$2:$I$675,Program_data!Q$2)</f>
        <v>36107</v>
      </c>
      <c r="R1099" s="8">
        <f>SUMIFS(EIAwtransport!$J$2:$J$675,EIAwtransport!$E$2:$E$675,Program_data!$E1099,EIAwtransport!$I$2:$I$675,Program_data!R$2)</f>
        <v>526109473</v>
      </c>
      <c r="S1099" s="5">
        <f>SUMIFS(EIAwtransport!$J$2:$J$675,EIAwtransport!$E$2:$E$675,Program_data!$E1099,EIAwtransport!$I$2:$I$675,Program_data!S$2)</f>
        <v>80336233</v>
      </c>
      <c r="T1099" s="5">
        <f>SUMIFS(EIAwtransport!$J$2:$J$675,EIAwtransport!$E$2:$E$675,Program_data!$E1099,EIAwtransport!$I$2:$I$675,Program_data!T$2)</f>
        <v>474354</v>
      </c>
      <c r="U1099" s="24">
        <f t="shared" si="347"/>
        <v>8.4903774624949392E-4</v>
      </c>
      <c r="V1099" s="24">
        <f t="shared" si="356"/>
        <v>8.4903774624949392E-4</v>
      </c>
      <c r="W1099" s="24">
        <f t="shared" si="348"/>
        <v>1.3352715281748976E-3</v>
      </c>
      <c r="X1099" s="25">
        <f t="shared" si="349"/>
        <v>8.4406227740083095E-4</v>
      </c>
      <c r="Y1099" s="8">
        <f t="shared" si="354"/>
        <v>8.9549752128482721E-2</v>
      </c>
      <c r="Z1099" s="27">
        <f t="shared" si="355"/>
        <v>5.4687270108790847E-2</v>
      </c>
      <c r="AA1099" s="27"/>
      <c r="AB1099" s="40">
        <v>50009</v>
      </c>
      <c r="AC1099" s="56">
        <f t="shared" ref="AC1099:AC1162" si="357">IFERROR(K1099/SUMIFS($M$3:$M$1234,$E$3:$E$1234,E1099,$B$3:$B$1234,B1099),"")</f>
        <v>2.2428715255868398E-2</v>
      </c>
      <c r="AE1099" s="20">
        <f t="shared" si="341"/>
        <v>498182.40000000002</v>
      </c>
      <c r="AF1099" s="20">
        <f t="shared" si="342"/>
        <v>710247788.55000007</v>
      </c>
      <c r="AG1099">
        <f t="shared" si="351"/>
        <v>74536387.200000003</v>
      </c>
      <c r="AH1099">
        <f t="shared" si="352"/>
        <v>74536387.200000003</v>
      </c>
      <c r="AI1099">
        <f t="shared" si="353"/>
        <v>8473865856.8400002</v>
      </c>
    </row>
    <row r="1100" spans="2:35" x14ac:dyDescent="0.25">
      <c r="B1100" s="4">
        <v>2025</v>
      </c>
      <c r="C1100" s="4" t="s">
        <v>241</v>
      </c>
      <c r="D1100" s="1" t="s">
        <v>242</v>
      </c>
      <c r="E1100" s="4" t="str">
        <f t="shared" si="343"/>
        <v>Xcel-MN</v>
      </c>
      <c r="F1100" s="4" t="s">
        <v>146</v>
      </c>
      <c r="G1100" s="4"/>
      <c r="H1100" s="11" t="s">
        <v>493</v>
      </c>
      <c r="I1100" s="4"/>
      <c r="J1100" s="4" t="s">
        <v>61</v>
      </c>
      <c r="K1100" s="5">
        <v>205180</v>
      </c>
      <c r="L1100" s="5">
        <f t="shared" si="350"/>
        <v>205180</v>
      </c>
      <c r="M1100" s="8">
        <v>204178</v>
      </c>
      <c r="N1100" s="8">
        <v>120008</v>
      </c>
      <c r="O1100" s="8">
        <f>SUMIFS(EIAwtransport!$J$2:$J$675,EIAwtransport!$E$2:$E$675,Program_data!$E1100,EIAwtransport!$H$2:$H$675,Program_data!$F1100,EIAwtransport!$I$2:$I$675,Program_data!O$2)</f>
        <v>219489723</v>
      </c>
      <c r="P1100" s="5">
        <f>SUMIFS(EIAwtransport!$J$2:$J$675,EIAwtransport!$E$2:$E$675,Program_data!$E1100,EIAwtransport!$H$2:$H$675,Program_data!$F1100,EIAwtransport!$I$2:$I$675,Program_data!P$2)</f>
        <v>45049322</v>
      </c>
      <c r="Q1100" s="5">
        <f>SUMIFS(EIAwtransport!$J$2:$J$675,EIAwtransport!$E$2:$E$675,Program_data!$E1100,EIAwtransport!$H$2:$H$675,Program_data!$F1100,EIAwtransport!$I$2:$I$675,Program_data!Q$2)</f>
        <v>36107</v>
      </c>
      <c r="R1100" s="8">
        <f>SUMIFS(EIAwtransport!$J$2:$J$675,EIAwtransport!$E$2:$E$675,Program_data!$E1100,EIAwtransport!$I$2:$I$675,Program_data!R$2)</f>
        <v>526109473</v>
      </c>
      <c r="S1100" s="5">
        <f>SUMIFS(EIAwtransport!$J$2:$J$675,EIAwtransport!$E$2:$E$675,Program_data!$E1100,EIAwtransport!$I$2:$I$675,Program_data!S$2)</f>
        <v>80336233</v>
      </c>
      <c r="T1100" s="5">
        <f>SUMIFS(EIAwtransport!$J$2:$J$675,EIAwtransport!$E$2:$E$675,Program_data!$E1100,EIAwtransport!$I$2:$I$675,Program_data!T$2)</f>
        <v>474354</v>
      </c>
      <c r="U1100" s="24">
        <f t="shared" si="347"/>
        <v>2.4652661153553597E-4</v>
      </c>
      <c r="V1100" s="24">
        <f t="shared" si="356"/>
        <v>2.4652661153553597E-4</v>
      </c>
      <c r="W1100" s="24">
        <f t="shared" si="348"/>
        <v>3.8809033191462795E-4</v>
      </c>
      <c r="X1100" s="25">
        <f t="shared" si="349"/>
        <v>2.4532269465884913E-4</v>
      </c>
      <c r="Y1100" s="8">
        <f t="shared" si="354"/>
        <v>2.6027210416085071E-2</v>
      </c>
      <c r="Z1100" s="27">
        <f t="shared" si="355"/>
        <v>1.5894595488780337E-2</v>
      </c>
      <c r="AA1100" s="27"/>
      <c r="AB1100" s="40">
        <v>20518</v>
      </c>
      <c r="AC1100" s="56">
        <f t="shared" si="357"/>
        <v>6.5124020663974271E-3</v>
      </c>
      <c r="AE1100" s="20">
        <f t="shared" si="341"/>
        <v>162010.80000000002</v>
      </c>
      <c r="AF1100" s="20">
        <f t="shared" si="342"/>
        <v>710247788.55000007</v>
      </c>
      <c r="AG1100">
        <f t="shared" si="351"/>
        <v>21642386.400000002</v>
      </c>
      <c r="AH1100">
        <f t="shared" si="352"/>
        <v>21642386.400000002</v>
      </c>
      <c r="AI1100">
        <f t="shared" si="353"/>
        <v>8473865856.8400002</v>
      </c>
    </row>
    <row r="1101" spans="2:35" x14ac:dyDescent="0.25">
      <c r="B1101" s="4">
        <v>2025</v>
      </c>
      <c r="C1101" s="4" t="s">
        <v>241</v>
      </c>
      <c r="D1101" s="1" t="s">
        <v>242</v>
      </c>
      <c r="E1101" s="4" t="str">
        <f t="shared" si="343"/>
        <v>Xcel-MN</v>
      </c>
      <c r="F1101" s="4" t="s">
        <v>146</v>
      </c>
      <c r="G1101" s="4"/>
      <c r="H1101" s="11" t="s">
        <v>494</v>
      </c>
      <c r="I1101" s="4"/>
      <c r="J1101" s="4" t="s">
        <v>142</v>
      </c>
      <c r="K1101" s="5">
        <v>89180</v>
      </c>
      <c r="L1101" s="5">
        <f t="shared" si="350"/>
        <v>89180</v>
      </c>
      <c r="M1101" s="8">
        <v>70300</v>
      </c>
      <c r="N1101" s="8">
        <v>59975</v>
      </c>
      <c r="O1101" s="8">
        <f>SUMIFS(EIAwtransport!$J$2:$J$675,EIAwtransport!$E$2:$E$675,Program_data!$E1101,EIAwtransport!$H$2:$H$675,Program_data!$F1101,EIAwtransport!$I$2:$I$675,Program_data!O$2)</f>
        <v>219489723</v>
      </c>
      <c r="P1101" s="5">
        <f>SUMIFS(EIAwtransport!$J$2:$J$675,EIAwtransport!$E$2:$E$675,Program_data!$E1101,EIAwtransport!$H$2:$H$675,Program_data!$F1101,EIAwtransport!$I$2:$I$675,Program_data!P$2)</f>
        <v>45049322</v>
      </c>
      <c r="Q1101" s="5">
        <f>SUMIFS(EIAwtransport!$J$2:$J$675,EIAwtransport!$E$2:$E$675,Program_data!$E1101,EIAwtransport!$H$2:$H$675,Program_data!$F1101,EIAwtransport!$I$2:$I$675,Program_data!Q$2)</f>
        <v>36107</v>
      </c>
      <c r="R1101" s="8">
        <f>SUMIFS(EIAwtransport!$J$2:$J$675,EIAwtransport!$E$2:$E$675,Program_data!$E1101,EIAwtransport!$I$2:$I$675,Program_data!R$2)</f>
        <v>526109473</v>
      </c>
      <c r="S1101" s="5">
        <f>SUMIFS(EIAwtransport!$J$2:$J$675,EIAwtransport!$E$2:$E$675,Program_data!$E1101,EIAwtransport!$I$2:$I$675,Program_data!S$2)</f>
        <v>80336233</v>
      </c>
      <c r="T1101" s="5">
        <f>SUMIFS(EIAwtransport!$J$2:$J$675,EIAwtransport!$E$2:$E$675,Program_data!$E1101,EIAwtransport!$I$2:$I$675,Program_data!T$2)</f>
        <v>474354</v>
      </c>
      <c r="U1101" s="24">
        <f t="shared" si="347"/>
        <v>1.0715100505282726E-4</v>
      </c>
      <c r="V1101" s="24">
        <f t="shared" si="356"/>
        <v>1.0715100505282726E-4</v>
      </c>
      <c r="W1101" s="24">
        <f t="shared" si="348"/>
        <v>1.3362238014672661E-4</v>
      </c>
      <c r="X1101" s="25">
        <f t="shared" si="349"/>
        <v>8.4466423583917427E-5</v>
      </c>
      <c r="Y1101" s="8">
        <f t="shared" si="354"/>
        <v>8.9613616170732425E-3</v>
      </c>
      <c r="Z1101" s="27">
        <f t="shared" si="355"/>
        <v>5.4726271334877294E-3</v>
      </c>
      <c r="AA1101" s="27"/>
      <c r="AB1101" s="40">
        <v>7945</v>
      </c>
      <c r="AC1101" s="56">
        <f t="shared" si="357"/>
        <v>2.8305683608603302E-3</v>
      </c>
      <c r="AE1101" s="20">
        <f t="shared" si="341"/>
        <v>80966.25</v>
      </c>
      <c r="AF1101" s="20">
        <f t="shared" si="342"/>
        <v>710247788.55000007</v>
      </c>
      <c r="AG1101">
        <f t="shared" si="351"/>
        <v>9406706.4000000004</v>
      </c>
      <c r="AH1101">
        <f t="shared" si="352"/>
        <v>9406706.4000000004</v>
      </c>
      <c r="AI1101">
        <f t="shared" si="353"/>
        <v>8473865856.8400002</v>
      </c>
    </row>
    <row r="1102" spans="2:35" x14ac:dyDescent="0.25">
      <c r="B1102" s="4">
        <v>2025</v>
      </c>
      <c r="C1102" s="4" t="s">
        <v>241</v>
      </c>
      <c r="D1102" s="1" t="s">
        <v>242</v>
      </c>
      <c r="E1102" s="4" t="str">
        <f t="shared" si="343"/>
        <v>Xcel-MN</v>
      </c>
      <c r="F1102" s="4" t="s">
        <v>146</v>
      </c>
      <c r="G1102" s="4"/>
      <c r="H1102" s="11" t="s">
        <v>495</v>
      </c>
      <c r="I1102" s="4"/>
      <c r="J1102" s="4" t="s">
        <v>155</v>
      </c>
      <c r="K1102" s="5">
        <v>0</v>
      </c>
      <c r="L1102" s="5">
        <f t="shared" si="350"/>
        <v>0</v>
      </c>
      <c r="M1102" s="8">
        <v>97854</v>
      </c>
      <c r="N1102" s="8">
        <v>0</v>
      </c>
      <c r="O1102" s="8">
        <f>SUMIFS(EIAwtransport!$J$2:$J$675,EIAwtransport!$E$2:$E$675,Program_data!$E1102,EIAwtransport!$H$2:$H$675,Program_data!$F1102,EIAwtransport!$I$2:$I$675,Program_data!O$2)</f>
        <v>219489723</v>
      </c>
      <c r="P1102" s="5">
        <f>SUMIFS(EIAwtransport!$J$2:$J$675,EIAwtransport!$E$2:$E$675,Program_data!$E1102,EIAwtransport!$H$2:$H$675,Program_data!$F1102,EIAwtransport!$I$2:$I$675,Program_data!P$2)</f>
        <v>45049322</v>
      </c>
      <c r="Q1102" s="5">
        <f>SUMIFS(EIAwtransport!$J$2:$J$675,EIAwtransport!$E$2:$E$675,Program_data!$E1102,EIAwtransport!$H$2:$H$675,Program_data!$F1102,EIAwtransport!$I$2:$I$675,Program_data!Q$2)</f>
        <v>36107</v>
      </c>
      <c r="R1102" s="8">
        <f>SUMIFS(EIAwtransport!$J$2:$J$675,EIAwtransport!$E$2:$E$675,Program_data!$E1102,EIAwtransport!$I$2:$I$675,Program_data!R$2)</f>
        <v>526109473</v>
      </c>
      <c r="S1102" s="5">
        <f>SUMIFS(EIAwtransport!$J$2:$J$675,EIAwtransport!$E$2:$E$675,Program_data!$E1102,EIAwtransport!$I$2:$I$675,Program_data!S$2)</f>
        <v>80336233</v>
      </c>
      <c r="T1102" s="5">
        <f>SUMIFS(EIAwtransport!$J$2:$J$675,EIAwtransport!$E$2:$E$675,Program_data!$E1102,EIAwtransport!$I$2:$I$675,Program_data!T$2)</f>
        <v>474354</v>
      </c>
      <c r="U1102" s="24">
        <f t="shared" si="347"/>
        <v>0</v>
      </c>
      <c r="V1102" s="24">
        <f t="shared" si="356"/>
        <v>0</v>
      </c>
      <c r="W1102" s="24">
        <f t="shared" si="348"/>
        <v>1.8599551048190306E-4</v>
      </c>
      <c r="X1102" s="25">
        <f t="shared" si="349"/>
        <v>1.1757293617895671E-4</v>
      </c>
      <c r="Y1102" s="8">
        <f t="shared" si="354"/>
        <v>1.2473756467668351E-2</v>
      </c>
      <c r="Z1102" s="27">
        <f t="shared" si="355"/>
        <v>7.6176167214837588E-3</v>
      </c>
      <c r="AA1102" s="27"/>
      <c r="AB1102" s="40"/>
      <c r="AC1102" s="56">
        <f t="shared" si="357"/>
        <v>0</v>
      </c>
      <c r="AE1102" s="20">
        <f t="shared" si="341"/>
        <v>0</v>
      </c>
      <c r="AF1102" s="20">
        <f t="shared" si="342"/>
        <v>710247788.55000007</v>
      </c>
      <c r="AG1102">
        <f t="shared" si="351"/>
        <v>0</v>
      </c>
      <c r="AH1102">
        <f t="shared" si="352"/>
        <v>0</v>
      </c>
      <c r="AI1102">
        <f t="shared" si="353"/>
        <v>8473865856.8400002</v>
      </c>
    </row>
    <row r="1103" spans="2:35" x14ac:dyDescent="0.25">
      <c r="B1103" s="4">
        <v>2025</v>
      </c>
      <c r="C1103" s="4" t="s">
        <v>241</v>
      </c>
      <c r="D1103" s="1" t="s">
        <v>242</v>
      </c>
      <c r="E1103" s="4" t="str">
        <f t="shared" si="343"/>
        <v>Xcel-MN</v>
      </c>
      <c r="F1103" s="4" t="s">
        <v>146</v>
      </c>
      <c r="G1103" s="4"/>
      <c r="H1103" s="11" t="s">
        <v>496</v>
      </c>
      <c r="I1103" s="4"/>
      <c r="J1103" s="4" t="s">
        <v>142</v>
      </c>
      <c r="K1103" s="5">
        <v>610</v>
      </c>
      <c r="L1103" s="5">
        <f t="shared" si="350"/>
        <v>610</v>
      </c>
      <c r="M1103" s="8">
        <v>65672</v>
      </c>
      <c r="N1103" s="8">
        <v>0</v>
      </c>
      <c r="O1103" s="8">
        <f>SUMIFS(EIAwtransport!$J$2:$J$675,EIAwtransport!$E$2:$E$675,Program_data!$E1103,EIAwtransport!$H$2:$H$675,Program_data!$F1103,EIAwtransport!$I$2:$I$675,Program_data!O$2)</f>
        <v>219489723</v>
      </c>
      <c r="P1103" s="5">
        <f>SUMIFS(EIAwtransport!$J$2:$J$675,EIAwtransport!$E$2:$E$675,Program_data!$E1103,EIAwtransport!$H$2:$H$675,Program_data!$F1103,EIAwtransport!$I$2:$I$675,Program_data!P$2)</f>
        <v>45049322</v>
      </c>
      <c r="Q1103" s="5">
        <f>SUMIFS(EIAwtransport!$J$2:$J$675,EIAwtransport!$E$2:$E$675,Program_data!$E1103,EIAwtransport!$H$2:$H$675,Program_data!$F1103,EIAwtransport!$I$2:$I$675,Program_data!Q$2)</f>
        <v>36107</v>
      </c>
      <c r="R1103" s="8">
        <f>SUMIFS(EIAwtransport!$J$2:$J$675,EIAwtransport!$E$2:$E$675,Program_data!$E1103,EIAwtransport!$I$2:$I$675,Program_data!R$2)</f>
        <v>526109473</v>
      </c>
      <c r="S1103" s="5">
        <f>SUMIFS(EIAwtransport!$J$2:$J$675,EIAwtransport!$E$2:$E$675,Program_data!$E1103,EIAwtransport!$I$2:$I$675,Program_data!S$2)</f>
        <v>80336233</v>
      </c>
      <c r="T1103" s="5">
        <f>SUMIFS(EIAwtransport!$J$2:$J$675,EIAwtransport!$E$2:$E$675,Program_data!$E1103,EIAwtransport!$I$2:$I$675,Program_data!T$2)</f>
        <v>474354</v>
      </c>
      <c r="U1103" s="24">
        <f t="shared" si="347"/>
        <v>7.3292344788320955E-7</v>
      </c>
      <c r="V1103" s="24">
        <f t="shared" si="356"/>
        <v>7.3292344788320955E-7</v>
      </c>
      <c r="W1103" s="24">
        <f t="shared" si="348"/>
        <v>1.2482573184915833E-4</v>
      </c>
      <c r="X1103" s="25">
        <f t="shared" si="349"/>
        <v>7.8905817490796944E-5</v>
      </c>
      <c r="Y1103" s="8">
        <f t="shared" si="354"/>
        <v>8.3714159333774397E-3</v>
      </c>
      <c r="Z1103" s="27">
        <f t="shared" si="355"/>
        <v>5.1123523344296755E-3</v>
      </c>
      <c r="AA1103" s="27"/>
      <c r="AB1103" s="40">
        <v>61</v>
      </c>
      <c r="AC1103" s="56">
        <f t="shared" si="357"/>
        <v>1.936136689980715E-5</v>
      </c>
      <c r="AE1103" s="20">
        <f t="shared" si="341"/>
        <v>0</v>
      </c>
      <c r="AF1103" s="20">
        <f t="shared" si="342"/>
        <v>710247788.55000007</v>
      </c>
      <c r="AG1103">
        <f t="shared" si="351"/>
        <v>64342.8</v>
      </c>
      <c r="AH1103">
        <f t="shared" si="352"/>
        <v>64342.8</v>
      </c>
      <c r="AI1103">
        <f t="shared" si="353"/>
        <v>8473865856.8400002</v>
      </c>
    </row>
    <row r="1104" spans="2:35" x14ac:dyDescent="0.25">
      <c r="B1104" s="4">
        <v>2025</v>
      </c>
      <c r="C1104" s="4" t="s">
        <v>241</v>
      </c>
      <c r="D1104" s="1" t="s">
        <v>242</v>
      </c>
      <c r="E1104" s="4" t="str">
        <f t="shared" si="343"/>
        <v>Xcel-MN</v>
      </c>
      <c r="F1104" s="4" t="s">
        <v>146</v>
      </c>
      <c r="G1104" s="4"/>
      <c r="H1104" s="11" t="s">
        <v>497</v>
      </c>
      <c r="I1104" s="4"/>
      <c r="J1104" s="4" t="s">
        <v>142</v>
      </c>
      <c r="K1104" s="5">
        <v>48060</v>
      </c>
      <c r="L1104" s="5">
        <f t="shared" si="350"/>
        <v>48060</v>
      </c>
      <c r="M1104" s="8">
        <v>95657</v>
      </c>
      <c r="N1104" s="8">
        <v>26022</v>
      </c>
      <c r="O1104" s="8">
        <f>SUMIFS(EIAwtransport!$J$2:$J$675,EIAwtransport!$E$2:$E$675,Program_data!$E1104,EIAwtransport!$H$2:$H$675,Program_data!$F1104,EIAwtransport!$I$2:$I$675,Program_data!O$2)</f>
        <v>219489723</v>
      </c>
      <c r="P1104" s="5">
        <f>SUMIFS(EIAwtransport!$J$2:$J$675,EIAwtransport!$E$2:$E$675,Program_data!$E1104,EIAwtransport!$H$2:$H$675,Program_data!$F1104,EIAwtransport!$I$2:$I$675,Program_data!P$2)</f>
        <v>45049322</v>
      </c>
      <c r="Q1104" s="5">
        <f>SUMIFS(EIAwtransport!$J$2:$J$675,EIAwtransport!$E$2:$E$675,Program_data!$E1104,EIAwtransport!$H$2:$H$675,Program_data!$F1104,EIAwtransport!$I$2:$I$675,Program_data!Q$2)</f>
        <v>36107</v>
      </c>
      <c r="R1104" s="8">
        <f>SUMIFS(EIAwtransport!$J$2:$J$675,EIAwtransport!$E$2:$E$675,Program_data!$E1104,EIAwtransport!$I$2:$I$675,Program_data!R$2)</f>
        <v>526109473</v>
      </c>
      <c r="S1104" s="5">
        <f>SUMIFS(EIAwtransport!$J$2:$J$675,EIAwtransport!$E$2:$E$675,Program_data!$E1104,EIAwtransport!$I$2:$I$675,Program_data!S$2)</f>
        <v>80336233</v>
      </c>
      <c r="T1104" s="5">
        <f>SUMIFS(EIAwtransport!$J$2:$J$675,EIAwtransport!$E$2:$E$675,Program_data!$E1104,EIAwtransport!$I$2:$I$675,Program_data!T$2)</f>
        <v>474354</v>
      </c>
      <c r="U1104" s="24">
        <f t="shared" si="347"/>
        <v>5.7744755582405001E-5</v>
      </c>
      <c r="V1104" s="24">
        <f t="shared" si="356"/>
        <v>5.7744755582405001E-5</v>
      </c>
      <c r="W1104" s="24">
        <f t="shared" si="348"/>
        <v>1.8181957350918104E-4</v>
      </c>
      <c r="X1104" s="25">
        <f t="shared" si="349"/>
        <v>1.1493321025272817E-4</v>
      </c>
      <c r="Y1104" s="8">
        <f t="shared" si="354"/>
        <v>1.2193697982992534E-2</v>
      </c>
      <c r="Z1104" s="27">
        <f t="shared" si="355"/>
        <v>7.446587392717436E-3</v>
      </c>
      <c r="AA1104" s="27"/>
      <c r="AB1104" s="40">
        <v>5536</v>
      </c>
      <c r="AC1104" s="56">
        <f t="shared" si="357"/>
        <v>1.5254217921389041E-3</v>
      </c>
      <c r="AE1104" s="20">
        <f t="shared" si="341"/>
        <v>35129.700000000004</v>
      </c>
      <c r="AF1104" s="20">
        <f t="shared" si="342"/>
        <v>710247788.55000007</v>
      </c>
      <c r="AG1104">
        <f t="shared" si="351"/>
        <v>5069368.8</v>
      </c>
      <c r="AH1104">
        <f t="shared" si="352"/>
        <v>5069368.8</v>
      </c>
      <c r="AI1104">
        <f t="shared" si="353"/>
        <v>8473865856.8400002</v>
      </c>
    </row>
    <row r="1105" spans="2:35" x14ac:dyDescent="0.25">
      <c r="B1105" s="4">
        <v>2025</v>
      </c>
      <c r="C1105" s="4" t="s">
        <v>241</v>
      </c>
      <c r="D1105" s="1" t="s">
        <v>242</v>
      </c>
      <c r="E1105" s="4" t="str">
        <f t="shared" si="343"/>
        <v>Xcel-MN</v>
      </c>
      <c r="F1105" s="4" t="s">
        <v>146</v>
      </c>
      <c r="G1105" s="4"/>
      <c r="H1105" s="11" t="s">
        <v>498</v>
      </c>
      <c r="I1105" s="4"/>
      <c r="J1105" s="4" t="s">
        <v>142</v>
      </c>
      <c r="K1105" s="5">
        <v>1266240</v>
      </c>
      <c r="L1105" s="5">
        <f t="shared" si="350"/>
        <v>1266240</v>
      </c>
      <c r="M1105" s="8">
        <v>1513609</v>
      </c>
      <c r="N1105" s="8">
        <v>967372</v>
      </c>
      <c r="O1105" s="8">
        <f>SUMIFS(EIAwtransport!$J$2:$J$675,EIAwtransport!$E$2:$E$675,Program_data!$E1105,EIAwtransport!$H$2:$H$675,Program_data!$F1105,EIAwtransport!$I$2:$I$675,Program_data!O$2)</f>
        <v>219489723</v>
      </c>
      <c r="P1105" s="5">
        <f>SUMIFS(EIAwtransport!$J$2:$J$675,EIAwtransport!$E$2:$E$675,Program_data!$E1105,EIAwtransport!$H$2:$H$675,Program_data!$F1105,EIAwtransport!$I$2:$I$675,Program_data!P$2)</f>
        <v>45049322</v>
      </c>
      <c r="Q1105" s="5">
        <f>SUMIFS(EIAwtransport!$J$2:$J$675,EIAwtransport!$E$2:$E$675,Program_data!$E1105,EIAwtransport!$H$2:$H$675,Program_data!$F1105,EIAwtransport!$I$2:$I$675,Program_data!Q$2)</f>
        <v>36107</v>
      </c>
      <c r="R1105" s="8">
        <f>SUMIFS(EIAwtransport!$J$2:$J$675,EIAwtransport!$E$2:$E$675,Program_data!$E1105,EIAwtransport!$I$2:$I$675,Program_data!R$2)</f>
        <v>526109473</v>
      </c>
      <c r="S1105" s="5">
        <f>SUMIFS(EIAwtransport!$J$2:$J$675,EIAwtransport!$E$2:$E$675,Program_data!$E1105,EIAwtransport!$I$2:$I$675,Program_data!S$2)</f>
        <v>80336233</v>
      </c>
      <c r="T1105" s="5">
        <f>SUMIFS(EIAwtransport!$J$2:$J$675,EIAwtransport!$E$2:$E$675,Program_data!$E1105,EIAwtransport!$I$2:$I$675,Program_data!T$2)</f>
        <v>474354</v>
      </c>
      <c r="U1105" s="24">
        <f t="shared" si="347"/>
        <v>1.5214048961436643E-3</v>
      </c>
      <c r="V1105" s="24">
        <f t="shared" si="356"/>
        <v>1.5214048961436643E-3</v>
      </c>
      <c r="W1105" s="24">
        <f t="shared" si="348"/>
        <v>2.8769848818137513E-3</v>
      </c>
      <c r="X1105" s="25">
        <f t="shared" si="349"/>
        <v>1.8186221754541917E-3</v>
      </c>
      <c r="Y1105" s="8">
        <f t="shared" si="354"/>
        <v>0.19294448927249805</v>
      </c>
      <c r="Z1105" s="27">
        <f t="shared" si="355"/>
        <v>0.11782955452192359</v>
      </c>
      <c r="AA1105" s="27"/>
      <c r="AB1105" s="40">
        <v>133232</v>
      </c>
      <c r="AC1105" s="56">
        <f t="shared" si="357"/>
        <v>4.0190388890511151E-2</v>
      </c>
      <c r="AE1105" s="20">
        <f t="shared" si="341"/>
        <v>1305952.2000000002</v>
      </c>
      <c r="AF1105" s="20">
        <f t="shared" si="342"/>
        <v>710247788.55000007</v>
      </c>
      <c r="AG1105">
        <f t="shared" si="351"/>
        <v>133562995.2</v>
      </c>
      <c r="AH1105">
        <f t="shared" si="352"/>
        <v>133562995.2</v>
      </c>
      <c r="AI1105">
        <f t="shared" si="353"/>
        <v>8473865856.8400002</v>
      </c>
    </row>
    <row r="1106" spans="2:35" x14ac:dyDescent="0.25">
      <c r="B1106" s="4">
        <v>2025</v>
      </c>
      <c r="C1106" s="4" t="s">
        <v>241</v>
      </c>
      <c r="D1106" s="1" t="s">
        <v>242</v>
      </c>
      <c r="E1106" s="4" t="str">
        <f t="shared" si="343"/>
        <v>Xcel-MN</v>
      </c>
      <c r="F1106" s="4" t="s">
        <v>146</v>
      </c>
      <c r="G1106" s="4"/>
      <c r="H1106" s="11" t="s">
        <v>499</v>
      </c>
      <c r="I1106" s="4"/>
      <c r="J1106" s="4" t="s">
        <v>142</v>
      </c>
      <c r="K1106" s="5">
        <v>53410</v>
      </c>
      <c r="L1106" s="5">
        <f t="shared" si="350"/>
        <v>53410</v>
      </c>
      <c r="M1106" s="8">
        <v>31169</v>
      </c>
      <c r="N1106" s="8">
        <v>20856</v>
      </c>
      <c r="O1106" s="8">
        <f>SUMIFS(EIAwtransport!$J$2:$J$675,EIAwtransport!$E$2:$E$675,Program_data!$E1106,EIAwtransport!$H$2:$H$675,Program_data!$F1106,EIAwtransport!$I$2:$I$675,Program_data!O$2)</f>
        <v>219489723</v>
      </c>
      <c r="P1106" s="5">
        <f>SUMIFS(EIAwtransport!$J$2:$J$675,EIAwtransport!$E$2:$E$675,Program_data!$E1106,EIAwtransport!$H$2:$H$675,Program_data!$F1106,EIAwtransport!$I$2:$I$675,Program_data!P$2)</f>
        <v>45049322</v>
      </c>
      <c r="Q1106" s="5">
        <f>SUMIFS(EIAwtransport!$J$2:$J$675,EIAwtransport!$E$2:$E$675,Program_data!$E1106,EIAwtransport!$H$2:$H$675,Program_data!$F1106,EIAwtransport!$I$2:$I$675,Program_data!Q$2)</f>
        <v>36107</v>
      </c>
      <c r="R1106" s="8">
        <f>SUMIFS(EIAwtransport!$J$2:$J$675,EIAwtransport!$E$2:$E$675,Program_data!$E1106,EIAwtransport!$I$2:$I$675,Program_data!R$2)</f>
        <v>526109473</v>
      </c>
      <c r="S1106" s="5">
        <f>SUMIFS(EIAwtransport!$J$2:$J$675,EIAwtransport!$E$2:$E$675,Program_data!$E1106,EIAwtransport!$I$2:$I$675,Program_data!S$2)</f>
        <v>80336233</v>
      </c>
      <c r="T1106" s="5">
        <f>SUMIFS(EIAwtransport!$J$2:$J$675,EIAwtransport!$E$2:$E$675,Program_data!$E1106,EIAwtransport!$I$2:$I$675,Program_data!T$2)</f>
        <v>474354</v>
      </c>
      <c r="U1106" s="24">
        <f t="shared" si="347"/>
        <v>6.4172854674495451E-5</v>
      </c>
      <c r="V1106" s="24">
        <f t="shared" si="356"/>
        <v>6.4172854674495451E-5</v>
      </c>
      <c r="W1106" s="24">
        <f t="shared" si="348"/>
        <v>5.9244323851967593E-5</v>
      </c>
      <c r="X1106" s="25">
        <f t="shared" si="349"/>
        <v>3.7449985159134033E-5</v>
      </c>
      <c r="Y1106" s="8">
        <f t="shared" si="354"/>
        <v>3.9732102452710652E-3</v>
      </c>
      <c r="Z1106" s="27">
        <f t="shared" si="355"/>
        <v>2.426405620535975E-3</v>
      </c>
      <c r="AA1106" s="27"/>
      <c r="AB1106" s="40">
        <v>5341</v>
      </c>
      <c r="AC1106" s="56">
        <f t="shared" si="357"/>
        <v>1.695230501833934E-3</v>
      </c>
      <c r="AE1106" s="20">
        <f t="shared" si="341"/>
        <v>28155.600000000002</v>
      </c>
      <c r="AF1106" s="20">
        <f t="shared" si="342"/>
        <v>710247788.55000007</v>
      </c>
      <c r="AG1106">
        <f t="shared" si="351"/>
        <v>5633686.7999999998</v>
      </c>
      <c r="AH1106">
        <f t="shared" si="352"/>
        <v>5633686.7999999998</v>
      </c>
      <c r="AI1106">
        <f t="shared" si="353"/>
        <v>8473865856.8400002</v>
      </c>
    </row>
    <row r="1107" spans="2:35" x14ac:dyDescent="0.25">
      <c r="B1107" s="4">
        <v>2025</v>
      </c>
      <c r="C1107" s="4" t="s">
        <v>241</v>
      </c>
      <c r="D1107" s="1" t="s">
        <v>242</v>
      </c>
      <c r="E1107" s="4" t="str">
        <f t="shared" si="343"/>
        <v>Xcel-MN</v>
      </c>
      <c r="F1107" s="4" t="s">
        <v>146</v>
      </c>
      <c r="G1107" s="4"/>
      <c r="H1107" s="11" t="s">
        <v>500</v>
      </c>
      <c r="I1107" s="4"/>
      <c r="J1107" s="4" t="s">
        <v>142</v>
      </c>
      <c r="K1107" s="5">
        <v>436310</v>
      </c>
      <c r="L1107" s="5">
        <f t="shared" si="350"/>
        <v>436310</v>
      </c>
      <c r="M1107" s="8">
        <v>960214</v>
      </c>
      <c r="N1107" s="8">
        <v>78486</v>
      </c>
      <c r="O1107" s="8">
        <f>SUMIFS(EIAwtransport!$J$2:$J$675,EIAwtransport!$E$2:$E$675,Program_data!$E1107,EIAwtransport!$H$2:$H$675,Program_data!$F1107,EIAwtransport!$I$2:$I$675,Program_data!O$2)</f>
        <v>219489723</v>
      </c>
      <c r="P1107" s="5">
        <f>SUMIFS(EIAwtransport!$J$2:$J$675,EIAwtransport!$E$2:$E$675,Program_data!$E1107,EIAwtransport!$H$2:$H$675,Program_data!$F1107,EIAwtransport!$I$2:$I$675,Program_data!P$2)</f>
        <v>45049322</v>
      </c>
      <c r="Q1107" s="5">
        <f>SUMIFS(EIAwtransport!$J$2:$J$675,EIAwtransport!$E$2:$E$675,Program_data!$E1107,EIAwtransport!$H$2:$H$675,Program_data!$F1107,EIAwtransport!$I$2:$I$675,Program_data!Q$2)</f>
        <v>36107</v>
      </c>
      <c r="R1107" s="8">
        <f>SUMIFS(EIAwtransport!$J$2:$J$675,EIAwtransport!$E$2:$E$675,Program_data!$E1107,EIAwtransport!$I$2:$I$675,Program_data!R$2)</f>
        <v>526109473</v>
      </c>
      <c r="S1107" s="5">
        <f>SUMIFS(EIAwtransport!$J$2:$J$675,EIAwtransport!$E$2:$E$675,Program_data!$E1107,EIAwtransport!$I$2:$I$675,Program_data!S$2)</f>
        <v>80336233</v>
      </c>
      <c r="T1107" s="5">
        <f>SUMIFS(EIAwtransport!$J$2:$J$675,EIAwtransport!$E$2:$E$675,Program_data!$E1107,EIAwtransport!$I$2:$I$675,Program_data!T$2)</f>
        <v>474354</v>
      </c>
      <c r="U1107" s="24">
        <f t="shared" si="347"/>
        <v>5.242325074523331E-4</v>
      </c>
      <c r="V1107" s="24">
        <f t="shared" si="356"/>
        <v>5.242325074523331E-4</v>
      </c>
      <c r="W1107" s="24">
        <f t="shared" si="348"/>
        <v>1.8251220502163434E-3</v>
      </c>
      <c r="X1107" s="25">
        <f t="shared" si="349"/>
        <v>1.153710418992997E-3</v>
      </c>
      <c r="Y1107" s="8">
        <f t="shared" si="354"/>
        <v>0.12240149194560976</v>
      </c>
      <c r="Z1107" s="27">
        <f t="shared" si="355"/>
        <v>7.4749547515715317E-2</v>
      </c>
      <c r="AA1107" s="27"/>
      <c r="AB1107" s="40">
        <v>32052</v>
      </c>
      <c r="AC1107" s="56">
        <f t="shared" si="357"/>
        <v>1.3848455724680093E-2</v>
      </c>
      <c r="AE1107" s="20">
        <f t="shared" si="341"/>
        <v>105956.1</v>
      </c>
      <c r="AF1107" s="20">
        <f t="shared" si="342"/>
        <v>710247788.55000007</v>
      </c>
      <c r="AG1107">
        <f t="shared" si="351"/>
        <v>46021978.800000004</v>
      </c>
      <c r="AH1107">
        <f t="shared" si="352"/>
        <v>46021978.800000004</v>
      </c>
      <c r="AI1107">
        <f t="shared" si="353"/>
        <v>8473865856.8400002</v>
      </c>
    </row>
    <row r="1108" spans="2:35" x14ac:dyDescent="0.25">
      <c r="B1108" s="4">
        <v>2025</v>
      </c>
      <c r="C1108" s="4" t="s">
        <v>241</v>
      </c>
      <c r="D1108" s="1" t="s">
        <v>242</v>
      </c>
      <c r="E1108" s="4" t="str">
        <f t="shared" si="343"/>
        <v>Xcel-MN</v>
      </c>
      <c r="F1108" s="4" t="s">
        <v>146</v>
      </c>
      <c r="G1108" s="4"/>
      <c r="H1108" s="11" t="s">
        <v>501</v>
      </c>
      <c r="I1108" s="4"/>
      <c r="J1108" s="4" t="s">
        <v>142</v>
      </c>
      <c r="K1108" s="5">
        <v>3150310</v>
      </c>
      <c r="L1108" s="5">
        <f t="shared" si="350"/>
        <v>3150310</v>
      </c>
      <c r="M1108" s="8">
        <v>1073364</v>
      </c>
      <c r="N1108" s="8">
        <v>767482</v>
      </c>
      <c r="O1108" s="8">
        <f>SUMIFS(EIAwtransport!$J$2:$J$675,EIAwtransport!$E$2:$E$675,Program_data!$E1108,EIAwtransport!$H$2:$H$675,Program_data!$F1108,EIAwtransport!$I$2:$I$675,Program_data!O$2)</f>
        <v>219489723</v>
      </c>
      <c r="P1108" s="5">
        <f>SUMIFS(EIAwtransport!$J$2:$J$675,EIAwtransport!$E$2:$E$675,Program_data!$E1108,EIAwtransport!$H$2:$H$675,Program_data!$F1108,EIAwtransport!$I$2:$I$675,Program_data!P$2)</f>
        <v>45049322</v>
      </c>
      <c r="Q1108" s="5">
        <f>SUMIFS(EIAwtransport!$J$2:$J$675,EIAwtransport!$E$2:$E$675,Program_data!$E1108,EIAwtransport!$H$2:$H$675,Program_data!$F1108,EIAwtransport!$I$2:$I$675,Program_data!Q$2)</f>
        <v>36107</v>
      </c>
      <c r="R1108" s="8">
        <f>SUMIFS(EIAwtransport!$J$2:$J$675,EIAwtransport!$E$2:$E$675,Program_data!$E1108,EIAwtransport!$I$2:$I$675,Program_data!R$2)</f>
        <v>526109473</v>
      </c>
      <c r="S1108" s="5">
        <f>SUMIFS(EIAwtransport!$J$2:$J$675,EIAwtransport!$E$2:$E$675,Program_data!$E1108,EIAwtransport!$I$2:$I$675,Program_data!S$2)</f>
        <v>80336233</v>
      </c>
      <c r="T1108" s="5">
        <f>SUMIFS(EIAwtransport!$J$2:$J$675,EIAwtransport!$E$2:$E$675,Program_data!$E1108,EIAwtransport!$I$2:$I$675,Program_data!T$2)</f>
        <v>474354</v>
      </c>
      <c r="U1108" s="24">
        <f t="shared" si="347"/>
        <v>3.7851410936081214E-3</v>
      </c>
      <c r="V1108" s="24">
        <f t="shared" si="356"/>
        <v>3.7851410936081214E-3</v>
      </c>
      <c r="W1108" s="24">
        <f t="shared" si="348"/>
        <v>2.0401913576644534E-3</v>
      </c>
      <c r="X1108" s="25">
        <f t="shared" si="349"/>
        <v>1.2896617110060874E-3</v>
      </c>
      <c r="Y1108" s="8">
        <f t="shared" si="354"/>
        <v>0.13682507753553633</v>
      </c>
      <c r="Z1108" s="27">
        <f t="shared" si="355"/>
        <v>8.3557908257594918E-2</v>
      </c>
      <c r="AA1108" s="27"/>
      <c r="AB1108" s="40">
        <v>283328</v>
      </c>
      <c r="AC1108" s="56">
        <f t="shared" si="357"/>
        <v>9.9990668455953211E-2</v>
      </c>
      <c r="AE1108" s="20">
        <f t="shared" si="341"/>
        <v>1036100.7000000001</v>
      </c>
      <c r="AF1108" s="20">
        <f t="shared" si="342"/>
        <v>710247788.55000007</v>
      </c>
      <c r="AG1108">
        <f t="shared" si="351"/>
        <v>332294698.80000001</v>
      </c>
      <c r="AH1108">
        <f t="shared" si="352"/>
        <v>332294698.80000001</v>
      </c>
      <c r="AI1108">
        <f t="shared" si="353"/>
        <v>8473865856.8400002</v>
      </c>
    </row>
    <row r="1109" spans="2:35" x14ac:dyDescent="0.25">
      <c r="B1109" s="4">
        <v>2025</v>
      </c>
      <c r="C1109" s="4" t="s">
        <v>241</v>
      </c>
      <c r="D1109" s="1" t="s">
        <v>242</v>
      </c>
      <c r="E1109" s="4" t="str">
        <f t="shared" si="343"/>
        <v>Xcel-MN</v>
      </c>
      <c r="F1109" s="4" t="s">
        <v>146</v>
      </c>
      <c r="G1109" s="4"/>
      <c r="H1109" s="11" t="s">
        <v>502</v>
      </c>
      <c r="I1109" s="4"/>
      <c r="J1109" s="4" t="s">
        <v>142</v>
      </c>
      <c r="K1109" s="5">
        <v>1590260</v>
      </c>
      <c r="L1109" s="5">
        <f t="shared" si="350"/>
        <v>1590260</v>
      </c>
      <c r="M1109" s="8">
        <v>1399023</v>
      </c>
      <c r="N1109" s="8">
        <v>756573</v>
      </c>
      <c r="O1109" s="8">
        <f>SUMIFS(EIAwtransport!$J$2:$J$675,EIAwtransport!$E$2:$E$675,Program_data!$E1109,EIAwtransport!$H$2:$H$675,Program_data!$F1109,EIAwtransport!$I$2:$I$675,Program_data!O$2)</f>
        <v>219489723</v>
      </c>
      <c r="P1109" s="5">
        <f>SUMIFS(EIAwtransport!$J$2:$J$675,EIAwtransport!$E$2:$E$675,Program_data!$E1109,EIAwtransport!$H$2:$H$675,Program_data!$F1109,EIAwtransport!$I$2:$I$675,Program_data!P$2)</f>
        <v>45049322</v>
      </c>
      <c r="Q1109" s="5">
        <f>SUMIFS(EIAwtransport!$J$2:$J$675,EIAwtransport!$E$2:$E$675,Program_data!$E1109,EIAwtransport!$H$2:$H$675,Program_data!$F1109,EIAwtransport!$I$2:$I$675,Program_data!Q$2)</f>
        <v>36107</v>
      </c>
      <c r="R1109" s="8">
        <f>SUMIFS(EIAwtransport!$J$2:$J$675,EIAwtransport!$E$2:$E$675,Program_data!$E1109,EIAwtransport!$I$2:$I$675,Program_data!R$2)</f>
        <v>526109473</v>
      </c>
      <c r="S1109" s="5">
        <f>SUMIFS(EIAwtransport!$J$2:$J$675,EIAwtransport!$E$2:$E$675,Program_data!$E1109,EIAwtransport!$I$2:$I$675,Program_data!S$2)</f>
        <v>80336233</v>
      </c>
      <c r="T1109" s="5">
        <f>SUMIFS(EIAwtransport!$J$2:$J$675,EIAwtransport!$E$2:$E$675,Program_data!$E1109,EIAwtransport!$I$2:$I$675,Program_data!T$2)</f>
        <v>474354</v>
      </c>
      <c r="U1109" s="24">
        <f t="shared" si="347"/>
        <v>1.9107194134930375E-3</v>
      </c>
      <c r="V1109" s="24">
        <f t="shared" si="356"/>
        <v>1.9107194134930375E-3</v>
      </c>
      <c r="W1109" s="24">
        <f t="shared" si="348"/>
        <v>2.6591861044098705E-3</v>
      </c>
      <c r="X1109" s="25">
        <f t="shared" si="349"/>
        <v>1.6809455095539534E-3</v>
      </c>
      <c r="Y1109" s="8">
        <f t="shared" si="354"/>
        <v>0.17833785225608334</v>
      </c>
      <c r="Z1109" s="27">
        <f t="shared" si="355"/>
        <v>0.10890940583461456</v>
      </c>
      <c r="AA1109" s="27"/>
      <c r="AB1109" s="40">
        <v>165470</v>
      </c>
      <c r="AC1109" s="56">
        <f t="shared" si="357"/>
        <v>5.0474766108339862E-2</v>
      </c>
      <c r="AE1109" s="20">
        <f t="shared" si="341"/>
        <v>1021373.55</v>
      </c>
      <c r="AF1109" s="20">
        <f t="shared" si="342"/>
        <v>710247788.55000007</v>
      </c>
      <c r="AG1109">
        <f t="shared" si="351"/>
        <v>167740624.80000001</v>
      </c>
      <c r="AH1109">
        <f t="shared" si="352"/>
        <v>167740624.80000001</v>
      </c>
      <c r="AI1109">
        <f t="shared" si="353"/>
        <v>8473865856.8400002</v>
      </c>
    </row>
    <row r="1110" spans="2:35" x14ac:dyDescent="0.25">
      <c r="B1110" s="4">
        <v>2025</v>
      </c>
      <c r="C1110" s="4" t="s">
        <v>241</v>
      </c>
      <c r="D1110" s="1" t="s">
        <v>242</v>
      </c>
      <c r="E1110" s="4" t="str">
        <f t="shared" si="343"/>
        <v>Xcel-MN</v>
      </c>
      <c r="F1110" s="4" t="s">
        <v>143</v>
      </c>
      <c r="G1110" s="4">
        <v>1</v>
      </c>
      <c r="H1110" s="11" t="s">
        <v>503</v>
      </c>
      <c r="I1110" s="4"/>
      <c r="J1110" s="4" t="s">
        <v>108</v>
      </c>
      <c r="K1110" s="5">
        <v>4600</v>
      </c>
      <c r="L1110" s="5">
        <f t="shared" si="350"/>
        <v>4600</v>
      </c>
      <c r="M1110" s="8">
        <v>198540</v>
      </c>
      <c r="N1110" s="8">
        <v>187079</v>
      </c>
      <c r="O1110" s="8">
        <f>SUMIFS(EIAwtransport!$J$2:$J$675,EIAwtransport!$E$2:$E$675,Program_data!$E1110,EIAwtransport!$H$2:$H$675,Program_data!$F1110,EIAwtransport!$I$2:$I$675,Program_data!O$2)</f>
        <v>0</v>
      </c>
      <c r="P1110" s="5">
        <f>SUMIFS(EIAwtransport!$J$2:$J$675,EIAwtransport!$E$2:$E$675,Program_data!$E1110,EIAwtransport!$H$2:$H$675,Program_data!$F1110,EIAwtransport!$I$2:$I$675,Program_data!P$2)</f>
        <v>0</v>
      </c>
      <c r="Q1110" s="5">
        <f>SUMIFS(EIAwtransport!$J$2:$J$675,EIAwtransport!$E$2:$E$675,Program_data!$E1110,EIAwtransport!$H$2:$H$675,Program_data!$F1110,EIAwtransport!$I$2:$I$675,Program_data!Q$2)</f>
        <v>0</v>
      </c>
      <c r="R1110" s="8">
        <f>SUMIFS(EIAwtransport!$J$2:$J$675,EIAwtransport!$E$2:$E$675,Program_data!$E1110,EIAwtransport!$I$2:$I$675,Program_data!R$2)</f>
        <v>526109473</v>
      </c>
      <c r="S1110" s="5">
        <f>SUMIFS(EIAwtransport!$J$2:$J$675,EIAwtransport!$E$2:$E$675,Program_data!$E1110,EIAwtransport!$I$2:$I$675,Program_data!S$2)</f>
        <v>80336233</v>
      </c>
      <c r="T1110" s="5">
        <f>SUMIFS(EIAwtransport!$J$2:$J$675,EIAwtransport!$E$2:$E$675,Program_data!$E1110,EIAwtransport!$I$2:$I$675,Program_data!T$2)</f>
        <v>474354</v>
      </c>
      <c r="U1110" s="24">
        <f t="shared" si="347"/>
        <v>5.5269637053487935E-6</v>
      </c>
      <c r="V1110" s="24">
        <f t="shared" si="356"/>
        <v>5.5269637053487935E-6</v>
      </c>
      <c r="W1110" s="24">
        <f t="shared" si="348"/>
        <v>3.7737393107156617E-4</v>
      </c>
      <c r="X1110" s="25">
        <f t="shared" si="349"/>
        <v>2.3854855957824989E-4</v>
      </c>
      <c r="Y1110" s="8">
        <f t="shared" si="354"/>
        <v>0.59895016290575598</v>
      </c>
      <c r="Z1110" s="27">
        <f t="shared" si="355"/>
        <v>1.545569546348014E-2</v>
      </c>
      <c r="AA1110" s="27"/>
      <c r="AB1110" s="40">
        <v>460</v>
      </c>
      <c r="AC1110" s="56">
        <f t="shared" si="357"/>
        <v>1.4600375039198834E-4</v>
      </c>
      <c r="AE1110" s="20">
        <f t="shared" si="341"/>
        <v>252556.65000000002</v>
      </c>
      <c r="AF1110" s="20">
        <f t="shared" si="342"/>
        <v>710247788.55000007</v>
      </c>
      <c r="AG1110">
        <f t="shared" si="351"/>
        <v>485208</v>
      </c>
      <c r="AH1110">
        <f t="shared" si="352"/>
        <v>485208</v>
      </c>
      <c r="AI1110">
        <f t="shared" si="353"/>
        <v>8473865856.8400002</v>
      </c>
    </row>
    <row r="1111" spans="2:35" x14ac:dyDescent="0.25">
      <c r="B1111" s="4">
        <v>2025</v>
      </c>
      <c r="C1111" s="4" t="s">
        <v>241</v>
      </c>
      <c r="D1111" s="1" t="s">
        <v>242</v>
      </c>
      <c r="E1111" s="4" t="str">
        <f t="shared" si="343"/>
        <v>Xcel-MN</v>
      </c>
      <c r="F1111" s="4" t="s">
        <v>143</v>
      </c>
      <c r="G1111" s="4">
        <v>1</v>
      </c>
      <c r="H1111" s="11" t="s">
        <v>504</v>
      </c>
      <c r="I1111" s="4"/>
      <c r="J1111" s="4" t="s">
        <v>108</v>
      </c>
      <c r="K1111" s="5">
        <v>103780</v>
      </c>
      <c r="L1111" s="5">
        <f t="shared" si="350"/>
        <v>103780</v>
      </c>
      <c r="M1111" s="8">
        <v>3539922</v>
      </c>
      <c r="N1111" s="8">
        <v>2852021</v>
      </c>
      <c r="O1111" s="8">
        <f>SUMIFS(EIAwtransport!$J$2:$J$675,EIAwtransport!$E$2:$E$675,Program_data!$E1111,EIAwtransport!$H$2:$H$675,Program_data!$F1111,EIAwtransport!$I$2:$I$675,Program_data!O$2)</f>
        <v>0</v>
      </c>
      <c r="P1111" s="5">
        <f>SUMIFS(EIAwtransport!$J$2:$J$675,EIAwtransport!$E$2:$E$675,Program_data!$E1111,EIAwtransport!$H$2:$H$675,Program_data!$F1111,EIAwtransport!$I$2:$I$675,Program_data!P$2)</f>
        <v>0</v>
      </c>
      <c r="Q1111" s="5">
        <f>SUMIFS(EIAwtransport!$J$2:$J$675,EIAwtransport!$E$2:$E$675,Program_data!$E1111,EIAwtransport!$H$2:$H$675,Program_data!$F1111,EIAwtransport!$I$2:$I$675,Program_data!Q$2)</f>
        <v>0</v>
      </c>
      <c r="R1111" s="8">
        <f>SUMIFS(EIAwtransport!$J$2:$J$675,EIAwtransport!$E$2:$E$675,Program_data!$E1111,EIAwtransport!$I$2:$I$675,Program_data!R$2)</f>
        <v>526109473</v>
      </c>
      <c r="S1111" s="5">
        <f>SUMIFS(EIAwtransport!$J$2:$J$675,EIAwtransport!$E$2:$E$675,Program_data!$E1111,EIAwtransport!$I$2:$I$675,Program_data!S$2)</f>
        <v>80336233</v>
      </c>
      <c r="T1111" s="5">
        <f>SUMIFS(EIAwtransport!$J$2:$J$675,EIAwtransport!$E$2:$E$675,Program_data!$E1111,EIAwtransport!$I$2:$I$675,Program_data!T$2)</f>
        <v>474354</v>
      </c>
      <c r="U1111" s="24">
        <f t="shared" si="347"/>
        <v>1.2469310724806472E-4</v>
      </c>
      <c r="V1111" s="24">
        <f t="shared" si="356"/>
        <v>1.2469310724806472E-4</v>
      </c>
      <c r="W1111" s="24">
        <f t="shared" si="348"/>
        <v>6.7284893765826564E-3</v>
      </c>
      <c r="X1111" s="25">
        <f t="shared" si="349"/>
        <v>4.2532653073403728E-3</v>
      </c>
      <c r="Y1111" s="8">
        <f t="shared" si="354"/>
        <v>10.67914202968505</v>
      </c>
      <c r="Z1111" s="27">
        <f t="shared" si="355"/>
        <v>0.27557145359360102</v>
      </c>
      <c r="AA1111" s="27"/>
      <c r="AB1111" s="40">
        <v>8963</v>
      </c>
      <c r="AC1111" s="56">
        <f t="shared" si="357"/>
        <v>3.2939715686262062E-3</v>
      </c>
      <c r="AE1111" s="20">
        <f t="shared" si="341"/>
        <v>3850228.35</v>
      </c>
      <c r="AF1111" s="20">
        <f t="shared" si="342"/>
        <v>710247788.55000007</v>
      </c>
      <c r="AG1111">
        <f t="shared" si="351"/>
        <v>10946714.4</v>
      </c>
      <c r="AH1111">
        <f t="shared" si="352"/>
        <v>10946714.4</v>
      </c>
      <c r="AI1111">
        <f t="shared" si="353"/>
        <v>8473865856.8400002</v>
      </c>
    </row>
    <row r="1112" spans="2:35" x14ac:dyDescent="0.25">
      <c r="B1112" s="4">
        <v>2025</v>
      </c>
      <c r="C1112" s="4" t="s">
        <v>241</v>
      </c>
      <c r="D1112" s="1" t="s">
        <v>242</v>
      </c>
      <c r="E1112" s="4" t="str">
        <f t="shared" si="343"/>
        <v>Xcel-MN</v>
      </c>
      <c r="F1112" s="4" t="s">
        <v>143</v>
      </c>
      <c r="G1112" s="4">
        <v>1</v>
      </c>
      <c r="H1112" s="11" t="s">
        <v>505</v>
      </c>
      <c r="I1112" s="4"/>
      <c r="J1112" s="4" t="s">
        <v>108</v>
      </c>
      <c r="K1112" s="5">
        <v>83780</v>
      </c>
      <c r="L1112" s="5">
        <f t="shared" si="350"/>
        <v>83780</v>
      </c>
      <c r="M1112" s="8">
        <v>378635</v>
      </c>
      <c r="N1112" s="8">
        <v>48996</v>
      </c>
      <c r="O1112" s="8">
        <f>SUMIFS(EIAwtransport!$J$2:$J$675,EIAwtransport!$E$2:$E$675,Program_data!$E1112,EIAwtransport!$H$2:$H$675,Program_data!$F1112,EIAwtransport!$I$2:$I$675,Program_data!O$2)</f>
        <v>0</v>
      </c>
      <c r="P1112" s="5">
        <f>SUMIFS(EIAwtransport!$J$2:$J$675,EIAwtransport!$E$2:$E$675,Program_data!$E1112,EIAwtransport!$H$2:$H$675,Program_data!$F1112,EIAwtransport!$I$2:$I$675,Program_data!P$2)</f>
        <v>0</v>
      </c>
      <c r="Q1112" s="5">
        <f>SUMIFS(EIAwtransport!$J$2:$J$675,EIAwtransport!$E$2:$E$675,Program_data!$E1112,EIAwtransport!$H$2:$H$675,Program_data!$F1112,EIAwtransport!$I$2:$I$675,Program_data!Q$2)</f>
        <v>0</v>
      </c>
      <c r="R1112" s="8">
        <f>SUMIFS(EIAwtransport!$J$2:$J$675,EIAwtransport!$E$2:$E$675,Program_data!$E1112,EIAwtransport!$I$2:$I$675,Program_data!R$2)</f>
        <v>526109473</v>
      </c>
      <c r="S1112" s="5">
        <f>SUMIFS(EIAwtransport!$J$2:$J$675,EIAwtransport!$E$2:$E$675,Program_data!$E1112,EIAwtransport!$I$2:$I$675,Program_data!S$2)</f>
        <v>80336233</v>
      </c>
      <c r="T1112" s="5">
        <f>SUMIFS(EIAwtransport!$J$2:$J$675,EIAwtransport!$E$2:$E$675,Program_data!$E1112,EIAwtransport!$I$2:$I$675,Program_data!T$2)</f>
        <v>474354</v>
      </c>
      <c r="U1112" s="24">
        <f t="shared" si="347"/>
        <v>1.0066283026828737E-4</v>
      </c>
      <c r="V1112" s="24">
        <f t="shared" si="356"/>
        <v>1.0066283026828737E-4</v>
      </c>
      <c r="W1112" s="24">
        <f t="shared" si="348"/>
        <v>7.1968861887419387E-4</v>
      </c>
      <c r="X1112" s="25">
        <f t="shared" si="349"/>
        <v>4.5493519621190014E-4</v>
      </c>
      <c r="Y1112" s="8">
        <f t="shared" si="354"/>
        <v>1.1422559430433208</v>
      </c>
      <c r="Z1112" s="27">
        <f t="shared" si="355"/>
        <v>2.9475507463557985E-2</v>
      </c>
      <c r="AA1112" s="27"/>
      <c r="AB1112" s="40">
        <v>6702</v>
      </c>
      <c r="AC1112" s="56">
        <f t="shared" si="357"/>
        <v>2.659172653878431E-3</v>
      </c>
      <c r="AE1112" s="20">
        <f t="shared" si="341"/>
        <v>66144.600000000006</v>
      </c>
      <c r="AF1112" s="20">
        <f t="shared" si="342"/>
        <v>710247788.55000007</v>
      </c>
      <c r="AG1112">
        <f t="shared" si="351"/>
        <v>8837114.4000000004</v>
      </c>
      <c r="AH1112">
        <f t="shared" si="352"/>
        <v>8837114.4000000004</v>
      </c>
      <c r="AI1112">
        <f t="shared" si="353"/>
        <v>8473865856.8400002</v>
      </c>
    </row>
    <row r="1113" spans="2:35" x14ac:dyDescent="0.25">
      <c r="B1113" s="4">
        <v>2025</v>
      </c>
      <c r="C1113" s="4" t="s">
        <v>241</v>
      </c>
      <c r="D1113" s="1" t="s">
        <v>242</v>
      </c>
      <c r="E1113" s="4" t="str">
        <f t="shared" si="343"/>
        <v>Xcel-MN</v>
      </c>
      <c r="F1113" s="4" t="s">
        <v>143</v>
      </c>
      <c r="G1113" s="4">
        <v>1</v>
      </c>
      <c r="H1113" s="11" t="s">
        <v>506</v>
      </c>
      <c r="I1113" s="4"/>
      <c r="J1113" s="4" t="s">
        <v>108</v>
      </c>
      <c r="K1113" s="5">
        <v>127770</v>
      </c>
      <c r="L1113" s="5">
        <f t="shared" si="350"/>
        <v>127770</v>
      </c>
      <c r="M1113" s="8">
        <v>253428</v>
      </c>
      <c r="N1113" s="8">
        <v>33017</v>
      </c>
      <c r="O1113" s="8">
        <f>SUMIFS(EIAwtransport!$J$2:$J$675,EIAwtransport!$E$2:$E$675,Program_data!$E1113,EIAwtransport!$H$2:$H$675,Program_data!$F1113,EIAwtransport!$I$2:$I$675,Program_data!O$2)</f>
        <v>0</v>
      </c>
      <c r="P1113" s="5">
        <f>SUMIFS(EIAwtransport!$J$2:$J$675,EIAwtransport!$E$2:$E$675,Program_data!$E1113,EIAwtransport!$H$2:$H$675,Program_data!$F1113,EIAwtransport!$I$2:$I$675,Program_data!P$2)</f>
        <v>0</v>
      </c>
      <c r="Q1113" s="5">
        <f>SUMIFS(EIAwtransport!$J$2:$J$675,EIAwtransport!$E$2:$E$675,Program_data!$E1113,EIAwtransport!$H$2:$H$675,Program_data!$F1113,EIAwtransport!$I$2:$I$675,Program_data!Q$2)</f>
        <v>0</v>
      </c>
      <c r="R1113" s="8">
        <f>SUMIFS(EIAwtransport!$J$2:$J$675,EIAwtransport!$E$2:$E$675,Program_data!$E1113,EIAwtransport!$I$2:$I$675,Program_data!R$2)</f>
        <v>526109473</v>
      </c>
      <c r="S1113" s="5">
        <f>SUMIFS(EIAwtransport!$J$2:$J$675,EIAwtransport!$E$2:$E$675,Program_data!$E1113,EIAwtransport!$I$2:$I$675,Program_data!S$2)</f>
        <v>80336233</v>
      </c>
      <c r="T1113" s="5">
        <f>SUMIFS(EIAwtransport!$J$2:$J$675,EIAwtransport!$E$2:$E$675,Program_data!$E1113,EIAwtransport!$I$2:$I$675,Program_data!T$2)</f>
        <v>474354</v>
      </c>
      <c r="U1113" s="24">
        <f t="shared" si="347"/>
        <v>1.5351742448530768E-4</v>
      </c>
      <c r="V1113" s="24">
        <f t="shared" si="356"/>
        <v>1.5351742448530768E-4</v>
      </c>
      <c r="W1113" s="24">
        <f t="shared" si="348"/>
        <v>4.8170202782111854E-4</v>
      </c>
      <c r="X1113" s="25">
        <f t="shared" si="349"/>
        <v>3.0449725172155092E-4</v>
      </c>
      <c r="Y1113" s="8">
        <f t="shared" si="354"/>
        <v>0.76453481356341257</v>
      </c>
      <c r="Z1113" s="27">
        <f t="shared" si="355"/>
        <v>1.972854835256797E-2</v>
      </c>
      <c r="AA1113" s="27"/>
      <c r="AB1113" s="40">
        <v>12459</v>
      </c>
      <c r="AC1113" s="56">
        <f t="shared" si="357"/>
        <v>4.0554128668661626E-3</v>
      </c>
      <c r="AE1113" s="20">
        <f t="shared" si="341"/>
        <v>44572.950000000004</v>
      </c>
      <c r="AF1113" s="20">
        <f t="shared" si="342"/>
        <v>710247788.55000007</v>
      </c>
      <c r="AG1113">
        <f t="shared" si="351"/>
        <v>13477179.6</v>
      </c>
      <c r="AH1113">
        <f t="shared" si="352"/>
        <v>13477179.6</v>
      </c>
      <c r="AI1113">
        <f t="shared" si="353"/>
        <v>8473865856.8400002</v>
      </c>
    </row>
    <row r="1114" spans="2:35" x14ac:dyDescent="0.25">
      <c r="B1114" s="4">
        <v>2025</v>
      </c>
      <c r="C1114" s="4" t="s">
        <v>241</v>
      </c>
      <c r="D1114" s="1" t="s">
        <v>242</v>
      </c>
      <c r="E1114" s="4" t="str">
        <f t="shared" si="343"/>
        <v>Xcel-MN</v>
      </c>
      <c r="F1114" s="4" t="s">
        <v>143</v>
      </c>
      <c r="G1114" s="4">
        <v>1</v>
      </c>
      <c r="H1114" s="11" t="s">
        <v>507</v>
      </c>
      <c r="I1114" s="4"/>
      <c r="J1114" s="4" t="s">
        <v>155</v>
      </c>
      <c r="K1114" s="5">
        <v>0</v>
      </c>
      <c r="L1114" s="5">
        <f t="shared" si="350"/>
        <v>0</v>
      </c>
      <c r="M1114" s="8">
        <v>582316</v>
      </c>
      <c r="N1114" s="8">
        <v>0</v>
      </c>
      <c r="O1114" s="8">
        <f>SUMIFS(EIAwtransport!$J$2:$J$675,EIAwtransport!$E$2:$E$675,Program_data!$E1114,EIAwtransport!$H$2:$H$675,Program_data!$F1114,EIAwtransport!$I$2:$I$675,Program_data!O$2)</f>
        <v>0</v>
      </c>
      <c r="P1114" s="5">
        <f>SUMIFS(EIAwtransport!$J$2:$J$675,EIAwtransport!$E$2:$E$675,Program_data!$E1114,EIAwtransport!$H$2:$H$675,Program_data!$F1114,EIAwtransport!$I$2:$I$675,Program_data!P$2)</f>
        <v>0</v>
      </c>
      <c r="Q1114" s="5">
        <f>SUMIFS(EIAwtransport!$J$2:$J$675,EIAwtransport!$E$2:$E$675,Program_data!$E1114,EIAwtransport!$H$2:$H$675,Program_data!$F1114,EIAwtransport!$I$2:$I$675,Program_data!Q$2)</f>
        <v>0</v>
      </c>
      <c r="R1114" s="8">
        <f>SUMIFS(EIAwtransport!$J$2:$J$675,EIAwtransport!$E$2:$E$675,Program_data!$E1114,EIAwtransport!$I$2:$I$675,Program_data!R$2)</f>
        <v>526109473</v>
      </c>
      <c r="S1114" s="5">
        <f>SUMIFS(EIAwtransport!$J$2:$J$675,EIAwtransport!$E$2:$E$675,Program_data!$E1114,EIAwtransport!$I$2:$I$675,Program_data!S$2)</f>
        <v>80336233</v>
      </c>
      <c r="T1114" s="5">
        <f>SUMIFS(EIAwtransport!$J$2:$J$675,EIAwtransport!$E$2:$E$675,Program_data!$E1114,EIAwtransport!$I$2:$I$675,Program_data!T$2)</f>
        <v>474354</v>
      </c>
      <c r="U1114" s="24">
        <f t="shared" si="347"/>
        <v>0</v>
      </c>
      <c r="V1114" s="24">
        <f t="shared" si="356"/>
        <v>0</v>
      </c>
      <c r="W1114" s="24">
        <f t="shared" si="348"/>
        <v>1.1068342804768315E-3</v>
      </c>
      <c r="X1114" s="25">
        <f t="shared" si="349"/>
        <v>6.9966073848780179E-4</v>
      </c>
      <c r="Y1114" s="8">
        <f t="shared" si="354"/>
        <v>1.7567153372752504</v>
      </c>
      <c r="Z1114" s="27">
        <f t="shared" si="355"/>
        <v>4.5331413113286492E-2</v>
      </c>
      <c r="AA1114" s="27"/>
      <c r="AB1114" s="40"/>
      <c r="AC1114" s="56">
        <f t="shared" si="357"/>
        <v>0</v>
      </c>
      <c r="AE1114" s="20">
        <f t="shared" si="341"/>
        <v>0</v>
      </c>
      <c r="AF1114" s="20">
        <f t="shared" si="342"/>
        <v>710247788.55000007</v>
      </c>
      <c r="AG1114">
        <f t="shared" si="351"/>
        <v>0</v>
      </c>
      <c r="AH1114">
        <f t="shared" si="352"/>
        <v>0</v>
      </c>
      <c r="AI1114">
        <f t="shared" si="353"/>
        <v>8473865856.8400002</v>
      </c>
    </row>
    <row r="1115" spans="2:35" x14ac:dyDescent="0.25">
      <c r="B1115" s="4">
        <v>2025</v>
      </c>
      <c r="C1115" s="4" t="s">
        <v>241</v>
      </c>
      <c r="D1115" s="1" t="s">
        <v>242</v>
      </c>
      <c r="E1115" s="4" t="str">
        <f t="shared" si="343"/>
        <v>Xcel-MN</v>
      </c>
      <c r="F1115" s="4" t="s">
        <v>143</v>
      </c>
      <c r="G1115" s="4">
        <v>1</v>
      </c>
      <c r="H1115" s="11" t="s">
        <v>508</v>
      </c>
      <c r="I1115" s="4"/>
      <c r="J1115" s="4" t="s">
        <v>108</v>
      </c>
      <c r="K1115" s="5">
        <v>11550</v>
      </c>
      <c r="L1115" s="5">
        <f t="shared" si="350"/>
        <v>11550</v>
      </c>
      <c r="M1115" s="8">
        <v>38140</v>
      </c>
      <c r="N1115" s="8">
        <v>8140</v>
      </c>
      <c r="O1115" s="8">
        <f>SUMIFS(EIAwtransport!$J$2:$J$675,EIAwtransport!$E$2:$E$675,Program_data!$E1115,EIAwtransport!$H$2:$H$675,Program_data!$F1115,EIAwtransport!$I$2:$I$675,Program_data!O$2)</f>
        <v>0</v>
      </c>
      <c r="P1115" s="5">
        <f>SUMIFS(EIAwtransport!$J$2:$J$675,EIAwtransport!$E$2:$E$675,Program_data!$E1115,EIAwtransport!$H$2:$H$675,Program_data!$F1115,EIAwtransport!$I$2:$I$675,Program_data!P$2)</f>
        <v>0</v>
      </c>
      <c r="Q1115" s="5">
        <f>SUMIFS(EIAwtransport!$J$2:$J$675,EIAwtransport!$E$2:$E$675,Program_data!$E1115,EIAwtransport!$H$2:$H$675,Program_data!$F1115,EIAwtransport!$I$2:$I$675,Program_data!Q$2)</f>
        <v>0</v>
      </c>
      <c r="R1115" s="8">
        <f>SUMIFS(EIAwtransport!$J$2:$J$675,EIAwtransport!$E$2:$E$675,Program_data!$E1115,EIAwtransport!$I$2:$I$675,Program_data!R$2)</f>
        <v>526109473</v>
      </c>
      <c r="S1115" s="5">
        <f>SUMIFS(EIAwtransport!$J$2:$J$675,EIAwtransport!$E$2:$E$675,Program_data!$E1115,EIAwtransport!$I$2:$I$675,Program_data!S$2)</f>
        <v>80336233</v>
      </c>
      <c r="T1115" s="5">
        <f>SUMIFS(EIAwtransport!$J$2:$J$675,EIAwtransport!$E$2:$E$675,Program_data!$E1115,EIAwtransport!$I$2:$I$675,Program_data!T$2)</f>
        <v>474354</v>
      </c>
      <c r="U1115" s="24">
        <f t="shared" si="347"/>
        <v>1.3877484955821429E-5</v>
      </c>
      <c r="V1115" s="24">
        <f t="shared" si="356"/>
        <v>1.3877484955821429E-5</v>
      </c>
      <c r="W1115" s="24">
        <f t="shared" si="348"/>
        <v>7.2494417906061916E-5</v>
      </c>
      <c r="X1115" s="25">
        <f t="shared" si="349"/>
        <v>4.5825738200435434E-5</v>
      </c>
      <c r="Y1115" s="8">
        <f t="shared" si="354"/>
        <v>0.11505973211053457</v>
      </c>
      <c r="Z1115" s="27">
        <f t="shared" si="355"/>
        <v>2.9690753751240684E-3</v>
      </c>
      <c r="AA1115" s="27"/>
      <c r="AB1115" s="40">
        <v>639</v>
      </c>
      <c r="AC1115" s="56">
        <f t="shared" si="357"/>
        <v>3.6659637326684025E-4</v>
      </c>
      <c r="AE1115" s="20">
        <f t="shared" si="341"/>
        <v>10989</v>
      </c>
      <c r="AF1115" s="20">
        <f t="shared" si="342"/>
        <v>710247788.55000007</v>
      </c>
      <c r="AG1115">
        <f t="shared" si="351"/>
        <v>1218294</v>
      </c>
      <c r="AH1115">
        <f t="shared" si="352"/>
        <v>1218294</v>
      </c>
      <c r="AI1115">
        <f t="shared" si="353"/>
        <v>8473865856.8400002</v>
      </c>
    </row>
    <row r="1116" spans="2:35" x14ac:dyDescent="0.25">
      <c r="B1116" s="4">
        <v>2025</v>
      </c>
      <c r="C1116" s="4" t="s">
        <v>241</v>
      </c>
      <c r="D1116" s="1" t="s">
        <v>242</v>
      </c>
      <c r="E1116" s="4" t="str">
        <f t="shared" si="343"/>
        <v>Xcel-MN</v>
      </c>
      <c r="F1116" s="4" t="s">
        <v>155</v>
      </c>
      <c r="G1116" s="4"/>
      <c r="H1116" s="11" t="s">
        <v>509</v>
      </c>
      <c r="I1116" s="4"/>
      <c r="J1116" s="4" t="s">
        <v>155</v>
      </c>
      <c r="K1116" s="5">
        <v>0</v>
      </c>
      <c r="L1116" s="5">
        <f t="shared" si="350"/>
        <v>0</v>
      </c>
      <c r="M1116" s="8">
        <v>1715332</v>
      </c>
      <c r="N1116" s="8">
        <v>0</v>
      </c>
      <c r="O1116" s="8">
        <f>SUMIFS(EIAwtransport!$J$2:$J$675,EIAwtransport!$E$2:$E$675,Program_data!$E1116,EIAwtransport!$H$2:$H$675,Program_data!$F1116,EIAwtransport!$I$2:$I$675,Program_data!O$2)</f>
        <v>0</v>
      </c>
      <c r="P1116" s="5">
        <f>SUMIFS(EIAwtransport!$J$2:$J$675,EIAwtransport!$E$2:$E$675,Program_data!$E1116,EIAwtransport!$H$2:$H$675,Program_data!$F1116,EIAwtransport!$I$2:$I$675,Program_data!P$2)</f>
        <v>0</v>
      </c>
      <c r="Q1116" s="5">
        <f>SUMIFS(EIAwtransport!$J$2:$J$675,EIAwtransport!$E$2:$E$675,Program_data!$E1116,EIAwtransport!$H$2:$H$675,Program_data!$F1116,EIAwtransport!$I$2:$I$675,Program_data!Q$2)</f>
        <v>0</v>
      </c>
      <c r="R1116" s="8">
        <f>SUMIFS(EIAwtransport!$J$2:$J$675,EIAwtransport!$E$2:$E$675,Program_data!$E1116,EIAwtransport!$I$2:$I$675,Program_data!R$2)</f>
        <v>526109473</v>
      </c>
      <c r="S1116" s="5">
        <f>SUMIFS(EIAwtransport!$J$2:$J$675,EIAwtransport!$E$2:$E$675,Program_data!$E1116,EIAwtransport!$I$2:$I$675,Program_data!S$2)</f>
        <v>80336233</v>
      </c>
      <c r="T1116" s="5">
        <f>SUMIFS(EIAwtransport!$J$2:$J$675,EIAwtransport!$E$2:$E$675,Program_data!$E1116,EIAwtransport!$I$2:$I$675,Program_data!T$2)</f>
        <v>474354</v>
      </c>
      <c r="U1116" s="24">
        <f t="shared" si="347"/>
        <v>0</v>
      </c>
      <c r="V1116" s="24">
        <f t="shared" si="356"/>
        <v>0</v>
      </c>
      <c r="W1116" s="24">
        <f t="shared" si="348"/>
        <v>3.2604088845212638E-3</v>
      </c>
      <c r="X1116" s="25">
        <f t="shared" si="349"/>
        <v>2.0609951536137735E-3</v>
      </c>
      <c r="Y1116" s="8" t="str">
        <f t="shared" si="354"/>
        <v/>
      </c>
      <c r="Z1116" s="27">
        <f t="shared" si="355"/>
        <v>0.13353303621820448</v>
      </c>
      <c r="AA1116" s="27"/>
      <c r="AB1116" s="40"/>
      <c r="AC1116" s="56">
        <f t="shared" si="357"/>
        <v>0</v>
      </c>
      <c r="AE1116" s="20">
        <f t="shared" si="341"/>
        <v>0</v>
      </c>
      <c r="AF1116" s="20">
        <f t="shared" si="342"/>
        <v>710247788.55000007</v>
      </c>
      <c r="AG1116">
        <f t="shared" si="351"/>
        <v>0</v>
      </c>
      <c r="AH1116">
        <f t="shared" si="352"/>
        <v>0</v>
      </c>
      <c r="AI1116">
        <f t="shared" si="353"/>
        <v>8473865856.8400002</v>
      </c>
    </row>
    <row r="1117" spans="2:35" x14ac:dyDescent="0.25">
      <c r="B1117" s="4">
        <v>2025</v>
      </c>
      <c r="C1117" s="4" t="s">
        <v>241</v>
      </c>
      <c r="D1117" s="1" t="s">
        <v>242</v>
      </c>
      <c r="E1117" s="4" t="str">
        <f t="shared" si="343"/>
        <v>Xcel-MN</v>
      </c>
      <c r="F1117" s="4" t="s">
        <v>155</v>
      </c>
      <c r="G1117" s="4"/>
      <c r="H1117" s="11" t="s">
        <v>510</v>
      </c>
      <c r="I1117" s="4"/>
      <c r="J1117" s="4" t="s">
        <v>155</v>
      </c>
      <c r="K1117" s="5">
        <v>0</v>
      </c>
      <c r="L1117" s="5">
        <f t="shared" si="350"/>
        <v>0</v>
      </c>
      <c r="M1117" s="8">
        <v>774219</v>
      </c>
      <c r="N1117" s="8">
        <v>0</v>
      </c>
      <c r="O1117" s="8">
        <f>SUMIFS(EIAwtransport!$J$2:$J$675,EIAwtransport!$E$2:$E$675,Program_data!$E1117,EIAwtransport!$H$2:$H$675,Program_data!$F1117,EIAwtransport!$I$2:$I$675,Program_data!O$2)</f>
        <v>0</v>
      </c>
      <c r="P1117" s="5">
        <f>SUMIFS(EIAwtransport!$J$2:$J$675,EIAwtransport!$E$2:$E$675,Program_data!$E1117,EIAwtransport!$H$2:$H$675,Program_data!$F1117,EIAwtransport!$I$2:$I$675,Program_data!P$2)</f>
        <v>0</v>
      </c>
      <c r="Q1117" s="5">
        <f>SUMIFS(EIAwtransport!$J$2:$J$675,EIAwtransport!$E$2:$E$675,Program_data!$E1117,EIAwtransport!$H$2:$H$675,Program_data!$F1117,EIAwtransport!$I$2:$I$675,Program_data!Q$2)</f>
        <v>0</v>
      </c>
      <c r="R1117" s="8">
        <f>SUMIFS(EIAwtransport!$J$2:$J$675,EIAwtransport!$E$2:$E$675,Program_data!$E1117,EIAwtransport!$I$2:$I$675,Program_data!R$2)</f>
        <v>526109473</v>
      </c>
      <c r="S1117" s="5">
        <f>SUMIFS(EIAwtransport!$J$2:$J$675,EIAwtransport!$E$2:$E$675,Program_data!$E1117,EIAwtransport!$I$2:$I$675,Program_data!S$2)</f>
        <v>80336233</v>
      </c>
      <c r="T1117" s="5">
        <f>SUMIFS(EIAwtransport!$J$2:$J$675,EIAwtransport!$E$2:$E$675,Program_data!$E1117,EIAwtransport!$I$2:$I$675,Program_data!T$2)</f>
        <v>474354</v>
      </c>
      <c r="U1117" s="24">
        <f t="shared" si="347"/>
        <v>0</v>
      </c>
      <c r="V1117" s="24">
        <f t="shared" si="356"/>
        <v>0</v>
      </c>
      <c r="W1117" s="24">
        <f t="shared" si="348"/>
        <v>1.4715929663558823E-3</v>
      </c>
      <c r="X1117" s="25">
        <f t="shared" si="349"/>
        <v>9.302348506503125E-4</v>
      </c>
      <c r="Y1117" s="8" t="str">
        <f t="shared" si="354"/>
        <v/>
      </c>
      <c r="Z1117" s="27">
        <f t="shared" si="355"/>
        <v>6.0270439639569511E-2</v>
      </c>
      <c r="AA1117" s="27"/>
      <c r="AB1117" s="40"/>
      <c r="AC1117" s="56">
        <f t="shared" si="357"/>
        <v>0</v>
      </c>
      <c r="AE1117" s="20">
        <f t="shared" si="341"/>
        <v>0</v>
      </c>
      <c r="AF1117" s="20">
        <f t="shared" si="342"/>
        <v>710247788.55000007</v>
      </c>
      <c r="AG1117">
        <f t="shared" si="351"/>
        <v>0</v>
      </c>
      <c r="AH1117">
        <f t="shared" si="352"/>
        <v>0</v>
      </c>
      <c r="AI1117">
        <f t="shared" si="353"/>
        <v>8473865856.8400002</v>
      </c>
    </row>
    <row r="1118" spans="2:35" x14ac:dyDescent="0.25">
      <c r="B1118" s="4">
        <v>2025</v>
      </c>
      <c r="C1118" s="4" t="s">
        <v>241</v>
      </c>
      <c r="D1118" s="1" t="s">
        <v>242</v>
      </c>
      <c r="E1118" s="4" t="str">
        <f t="shared" si="343"/>
        <v>Xcel-MN</v>
      </c>
      <c r="F1118" s="4" t="s">
        <v>155</v>
      </c>
      <c r="G1118" s="4"/>
      <c r="H1118" s="11" t="s">
        <v>511</v>
      </c>
      <c r="I1118" s="4"/>
      <c r="J1118" s="4" t="s">
        <v>155</v>
      </c>
      <c r="K1118" s="5">
        <v>0</v>
      </c>
      <c r="L1118" s="5">
        <f t="shared" si="350"/>
        <v>0</v>
      </c>
      <c r="M1118" s="8">
        <v>167856</v>
      </c>
      <c r="N1118" s="8">
        <v>0</v>
      </c>
      <c r="O1118" s="8">
        <f>SUMIFS(EIAwtransport!$J$2:$J$675,EIAwtransport!$E$2:$E$675,Program_data!$E1118,EIAwtransport!$H$2:$H$675,Program_data!$F1118,EIAwtransport!$I$2:$I$675,Program_data!O$2)</f>
        <v>0</v>
      </c>
      <c r="P1118" s="5">
        <f>SUMIFS(EIAwtransport!$J$2:$J$675,EIAwtransport!$E$2:$E$675,Program_data!$E1118,EIAwtransport!$H$2:$H$675,Program_data!$F1118,EIAwtransport!$I$2:$I$675,Program_data!P$2)</f>
        <v>0</v>
      </c>
      <c r="Q1118" s="5">
        <f>SUMIFS(EIAwtransport!$J$2:$J$675,EIAwtransport!$E$2:$E$675,Program_data!$E1118,EIAwtransport!$H$2:$H$675,Program_data!$F1118,EIAwtransport!$I$2:$I$675,Program_data!Q$2)</f>
        <v>0</v>
      </c>
      <c r="R1118" s="8">
        <f>SUMIFS(EIAwtransport!$J$2:$J$675,EIAwtransport!$E$2:$E$675,Program_data!$E1118,EIAwtransport!$I$2:$I$675,Program_data!R$2)</f>
        <v>526109473</v>
      </c>
      <c r="S1118" s="5">
        <f>SUMIFS(EIAwtransport!$J$2:$J$675,EIAwtransport!$E$2:$E$675,Program_data!$E1118,EIAwtransport!$I$2:$I$675,Program_data!S$2)</f>
        <v>80336233</v>
      </c>
      <c r="T1118" s="5">
        <f>SUMIFS(EIAwtransport!$J$2:$J$675,EIAwtransport!$E$2:$E$675,Program_data!$E1118,EIAwtransport!$I$2:$I$675,Program_data!T$2)</f>
        <v>474354</v>
      </c>
      <c r="U1118" s="24">
        <f t="shared" si="347"/>
        <v>0</v>
      </c>
      <c r="V1118" s="24">
        <f t="shared" si="356"/>
        <v>0</v>
      </c>
      <c r="W1118" s="24">
        <f t="shared" si="348"/>
        <v>3.1905146859045435E-4</v>
      </c>
      <c r="X1118" s="25">
        <f t="shared" si="349"/>
        <v>2.0168130863587545E-4</v>
      </c>
      <c r="Y1118" s="8" t="str">
        <f t="shared" si="354"/>
        <v/>
      </c>
      <c r="Z1118" s="27">
        <f t="shared" si="355"/>
        <v>1.3067045520892124E-2</v>
      </c>
      <c r="AA1118" s="27"/>
      <c r="AB1118" s="40"/>
      <c r="AC1118" s="56">
        <f t="shared" si="357"/>
        <v>0</v>
      </c>
      <c r="AE1118" s="20">
        <f t="shared" si="341"/>
        <v>0</v>
      </c>
      <c r="AF1118" s="20">
        <f t="shared" si="342"/>
        <v>710247788.55000007</v>
      </c>
      <c r="AG1118">
        <f t="shared" si="351"/>
        <v>0</v>
      </c>
      <c r="AH1118">
        <f t="shared" si="352"/>
        <v>0</v>
      </c>
      <c r="AI1118">
        <f t="shared" si="353"/>
        <v>8473865856.8400002</v>
      </c>
    </row>
    <row r="1119" spans="2:35" x14ac:dyDescent="0.25">
      <c r="B1119" s="4">
        <v>2025</v>
      </c>
      <c r="C1119" s="4" t="s">
        <v>241</v>
      </c>
      <c r="D1119" s="1" t="s">
        <v>242</v>
      </c>
      <c r="E1119" s="4" t="str">
        <f t="shared" si="343"/>
        <v>Xcel-MN</v>
      </c>
      <c r="F1119" s="4" t="s">
        <v>155</v>
      </c>
      <c r="G1119" s="4"/>
      <c r="H1119" s="11" t="s">
        <v>512</v>
      </c>
      <c r="I1119" s="4"/>
      <c r="J1119" s="4" t="s">
        <v>155</v>
      </c>
      <c r="K1119" s="5">
        <v>0</v>
      </c>
      <c r="L1119" s="5">
        <f t="shared" ref="L1119:L1150" si="358">K1119</f>
        <v>0</v>
      </c>
      <c r="M1119" s="8">
        <v>14093</v>
      </c>
      <c r="N1119" s="8">
        <v>0</v>
      </c>
      <c r="O1119" s="8">
        <f>SUMIFS(EIAwtransport!$J$2:$J$675,EIAwtransport!$E$2:$E$675,Program_data!$E1119,EIAwtransport!$H$2:$H$675,Program_data!$F1119,EIAwtransport!$I$2:$I$675,Program_data!O$2)</f>
        <v>0</v>
      </c>
      <c r="P1119" s="5">
        <f>SUMIFS(EIAwtransport!$J$2:$J$675,EIAwtransport!$E$2:$E$675,Program_data!$E1119,EIAwtransport!$H$2:$H$675,Program_data!$F1119,EIAwtransport!$I$2:$I$675,Program_data!P$2)</f>
        <v>0</v>
      </c>
      <c r="Q1119" s="5">
        <f>SUMIFS(EIAwtransport!$J$2:$J$675,EIAwtransport!$E$2:$E$675,Program_data!$E1119,EIAwtransport!$H$2:$H$675,Program_data!$F1119,EIAwtransport!$I$2:$I$675,Program_data!Q$2)</f>
        <v>0</v>
      </c>
      <c r="R1119" s="8">
        <f>SUMIFS(EIAwtransport!$J$2:$J$675,EIAwtransport!$E$2:$E$675,Program_data!$E1119,EIAwtransport!$I$2:$I$675,Program_data!R$2)</f>
        <v>526109473</v>
      </c>
      <c r="S1119" s="5">
        <f>SUMIFS(EIAwtransport!$J$2:$J$675,EIAwtransport!$E$2:$E$675,Program_data!$E1119,EIAwtransport!$I$2:$I$675,Program_data!S$2)</f>
        <v>80336233</v>
      </c>
      <c r="T1119" s="5">
        <f>SUMIFS(EIAwtransport!$J$2:$J$675,EIAwtransport!$E$2:$E$675,Program_data!$E1119,EIAwtransport!$I$2:$I$675,Program_data!T$2)</f>
        <v>474354</v>
      </c>
      <c r="U1119" s="24">
        <f t="shared" si="347"/>
        <v>0</v>
      </c>
      <c r="V1119" s="24">
        <f t="shared" si="356"/>
        <v>0</v>
      </c>
      <c r="W1119" s="24">
        <f t="shared" si="348"/>
        <v>2.6787200617465406E-5</v>
      </c>
      <c r="X1119" s="25">
        <f t="shared" si="349"/>
        <v>1.6932934673800118E-5</v>
      </c>
      <c r="Y1119" s="8" t="str">
        <f t="shared" si="354"/>
        <v/>
      </c>
      <c r="Z1119" s="27">
        <f t="shared" si="355"/>
        <v>1.0970943697331803E-3</v>
      </c>
      <c r="AA1119" s="27"/>
      <c r="AB1119" s="40"/>
      <c r="AC1119" s="56">
        <f t="shared" si="357"/>
        <v>0</v>
      </c>
      <c r="AE1119" s="20">
        <f t="shared" si="341"/>
        <v>0</v>
      </c>
      <c r="AF1119" s="20">
        <f t="shared" si="342"/>
        <v>710247788.55000007</v>
      </c>
      <c r="AG1119">
        <f t="shared" si="351"/>
        <v>0</v>
      </c>
      <c r="AH1119">
        <f t="shared" si="352"/>
        <v>0</v>
      </c>
      <c r="AI1119">
        <f t="shared" si="353"/>
        <v>8473865856.8400002</v>
      </c>
    </row>
    <row r="1120" spans="2:35" x14ac:dyDescent="0.25">
      <c r="B1120" s="4">
        <v>2025</v>
      </c>
      <c r="C1120" s="4" t="s">
        <v>241</v>
      </c>
      <c r="D1120" s="1" t="s">
        <v>242</v>
      </c>
      <c r="E1120" s="4" t="str">
        <f t="shared" si="343"/>
        <v>Xcel-MN</v>
      </c>
      <c r="F1120" s="4" t="s">
        <v>155</v>
      </c>
      <c r="G1120" s="4"/>
      <c r="H1120" s="11" t="s">
        <v>513</v>
      </c>
      <c r="I1120" s="4"/>
      <c r="J1120" s="4" t="s">
        <v>155</v>
      </c>
      <c r="K1120" s="5">
        <v>0</v>
      </c>
      <c r="L1120" s="5">
        <f t="shared" si="358"/>
        <v>0</v>
      </c>
      <c r="M1120" s="8">
        <v>40832</v>
      </c>
      <c r="N1120" s="8">
        <v>0</v>
      </c>
      <c r="O1120" s="8">
        <f>SUMIFS(EIAwtransport!$J$2:$J$675,EIAwtransport!$E$2:$E$675,Program_data!$E1120,EIAwtransport!$H$2:$H$675,Program_data!$F1120,EIAwtransport!$I$2:$I$675,Program_data!O$2)</f>
        <v>0</v>
      </c>
      <c r="P1120" s="5">
        <f>SUMIFS(EIAwtransport!$J$2:$J$675,EIAwtransport!$E$2:$E$675,Program_data!$E1120,EIAwtransport!$H$2:$H$675,Program_data!$F1120,EIAwtransport!$I$2:$I$675,Program_data!P$2)</f>
        <v>0</v>
      </c>
      <c r="Q1120" s="5">
        <f>SUMIFS(EIAwtransport!$J$2:$J$675,EIAwtransport!$E$2:$E$675,Program_data!$E1120,EIAwtransport!$H$2:$H$675,Program_data!$F1120,EIAwtransport!$I$2:$I$675,Program_data!Q$2)</f>
        <v>0</v>
      </c>
      <c r="R1120" s="8">
        <f>SUMIFS(EIAwtransport!$J$2:$J$675,EIAwtransport!$E$2:$E$675,Program_data!$E1120,EIAwtransport!$I$2:$I$675,Program_data!R$2)</f>
        <v>526109473</v>
      </c>
      <c r="S1120" s="5">
        <f>SUMIFS(EIAwtransport!$J$2:$J$675,EIAwtransport!$E$2:$E$675,Program_data!$E1120,EIAwtransport!$I$2:$I$675,Program_data!S$2)</f>
        <v>80336233</v>
      </c>
      <c r="T1120" s="5">
        <f>SUMIFS(EIAwtransport!$J$2:$J$675,EIAwtransport!$E$2:$E$675,Program_data!$E1120,EIAwtransport!$I$2:$I$675,Program_data!T$2)</f>
        <v>474354</v>
      </c>
      <c r="U1120" s="24">
        <f t="shared" si="347"/>
        <v>0</v>
      </c>
      <c r="V1120" s="24">
        <f t="shared" si="356"/>
        <v>0</v>
      </c>
      <c r="W1120" s="24">
        <f t="shared" si="348"/>
        <v>7.7611223700585223E-5</v>
      </c>
      <c r="X1120" s="25">
        <f t="shared" si="349"/>
        <v>4.9060213481913463E-5</v>
      </c>
      <c r="Y1120" s="8" t="str">
        <f t="shared" si="354"/>
        <v/>
      </c>
      <c r="Z1120" s="27">
        <f t="shared" si="355"/>
        <v>3.1786388494249073E-3</v>
      </c>
      <c r="AA1120" s="27"/>
      <c r="AB1120" s="40"/>
      <c r="AC1120" s="56">
        <f t="shared" si="357"/>
        <v>0</v>
      </c>
      <c r="AE1120" s="20">
        <f t="shared" si="341"/>
        <v>0</v>
      </c>
      <c r="AF1120" s="20">
        <f t="shared" si="342"/>
        <v>710247788.55000007</v>
      </c>
      <c r="AG1120">
        <f t="shared" si="351"/>
        <v>0</v>
      </c>
      <c r="AH1120">
        <f t="shared" si="352"/>
        <v>0</v>
      </c>
      <c r="AI1120">
        <f t="shared" si="353"/>
        <v>8473865856.8400002</v>
      </c>
    </row>
    <row r="1121" spans="2:35" x14ac:dyDescent="0.25">
      <c r="B1121" s="4">
        <v>2025</v>
      </c>
      <c r="C1121" s="4" t="s">
        <v>241</v>
      </c>
      <c r="D1121" s="1" t="s">
        <v>242</v>
      </c>
      <c r="E1121" s="4" t="str">
        <f t="shared" si="343"/>
        <v>Xcel-MN</v>
      </c>
      <c r="F1121" s="4" t="s">
        <v>155</v>
      </c>
      <c r="G1121" s="4"/>
      <c r="H1121" s="11" t="s">
        <v>514</v>
      </c>
      <c r="I1121" s="4" t="s">
        <v>515</v>
      </c>
      <c r="J1121" s="4" t="s">
        <v>155</v>
      </c>
      <c r="K1121" s="5">
        <v>0</v>
      </c>
      <c r="L1121" s="5">
        <f t="shared" si="358"/>
        <v>0</v>
      </c>
      <c r="M1121" s="8">
        <v>352979</v>
      </c>
      <c r="N1121" s="8">
        <v>0</v>
      </c>
      <c r="O1121" s="8">
        <f>SUMIFS(EIAwtransport!$J$2:$J$675,EIAwtransport!$E$2:$E$675,Program_data!$E1121,EIAwtransport!$H$2:$H$675,Program_data!$F1121,EIAwtransport!$I$2:$I$675,Program_data!O$2)</f>
        <v>0</v>
      </c>
      <c r="P1121" s="5">
        <f>SUMIFS(EIAwtransport!$J$2:$J$675,EIAwtransport!$E$2:$E$675,Program_data!$E1121,EIAwtransport!$H$2:$H$675,Program_data!$F1121,EIAwtransport!$I$2:$I$675,Program_data!P$2)</f>
        <v>0</v>
      </c>
      <c r="Q1121" s="5">
        <f>SUMIFS(EIAwtransport!$J$2:$J$675,EIAwtransport!$E$2:$E$675,Program_data!$E1121,EIAwtransport!$H$2:$H$675,Program_data!$F1121,EIAwtransport!$I$2:$I$675,Program_data!Q$2)</f>
        <v>0</v>
      </c>
      <c r="R1121" s="8">
        <f>SUMIFS(EIAwtransport!$J$2:$J$675,EIAwtransport!$E$2:$E$675,Program_data!$E1121,EIAwtransport!$I$2:$I$675,Program_data!R$2)</f>
        <v>526109473</v>
      </c>
      <c r="S1121" s="5">
        <f>SUMIFS(EIAwtransport!$J$2:$J$675,EIAwtransport!$E$2:$E$675,Program_data!$E1121,EIAwtransport!$I$2:$I$675,Program_data!S$2)</f>
        <v>80336233</v>
      </c>
      <c r="T1121" s="5">
        <f>SUMIFS(EIAwtransport!$J$2:$J$675,EIAwtransport!$E$2:$E$675,Program_data!$E1121,EIAwtransport!$I$2:$I$675,Program_data!T$2)</f>
        <v>474354</v>
      </c>
      <c r="U1121" s="24">
        <f t="shared" si="347"/>
        <v>0</v>
      </c>
      <c r="V1121" s="24">
        <f t="shared" si="356"/>
        <v>0</v>
      </c>
      <c r="W1121" s="24">
        <f t="shared" si="348"/>
        <v>6.7092310272846964E-4</v>
      </c>
      <c r="X1121" s="25">
        <f t="shared" si="349"/>
        <v>4.2410915690224173E-4</v>
      </c>
      <c r="Y1121" s="8" t="str">
        <f t="shared" si="354"/>
        <v/>
      </c>
      <c r="Z1121" s="27">
        <f t="shared" si="355"/>
        <v>2.747827102349026E-2</v>
      </c>
      <c r="AA1121" s="27"/>
      <c r="AB1121" s="40"/>
      <c r="AC1121" s="56">
        <f t="shared" si="357"/>
        <v>0</v>
      </c>
      <c r="AE1121" s="20">
        <f t="shared" si="341"/>
        <v>0</v>
      </c>
      <c r="AF1121" s="20">
        <f t="shared" si="342"/>
        <v>710247788.55000007</v>
      </c>
      <c r="AG1121">
        <f t="shared" si="351"/>
        <v>0</v>
      </c>
      <c r="AH1121">
        <f t="shared" si="352"/>
        <v>0</v>
      </c>
      <c r="AI1121">
        <f t="shared" si="353"/>
        <v>8473865856.8400002</v>
      </c>
    </row>
    <row r="1122" spans="2:35" x14ac:dyDescent="0.25">
      <c r="B1122" s="4">
        <v>2025</v>
      </c>
      <c r="C1122" s="4" t="s">
        <v>241</v>
      </c>
      <c r="D1122" s="1" t="s">
        <v>242</v>
      </c>
      <c r="E1122" s="4" t="str">
        <f t="shared" si="343"/>
        <v>Xcel-MN</v>
      </c>
      <c r="F1122" s="4" t="s">
        <v>155</v>
      </c>
      <c r="G1122" s="4"/>
      <c r="H1122" s="11" t="s">
        <v>516</v>
      </c>
      <c r="I1122" s="4"/>
      <c r="J1122" s="4" t="s">
        <v>155</v>
      </c>
      <c r="K1122" s="5">
        <v>0</v>
      </c>
      <c r="L1122" s="5">
        <f t="shared" si="358"/>
        <v>0</v>
      </c>
      <c r="M1122" s="8">
        <v>482250</v>
      </c>
      <c r="N1122" s="8">
        <v>0</v>
      </c>
      <c r="O1122" s="8">
        <f>SUMIFS(EIAwtransport!$J$2:$J$675,EIAwtransport!$E$2:$E$675,Program_data!$E1122,EIAwtransport!$H$2:$H$675,Program_data!$F1122,EIAwtransport!$I$2:$I$675,Program_data!O$2)</f>
        <v>0</v>
      </c>
      <c r="P1122" s="5">
        <f>SUMIFS(EIAwtransport!$J$2:$J$675,EIAwtransport!$E$2:$E$675,Program_data!$E1122,EIAwtransport!$H$2:$H$675,Program_data!$F1122,EIAwtransport!$I$2:$I$675,Program_data!P$2)</f>
        <v>0</v>
      </c>
      <c r="Q1122" s="5">
        <f>SUMIFS(EIAwtransport!$J$2:$J$675,EIAwtransport!$E$2:$E$675,Program_data!$E1122,EIAwtransport!$H$2:$H$675,Program_data!$F1122,EIAwtransport!$I$2:$I$675,Program_data!Q$2)</f>
        <v>0</v>
      </c>
      <c r="R1122" s="8">
        <f>SUMIFS(EIAwtransport!$J$2:$J$675,EIAwtransport!$E$2:$E$675,Program_data!$E1122,EIAwtransport!$I$2:$I$675,Program_data!R$2)</f>
        <v>526109473</v>
      </c>
      <c r="S1122" s="5">
        <f>SUMIFS(EIAwtransport!$J$2:$J$675,EIAwtransport!$E$2:$E$675,Program_data!$E1122,EIAwtransport!$I$2:$I$675,Program_data!S$2)</f>
        <v>80336233</v>
      </c>
      <c r="T1122" s="5">
        <f>SUMIFS(EIAwtransport!$J$2:$J$675,EIAwtransport!$E$2:$E$675,Program_data!$E1122,EIAwtransport!$I$2:$I$675,Program_data!T$2)</f>
        <v>474354</v>
      </c>
      <c r="U1122" s="24">
        <f t="shared" si="347"/>
        <v>0</v>
      </c>
      <c r="V1122" s="24">
        <f t="shared" si="356"/>
        <v>0</v>
      </c>
      <c r="W1122" s="24">
        <f t="shared" si="348"/>
        <v>9.1663432184578813E-4</v>
      </c>
      <c r="X1122" s="25">
        <f t="shared" si="349"/>
        <v>5.7943005367488173E-4</v>
      </c>
      <c r="Y1122" s="8" t="str">
        <f t="shared" si="354"/>
        <v/>
      </c>
      <c r="Z1122" s="27">
        <f t="shared" si="355"/>
        <v>3.7541599361656582E-2</v>
      </c>
      <c r="AA1122" s="27"/>
      <c r="AB1122" s="40"/>
      <c r="AC1122" s="56">
        <f t="shared" si="357"/>
        <v>0</v>
      </c>
      <c r="AE1122" s="20">
        <f t="shared" si="341"/>
        <v>0</v>
      </c>
      <c r="AF1122" s="20">
        <f t="shared" si="342"/>
        <v>710247788.55000007</v>
      </c>
      <c r="AG1122">
        <f t="shared" si="351"/>
        <v>0</v>
      </c>
      <c r="AH1122">
        <f t="shared" si="352"/>
        <v>0</v>
      </c>
      <c r="AI1122">
        <f t="shared" si="353"/>
        <v>8473865856.8400002</v>
      </c>
    </row>
    <row r="1123" spans="2:35" x14ac:dyDescent="0.25">
      <c r="B1123" s="4">
        <v>2025</v>
      </c>
      <c r="C1123" s="4" t="s">
        <v>241</v>
      </c>
      <c r="D1123" s="1" t="s">
        <v>242</v>
      </c>
      <c r="E1123" s="4" t="str">
        <f t="shared" si="343"/>
        <v>Xcel-MN</v>
      </c>
      <c r="F1123" s="4" t="s">
        <v>155</v>
      </c>
      <c r="G1123" s="4"/>
      <c r="H1123" s="11" t="s">
        <v>285</v>
      </c>
      <c r="I1123" s="4"/>
      <c r="J1123" s="4" t="s">
        <v>155</v>
      </c>
      <c r="K1123" s="5">
        <v>0</v>
      </c>
      <c r="L1123" s="5">
        <f t="shared" si="358"/>
        <v>0</v>
      </c>
      <c r="M1123" s="8">
        <v>550837</v>
      </c>
      <c r="N1123" s="8">
        <v>0</v>
      </c>
      <c r="O1123" s="8">
        <f>SUMIFS(EIAwtransport!$J$2:$J$675,EIAwtransport!$E$2:$E$675,Program_data!$E1123,EIAwtransport!$H$2:$H$675,Program_data!$F1123,EIAwtransport!$I$2:$I$675,Program_data!O$2)</f>
        <v>0</v>
      </c>
      <c r="P1123" s="5">
        <f>SUMIFS(EIAwtransport!$J$2:$J$675,EIAwtransport!$E$2:$E$675,Program_data!$E1123,EIAwtransport!$H$2:$H$675,Program_data!$F1123,EIAwtransport!$I$2:$I$675,Program_data!P$2)</f>
        <v>0</v>
      </c>
      <c r="Q1123" s="5">
        <f>SUMIFS(EIAwtransport!$J$2:$J$675,EIAwtransport!$E$2:$E$675,Program_data!$E1123,EIAwtransport!$H$2:$H$675,Program_data!$F1123,EIAwtransport!$I$2:$I$675,Program_data!Q$2)</f>
        <v>0</v>
      </c>
      <c r="R1123" s="8">
        <f>SUMIFS(EIAwtransport!$J$2:$J$675,EIAwtransport!$E$2:$E$675,Program_data!$E1123,EIAwtransport!$I$2:$I$675,Program_data!R$2)</f>
        <v>526109473</v>
      </c>
      <c r="S1123" s="5">
        <f>SUMIFS(EIAwtransport!$J$2:$J$675,EIAwtransport!$E$2:$E$675,Program_data!$E1123,EIAwtransport!$I$2:$I$675,Program_data!S$2)</f>
        <v>80336233</v>
      </c>
      <c r="T1123" s="5">
        <f>SUMIFS(EIAwtransport!$J$2:$J$675,EIAwtransport!$E$2:$E$675,Program_data!$E1123,EIAwtransport!$I$2:$I$675,Program_data!T$2)</f>
        <v>474354</v>
      </c>
      <c r="U1123" s="24">
        <f t="shared" si="347"/>
        <v>0</v>
      </c>
      <c r="V1123" s="24">
        <f t="shared" si="356"/>
        <v>0</v>
      </c>
      <c r="W1123" s="24">
        <f t="shared" si="348"/>
        <v>1.047000725645554E-3</v>
      </c>
      <c r="X1123" s="25">
        <f t="shared" si="349"/>
        <v>6.6183828403548121E-4</v>
      </c>
      <c r="Y1123" s="8" t="str">
        <f t="shared" si="354"/>
        <v/>
      </c>
      <c r="Z1123" s="27">
        <f t="shared" si="355"/>
        <v>4.2880874997567292E-2</v>
      </c>
      <c r="AA1123" s="27"/>
      <c r="AB1123" s="40"/>
      <c r="AC1123" s="56">
        <f t="shared" si="357"/>
        <v>0</v>
      </c>
      <c r="AE1123" s="20">
        <f t="shared" si="341"/>
        <v>0</v>
      </c>
      <c r="AF1123" s="20">
        <f t="shared" si="342"/>
        <v>710247788.55000007</v>
      </c>
      <c r="AG1123">
        <f t="shared" si="351"/>
        <v>0</v>
      </c>
      <c r="AH1123">
        <f t="shared" si="352"/>
        <v>0</v>
      </c>
      <c r="AI1123">
        <f t="shared" si="353"/>
        <v>8473865856.8400002</v>
      </c>
    </row>
    <row r="1124" spans="2:35" x14ac:dyDescent="0.25">
      <c r="B1124" s="4">
        <v>2025</v>
      </c>
      <c r="C1124" s="4" t="s">
        <v>241</v>
      </c>
      <c r="D1124" s="1" t="s">
        <v>242</v>
      </c>
      <c r="E1124" s="4" t="str">
        <f t="shared" si="343"/>
        <v>Xcel-MN</v>
      </c>
      <c r="F1124" s="4" t="s">
        <v>155</v>
      </c>
      <c r="G1124" s="4"/>
      <c r="H1124" s="11" t="s">
        <v>517</v>
      </c>
      <c r="I1124" s="4"/>
      <c r="J1124" s="4" t="s">
        <v>155</v>
      </c>
      <c r="K1124" s="5">
        <v>0</v>
      </c>
      <c r="L1124" s="5">
        <f t="shared" si="358"/>
        <v>0</v>
      </c>
      <c r="M1124" s="8">
        <v>199768</v>
      </c>
      <c r="N1124" s="8">
        <v>0</v>
      </c>
      <c r="O1124" s="8">
        <f>SUMIFS(EIAwtransport!$J$2:$J$675,EIAwtransport!$E$2:$E$675,Program_data!$E1124,EIAwtransport!$H$2:$H$675,Program_data!$F1124,EIAwtransport!$I$2:$I$675,Program_data!O$2)</f>
        <v>0</v>
      </c>
      <c r="P1124" s="5">
        <f>SUMIFS(EIAwtransport!$J$2:$J$675,EIAwtransport!$E$2:$E$675,Program_data!$E1124,EIAwtransport!$H$2:$H$675,Program_data!$F1124,EIAwtransport!$I$2:$I$675,Program_data!P$2)</f>
        <v>0</v>
      </c>
      <c r="Q1124" s="5">
        <f>SUMIFS(EIAwtransport!$J$2:$J$675,EIAwtransport!$E$2:$E$675,Program_data!$E1124,EIAwtransport!$H$2:$H$675,Program_data!$F1124,EIAwtransport!$I$2:$I$675,Program_data!Q$2)</f>
        <v>0</v>
      </c>
      <c r="R1124" s="8">
        <f>SUMIFS(EIAwtransport!$J$2:$J$675,EIAwtransport!$E$2:$E$675,Program_data!$E1124,EIAwtransport!$I$2:$I$675,Program_data!R$2)</f>
        <v>526109473</v>
      </c>
      <c r="S1124" s="5">
        <f>SUMIFS(EIAwtransport!$J$2:$J$675,EIAwtransport!$E$2:$E$675,Program_data!$E1124,EIAwtransport!$I$2:$I$675,Program_data!S$2)</f>
        <v>80336233</v>
      </c>
      <c r="T1124" s="5">
        <f>SUMIFS(EIAwtransport!$J$2:$J$675,EIAwtransport!$E$2:$E$675,Program_data!$E1124,EIAwtransport!$I$2:$I$675,Program_data!T$2)</f>
        <v>474354</v>
      </c>
      <c r="U1124" s="24">
        <f t="shared" si="347"/>
        <v>0</v>
      </c>
      <c r="V1124" s="24">
        <f t="shared" si="356"/>
        <v>0</v>
      </c>
      <c r="W1124" s="24">
        <f t="shared" si="348"/>
        <v>3.7970804604767113E-4</v>
      </c>
      <c r="X1124" s="25">
        <f t="shared" si="349"/>
        <v>2.400240185848082E-4</v>
      </c>
      <c r="Y1124" s="8" t="str">
        <f t="shared" si="354"/>
        <v/>
      </c>
      <c r="Z1124" s="27">
        <f t="shared" si="355"/>
        <v>1.5551291283109199E-2</v>
      </c>
      <c r="AA1124" s="27"/>
      <c r="AB1124" s="40"/>
      <c r="AC1124" s="56">
        <f t="shared" si="357"/>
        <v>0</v>
      </c>
      <c r="AE1124" s="20">
        <f t="shared" si="341"/>
        <v>0</v>
      </c>
      <c r="AF1124" s="20">
        <f t="shared" si="342"/>
        <v>710247788.55000007</v>
      </c>
      <c r="AG1124">
        <f t="shared" si="351"/>
        <v>0</v>
      </c>
      <c r="AH1124">
        <f t="shared" si="352"/>
        <v>0</v>
      </c>
      <c r="AI1124">
        <f t="shared" si="353"/>
        <v>8473865856.8400002</v>
      </c>
    </row>
    <row r="1125" spans="2:35" x14ac:dyDescent="0.25">
      <c r="B1125" s="4">
        <v>2025</v>
      </c>
      <c r="C1125" s="4" t="s">
        <v>241</v>
      </c>
      <c r="D1125" s="1" t="s">
        <v>242</v>
      </c>
      <c r="E1125" s="4" t="str">
        <f t="shared" si="343"/>
        <v>Xcel-MN</v>
      </c>
      <c r="F1125" s="4" t="s">
        <v>155</v>
      </c>
      <c r="G1125" s="4"/>
      <c r="H1125" s="11" t="s">
        <v>518</v>
      </c>
      <c r="I1125" s="4"/>
      <c r="J1125" s="4" t="s">
        <v>155</v>
      </c>
      <c r="K1125" s="5">
        <v>0</v>
      </c>
      <c r="L1125" s="5">
        <f t="shared" si="358"/>
        <v>0</v>
      </c>
      <c r="M1125" s="8">
        <v>294738</v>
      </c>
      <c r="N1125" s="8">
        <v>0</v>
      </c>
      <c r="O1125" s="8">
        <f>SUMIFS(EIAwtransport!$J$2:$J$675,EIAwtransport!$E$2:$E$675,Program_data!$E1125,EIAwtransport!$H$2:$H$675,Program_data!$F1125,EIAwtransport!$I$2:$I$675,Program_data!O$2)</f>
        <v>0</v>
      </c>
      <c r="P1125" s="5">
        <f>SUMIFS(EIAwtransport!$J$2:$J$675,EIAwtransport!$E$2:$E$675,Program_data!$E1125,EIAwtransport!$H$2:$H$675,Program_data!$F1125,EIAwtransport!$I$2:$I$675,Program_data!P$2)</f>
        <v>0</v>
      </c>
      <c r="Q1125" s="5">
        <f>SUMIFS(EIAwtransport!$J$2:$J$675,EIAwtransport!$E$2:$E$675,Program_data!$E1125,EIAwtransport!$H$2:$H$675,Program_data!$F1125,EIAwtransport!$I$2:$I$675,Program_data!Q$2)</f>
        <v>0</v>
      </c>
      <c r="R1125" s="8">
        <f>SUMIFS(EIAwtransport!$J$2:$J$675,EIAwtransport!$E$2:$E$675,Program_data!$E1125,EIAwtransport!$I$2:$I$675,Program_data!R$2)</f>
        <v>526109473</v>
      </c>
      <c r="S1125" s="5">
        <f>SUMIFS(EIAwtransport!$J$2:$J$675,EIAwtransport!$E$2:$E$675,Program_data!$E1125,EIAwtransport!$I$2:$I$675,Program_data!S$2)</f>
        <v>80336233</v>
      </c>
      <c r="T1125" s="5">
        <f>SUMIFS(EIAwtransport!$J$2:$J$675,EIAwtransport!$E$2:$E$675,Program_data!$E1125,EIAwtransport!$I$2:$I$675,Program_data!T$2)</f>
        <v>474354</v>
      </c>
      <c r="U1125" s="24">
        <f t="shared" si="347"/>
        <v>0</v>
      </c>
      <c r="V1125" s="24">
        <f t="shared" si="356"/>
        <v>0</v>
      </c>
      <c r="W1125" s="24">
        <f t="shared" si="348"/>
        <v>5.6022180767689765E-4</v>
      </c>
      <c r="X1125" s="25">
        <f t="shared" si="349"/>
        <v>3.5413178882328104E-4</v>
      </c>
      <c r="Y1125" s="8" t="str">
        <f t="shared" si="354"/>
        <v/>
      </c>
      <c r="Z1125" s="27">
        <f t="shared" si="355"/>
        <v>2.2944397952630247E-2</v>
      </c>
      <c r="AA1125" s="27"/>
      <c r="AB1125" s="40"/>
      <c r="AC1125" s="56">
        <f t="shared" si="357"/>
        <v>0</v>
      </c>
      <c r="AE1125" s="20">
        <f t="shared" ref="AE1125:AE1188" si="359">N1125*1.35</f>
        <v>0</v>
      </c>
      <c r="AF1125" s="20">
        <f t="shared" ref="AF1125:AF1188" si="360">R1125*1.35</f>
        <v>710247788.55000007</v>
      </c>
      <c r="AG1125">
        <f t="shared" si="351"/>
        <v>0</v>
      </c>
      <c r="AH1125">
        <f t="shared" si="352"/>
        <v>0</v>
      </c>
      <c r="AI1125">
        <f t="shared" si="353"/>
        <v>8473865856.8400002</v>
      </c>
    </row>
    <row r="1126" spans="2:35" x14ac:dyDescent="0.25">
      <c r="B1126" s="4">
        <v>2025</v>
      </c>
      <c r="C1126" s="4" t="s">
        <v>241</v>
      </c>
      <c r="D1126" s="1" t="s">
        <v>242</v>
      </c>
      <c r="E1126" s="4" t="str">
        <f t="shared" si="343"/>
        <v>Xcel-MN</v>
      </c>
      <c r="F1126" s="4" t="s">
        <v>155</v>
      </c>
      <c r="G1126" s="4"/>
      <c r="H1126" s="11" t="s">
        <v>519</v>
      </c>
      <c r="I1126" s="4"/>
      <c r="J1126" s="4" t="s">
        <v>155</v>
      </c>
      <c r="K1126" s="5">
        <v>0</v>
      </c>
      <c r="L1126" s="5">
        <f t="shared" si="358"/>
        <v>0</v>
      </c>
      <c r="M1126" s="8">
        <v>1102611</v>
      </c>
      <c r="N1126" s="8">
        <v>0</v>
      </c>
      <c r="O1126" s="8">
        <f>SUMIFS(EIAwtransport!$J$2:$J$675,EIAwtransport!$E$2:$E$675,Program_data!$E1126,EIAwtransport!$H$2:$H$675,Program_data!$F1126,EIAwtransport!$I$2:$I$675,Program_data!O$2)</f>
        <v>0</v>
      </c>
      <c r="P1126" s="5">
        <f>SUMIFS(EIAwtransport!$J$2:$J$675,EIAwtransport!$E$2:$E$675,Program_data!$E1126,EIAwtransport!$H$2:$H$675,Program_data!$F1126,EIAwtransport!$I$2:$I$675,Program_data!P$2)</f>
        <v>0</v>
      </c>
      <c r="Q1126" s="5">
        <f>SUMIFS(EIAwtransport!$J$2:$J$675,EIAwtransport!$E$2:$E$675,Program_data!$E1126,EIAwtransport!$H$2:$H$675,Program_data!$F1126,EIAwtransport!$I$2:$I$675,Program_data!Q$2)</f>
        <v>0</v>
      </c>
      <c r="R1126" s="8">
        <f>SUMIFS(EIAwtransport!$J$2:$J$675,EIAwtransport!$E$2:$E$675,Program_data!$E1126,EIAwtransport!$I$2:$I$675,Program_data!R$2)</f>
        <v>526109473</v>
      </c>
      <c r="S1126" s="5">
        <f>SUMIFS(EIAwtransport!$J$2:$J$675,EIAwtransport!$E$2:$E$675,Program_data!$E1126,EIAwtransport!$I$2:$I$675,Program_data!S$2)</f>
        <v>80336233</v>
      </c>
      <c r="T1126" s="5">
        <f>SUMIFS(EIAwtransport!$J$2:$J$675,EIAwtransport!$E$2:$E$675,Program_data!$E1126,EIAwtransport!$I$2:$I$675,Program_data!T$2)</f>
        <v>474354</v>
      </c>
      <c r="U1126" s="24">
        <f t="shared" si="347"/>
        <v>0</v>
      </c>
      <c r="V1126" s="24">
        <f t="shared" si="356"/>
        <v>0</v>
      </c>
      <c r="W1126" s="24">
        <f t="shared" si="348"/>
        <v>2.0957824494446994E-3</v>
      </c>
      <c r="X1126" s="25">
        <f t="shared" si="349"/>
        <v>1.324802386547465E-3</v>
      </c>
      <c r="Y1126" s="8" t="str">
        <f t="shared" si="354"/>
        <v/>
      </c>
      <c r="Z1126" s="27">
        <f t="shared" si="355"/>
        <v>8.5834692407994864E-2</v>
      </c>
      <c r="AA1126" s="27"/>
      <c r="AB1126" s="40"/>
      <c r="AC1126" s="56">
        <f t="shared" si="357"/>
        <v>0</v>
      </c>
      <c r="AE1126" s="20">
        <f t="shared" si="359"/>
        <v>0</v>
      </c>
      <c r="AF1126" s="20">
        <f t="shared" si="360"/>
        <v>710247788.55000007</v>
      </c>
      <c r="AG1126">
        <f t="shared" si="351"/>
        <v>0</v>
      </c>
      <c r="AH1126">
        <f t="shared" si="352"/>
        <v>0</v>
      </c>
      <c r="AI1126">
        <f t="shared" si="353"/>
        <v>8473865856.8400002</v>
      </c>
    </row>
    <row r="1127" spans="2:35" x14ac:dyDescent="0.25">
      <c r="B1127" s="4">
        <v>2025</v>
      </c>
      <c r="C1127" s="4" t="s">
        <v>241</v>
      </c>
      <c r="D1127" s="1" t="s">
        <v>242</v>
      </c>
      <c r="E1127" s="4" t="str">
        <f t="shared" si="343"/>
        <v>Xcel-MN</v>
      </c>
      <c r="F1127" s="4" t="s">
        <v>155</v>
      </c>
      <c r="G1127" s="4"/>
      <c r="H1127" s="11" t="s">
        <v>520</v>
      </c>
      <c r="I1127" s="4"/>
      <c r="J1127" s="4" t="s">
        <v>155</v>
      </c>
      <c r="K1127" s="5">
        <v>0</v>
      </c>
      <c r="L1127" s="5">
        <f t="shared" si="358"/>
        <v>0</v>
      </c>
      <c r="M1127" s="8">
        <v>101314</v>
      </c>
      <c r="N1127" s="8">
        <v>0</v>
      </c>
      <c r="O1127" s="8">
        <f>SUMIFS(EIAwtransport!$J$2:$J$675,EIAwtransport!$E$2:$E$675,Program_data!$E1127,EIAwtransport!$H$2:$H$675,Program_data!$F1127,EIAwtransport!$I$2:$I$675,Program_data!O$2)</f>
        <v>0</v>
      </c>
      <c r="P1127" s="5">
        <f>SUMIFS(EIAwtransport!$J$2:$J$675,EIAwtransport!$E$2:$E$675,Program_data!$E1127,EIAwtransport!$H$2:$H$675,Program_data!$F1127,EIAwtransport!$I$2:$I$675,Program_data!P$2)</f>
        <v>0</v>
      </c>
      <c r="Q1127" s="5">
        <f>SUMIFS(EIAwtransport!$J$2:$J$675,EIAwtransport!$E$2:$E$675,Program_data!$E1127,EIAwtransport!$H$2:$H$675,Program_data!$F1127,EIAwtransport!$I$2:$I$675,Program_data!Q$2)</f>
        <v>0</v>
      </c>
      <c r="R1127" s="8">
        <f>SUMIFS(EIAwtransport!$J$2:$J$675,EIAwtransport!$E$2:$E$675,Program_data!$E1127,EIAwtransport!$I$2:$I$675,Program_data!R$2)</f>
        <v>526109473</v>
      </c>
      <c r="S1127" s="5">
        <f>SUMIFS(EIAwtransport!$J$2:$J$675,EIAwtransport!$E$2:$E$675,Program_data!$E1127,EIAwtransport!$I$2:$I$675,Program_data!S$2)</f>
        <v>80336233</v>
      </c>
      <c r="T1127" s="5">
        <f>SUMIFS(EIAwtransport!$J$2:$J$675,EIAwtransport!$E$2:$E$675,Program_data!$E1127,EIAwtransport!$I$2:$I$675,Program_data!T$2)</f>
        <v>474354</v>
      </c>
      <c r="U1127" s="24">
        <f t="shared" si="347"/>
        <v>0</v>
      </c>
      <c r="V1127" s="24">
        <f t="shared" si="356"/>
        <v>0</v>
      </c>
      <c r="W1127" s="24">
        <f t="shared" si="348"/>
        <v>1.9257208850903925E-4</v>
      </c>
      <c r="X1127" s="25">
        <f t="shared" si="349"/>
        <v>1.217301740964582E-4</v>
      </c>
      <c r="Y1127" s="8" t="str">
        <f t="shared" si="354"/>
        <v/>
      </c>
      <c r="Z1127" s="27">
        <f t="shared" si="355"/>
        <v>7.8869665064320877E-3</v>
      </c>
      <c r="AA1127" s="27"/>
      <c r="AB1127" s="40"/>
      <c r="AC1127" s="56">
        <f t="shared" si="357"/>
        <v>0</v>
      </c>
      <c r="AE1127" s="20">
        <f t="shared" si="359"/>
        <v>0</v>
      </c>
      <c r="AF1127" s="20">
        <f t="shared" si="360"/>
        <v>710247788.55000007</v>
      </c>
      <c r="AG1127">
        <f t="shared" si="351"/>
        <v>0</v>
      </c>
      <c r="AH1127">
        <f t="shared" si="352"/>
        <v>0</v>
      </c>
      <c r="AI1127">
        <f t="shared" si="353"/>
        <v>8473865856.8400002</v>
      </c>
    </row>
    <row r="1128" spans="2:35" x14ac:dyDescent="0.25">
      <c r="B1128" s="4">
        <v>2025</v>
      </c>
      <c r="C1128" s="4" t="s">
        <v>241</v>
      </c>
      <c r="D1128" s="1" t="s">
        <v>242</v>
      </c>
      <c r="E1128" s="4" t="str">
        <f t="shared" si="343"/>
        <v>Xcel-MN</v>
      </c>
      <c r="F1128" s="4" t="s">
        <v>155</v>
      </c>
      <c r="G1128" s="4"/>
      <c r="H1128" s="11" t="s">
        <v>521</v>
      </c>
      <c r="I1128" s="4"/>
      <c r="J1128" s="4" t="s">
        <v>155</v>
      </c>
      <c r="K1128" s="5">
        <v>0</v>
      </c>
      <c r="L1128" s="5">
        <f t="shared" si="358"/>
        <v>0</v>
      </c>
      <c r="M1128" s="8">
        <v>50085</v>
      </c>
      <c r="N1128" s="8">
        <v>0</v>
      </c>
      <c r="O1128" s="8">
        <f>SUMIFS(EIAwtransport!$J$2:$J$675,EIAwtransport!$E$2:$E$675,Program_data!$E1128,EIAwtransport!$H$2:$H$675,Program_data!$F1128,EIAwtransport!$I$2:$I$675,Program_data!O$2)</f>
        <v>0</v>
      </c>
      <c r="P1128" s="5">
        <f>SUMIFS(EIAwtransport!$J$2:$J$675,EIAwtransport!$E$2:$E$675,Program_data!$E1128,EIAwtransport!$H$2:$H$675,Program_data!$F1128,EIAwtransport!$I$2:$I$675,Program_data!P$2)</f>
        <v>0</v>
      </c>
      <c r="Q1128" s="5">
        <f>SUMIFS(EIAwtransport!$J$2:$J$675,EIAwtransport!$E$2:$E$675,Program_data!$E1128,EIAwtransport!$H$2:$H$675,Program_data!$F1128,EIAwtransport!$I$2:$I$675,Program_data!Q$2)</f>
        <v>0</v>
      </c>
      <c r="R1128" s="8">
        <f>SUMIFS(EIAwtransport!$J$2:$J$675,EIAwtransport!$E$2:$E$675,Program_data!$E1128,EIAwtransport!$I$2:$I$675,Program_data!R$2)</f>
        <v>526109473</v>
      </c>
      <c r="S1128" s="5">
        <f>SUMIFS(EIAwtransport!$J$2:$J$675,EIAwtransport!$E$2:$E$675,Program_data!$E1128,EIAwtransport!$I$2:$I$675,Program_data!S$2)</f>
        <v>80336233</v>
      </c>
      <c r="T1128" s="5">
        <f>SUMIFS(EIAwtransport!$J$2:$J$675,EIAwtransport!$E$2:$E$675,Program_data!$E1128,EIAwtransport!$I$2:$I$675,Program_data!T$2)</f>
        <v>474354</v>
      </c>
      <c r="U1128" s="24">
        <f t="shared" si="347"/>
        <v>0</v>
      </c>
      <c r="V1128" s="24">
        <f t="shared" si="356"/>
        <v>0</v>
      </c>
      <c r="W1128" s="24">
        <f t="shared" si="348"/>
        <v>9.5198818060438149E-5</v>
      </c>
      <c r="X1128" s="25">
        <f t="shared" si="349"/>
        <v>6.0177821126607461E-5</v>
      </c>
      <c r="Y1128" s="8" t="str">
        <f t="shared" si="354"/>
        <v/>
      </c>
      <c r="Z1128" s="27">
        <f t="shared" si="355"/>
        <v>3.8989549072650487E-3</v>
      </c>
      <c r="AA1128" s="27"/>
      <c r="AB1128" s="40"/>
      <c r="AC1128" s="56">
        <f t="shared" si="357"/>
        <v>0</v>
      </c>
      <c r="AE1128" s="20">
        <f t="shared" si="359"/>
        <v>0</v>
      </c>
      <c r="AF1128" s="20">
        <f t="shared" si="360"/>
        <v>710247788.55000007</v>
      </c>
      <c r="AG1128">
        <f t="shared" si="351"/>
        <v>0</v>
      </c>
      <c r="AH1128">
        <f t="shared" si="352"/>
        <v>0</v>
      </c>
      <c r="AI1128">
        <f t="shared" si="353"/>
        <v>8473865856.8400002</v>
      </c>
    </row>
    <row r="1129" spans="2:35" x14ac:dyDescent="0.25">
      <c r="B1129" s="4">
        <v>2025</v>
      </c>
      <c r="C1129" s="4" t="s">
        <v>241</v>
      </c>
      <c r="D1129" s="1" t="s">
        <v>242</v>
      </c>
      <c r="E1129" s="4" t="str">
        <f t="shared" ref="E1129:E1216" si="361">D1129&amp;"-"&amp;C1129</f>
        <v>Xcel-MN</v>
      </c>
      <c r="F1129" s="4" t="s">
        <v>135</v>
      </c>
      <c r="G1129" s="4"/>
      <c r="H1129" s="11" t="s">
        <v>522</v>
      </c>
      <c r="I1129" s="4"/>
      <c r="J1129" s="4" t="s">
        <v>142</v>
      </c>
      <c r="K1129" s="5">
        <v>106760</v>
      </c>
      <c r="L1129" s="5">
        <f t="shared" si="358"/>
        <v>106760</v>
      </c>
      <c r="M1129" s="8">
        <v>99099</v>
      </c>
      <c r="N1129" s="8">
        <v>62522</v>
      </c>
      <c r="O1129" s="8">
        <f>SUMIFS(EIAwtransport!$J$2:$J$675,EIAwtransport!$E$2:$E$675,Program_data!$E1129,EIAwtransport!$H$2:$H$675,Program_data!$F1129,EIAwtransport!$I$2:$I$675,Program_data!O$2)</f>
        <v>306619750</v>
      </c>
      <c r="P1129" s="5">
        <f>SUMIFS(EIAwtransport!$J$2:$J$675,EIAwtransport!$E$2:$E$675,Program_data!$E1129,EIAwtransport!$H$2:$H$675,Program_data!$F1129,EIAwtransport!$I$2:$I$675,Program_data!P$2)</f>
        <v>35286911</v>
      </c>
      <c r="Q1129" s="5">
        <f>SUMIFS(EIAwtransport!$J$2:$J$675,EIAwtransport!$E$2:$E$675,Program_data!$E1129,EIAwtransport!$H$2:$H$675,Program_data!$F1129,EIAwtransport!$I$2:$I$675,Program_data!Q$2)</f>
        <v>438247</v>
      </c>
      <c r="R1129" s="8">
        <f>SUMIFS(EIAwtransport!$J$2:$J$675,EIAwtransport!$E$2:$E$675,Program_data!$E1129,EIAwtransport!$I$2:$I$675,Program_data!R$2)</f>
        <v>526109473</v>
      </c>
      <c r="S1129" s="5">
        <f>SUMIFS(EIAwtransport!$J$2:$J$675,EIAwtransport!$E$2:$E$675,Program_data!$E1129,EIAwtransport!$I$2:$I$675,Program_data!S$2)</f>
        <v>80336233</v>
      </c>
      <c r="T1129" s="5">
        <f>SUMIFS(EIAwtransport!$J$2:$J$675,EIAwtransport!$E$2:$E$675,Program_data!$E1129,EIAwtransport!$I$2:$I$675,Program_data!T$2)</f>
        <v>474354</v>
      </c>
      <c r="U1129" s="24">
        <f t="shared" ref="U1129:U1192" si="362">IFERROR(K1129/10.36/S1129,"")</f>
        <v>1.2827361851805156E-4</v>
      </c>
      <c r="V1129" s="24">
        <f t="shared" si="356"/>
        <v>1.2827361851805156E-4</v>
      </c>
      <c r="W1129" s="24">
        <f t="shared" ref="W1129:W1192" si="363">IFERROR(M1129/R1129,"")</f>
        <v>1.8836193812461538E-4</v>
      </c>
      <c r="X1129" s="25">
        <f t="shared" ref="X1129:X1192" si="364">IFERROR(M1129/S1129/10.36,"")</f>
        <v>1.1906882092094784E-4</v>
      </c>
      <c r="Y1129" s="8">
        <f t="shared" si="354"/>
        <v>2.1222705740253731E-2</v>
      </c>
      <c r="Z1129" s="27">
        <f t="shared" si="355"/>
        <v>7.7145359360099646E-3</v>
      </c>
      <c r="AA1129" s="27"/>
      <c r="AB1129" s="40">
        <v>10676</v>
      </c>
      <c r="AC1129" s="56">
        <f t="shared" si="357"/>
        <v>3.3885566069236247E-3</v>
      </c>
      <c r="AE1129" s="20">
        <f t="shared" si="359"/>
        <v>84404.700000000012</v>
      </c>
      <c r="AF1129" s="20">
        <f t="shared" si="360"/>
        <v>710247788.55000007</v>
      </c>
      <c r="AG1129">
        <f t="shared" si="351"/>
        <v>11261044.800000001</v>
      </c>
      <c r="AH1129">
        <f t="shared" si="352"/>
        <v>11261044.800000001</v>
      </c>
      <c r="AI1129">
        <f t="shared" si="353"/>
        <v>8473865856.8400002</v>
      </c>
    </row>
    <row r="1130" spans="2:35" x14ac:dyDescent="0.25">
      <c r="B1130" s="4">
        <v>2025</v>
      </c>
      <c r="C1130" s="4" t="s">
        <v>241</v>
      </c>
      <c r="D1130" s="1" t="s">
        <v>242</v>
      </c>
      <c r="E1130" s="4" t="str">
        <f t="shared" si="361"/>
        <v>Xcel-MN</v>
      </c>
      <c r="F1130" s="4" t="s">
        <v>155</v>
      </c>
      <c r="G1130" s="4"/>
      <c r="H1130" s="11" t="s">
        <v>523</v>
      </c>
      <c r="I1130" s="4"/>
      <c r="J1130" s="4" t="s">
        <v>155</v>
      </c>
      <c r="K1130" s="5">
        <v>0</v>
      </c>
      <c r="L1130" s="5">
        <f t="shared" si="358"/>
        <v>0</v>
      </c>
      <c r="M1130" s="8">
        <v>21943</v>
      </c>
      <c r="N1130" s="8">
        <v>0</v>
      </c>
      <c r="O1130" s="8">
        <f>SUMIFS(EIAwtransport!$J$2:$J$675,EIAwtransport!$E$2:$E$675,Program_data!$E1130,EIAwtransport!$H$2:$H$675,Program_data!$F1130,EIAwtransport!$I$2:$I$675,Program_data!O$2)</f>
        <v>0</v>
      </c>
      <c r="P1130" s="5">
        <f>SUMIFS(EIAwtransport!$J$2:$J$675,EIAwtransport!$E$2:$E$675,Program_data!$E1130,EIAwtransport!$H$2:$H$675,Program_data!$F1130,EIAwtransport!$I$2:$I$675,Program_data!P$2)</f>
        <v>0</v>
      </c>
      <c r="Q1130" s="5">
        <f>SUMIFS(EIAwtransport!$J$2:$J$675,EIAwtransport!$E$2:$E$675,Program_data!$E1130,EIAwtransport!$H$2:$H$675,Program_data!$F1130,EIAwtransport!$I$2:$I$675,Program_data!Q$2)</f>
        <v>0</v>
      </c>
      <c r="R1130" s="8">
        <f>SUMIFS(EIAwtransport!$J$2:$J$675,EIAwtransport!$E$2:$E$675,Program_data!$E1130,EIAwtransport!$I$2:$I$675,Program_data!R$2)</f>
        <v>526109473</v>
      </c>
      <c r="S1130" s="5">
        <f>SUMIFS(EIAwtransport!$J$2:$J$675,EIAwtransport!$E$2:$E$675,Program_data!$E1130,EIAwtransport!$I$2:$I$675,Program_data!S$2)</f>
        <v>80336233</v>
      </c>
      <c r="T1130" s="5">
        <f>SUMIFS(EIAwtransport!$J$2:$J$675,EIAwtransport!$E$2:$E$675,Program_data!$E1130,EIAwtransport!$I$2:$I$675,Program_data!T$2)</f>
        <v>474354</v>
      </c>
      <c r="U1130" s="24">
        <f t="shared" si="362"/>
        <v>0</v>
      </c>
      <c r="V1130" s="24">
        <f t="shared" si="356"/>
        <v>0</v>
      </c>
      <c r="W1130" s="24">
        <f t="shared" si="363"/>
        <v>4.1708049609667456E-5</v>
      </c>
      <c r="X1130" s="25">
        <f t="shared" si="364"/>
        <v>2.6364818388362737E-5</v>
      </c>
      <c r="Y1130" s="8" t="str">
        <f t="shared" si="354"/>
        <v/>
      </c>
      <c r="Z1130" s="27">
        <f t="shared" si="355"/>
        <v>1.7081914251795341E-3</v>
      </c>
      <c r="AA1130" s="27"/>
      <c r="AB1130" s="40"/>
      <c r="AC1130" s="56">
        <f t="shared" si="357"/>
        <v>0</v>
      </c>
      <c r="AE1130" s="20">
        <f t="shared" si="359"/>
        <v>0</v>
      </c>
      <c r="AF1130" s="20">
        <f t="shared" si="360"/>
        <v>710247788.55000007</v>
      </c>
      <c r="AG1130">
        <f t="shared" si="351"/>
        <v>0</v>
      </c>
      <c r="AH1130">
        <f t="shared" si="352"/>
        <v>0</v>
      </c>
      <c r="AI1130">
        <f t="shared" si="353"/>
        <v>8473865856.8400002</v>
      </c>
    </row>
    <row r="1131" spans="2:35" x14ac:dyDescent="0.25">
      <c r="B1131" s="4">
        <v>2026</v>
      </c>
      <c r="C1131" s="4" t="s">
        <v>241</v>
      </c>
      <c r="D1131" s="1" t="s">
        <v>242</v>
      </c>
      <c r="E1131" s="4" t="str">
        <f t="shared" si="361"/>
        <v>Xcel-MN</v>
      </c>
      <c r="F1131" s="4" t="s">
        <v>135</v>
      </c>
      <c r="G1131" s="4"/>
      <c r="H1131" s="11" t="s">
        <v>480</v>
      </c>
      <c r="I1131" s="4"/>
      <c r="J1131" s="4" t="s">
        <v>155</v>
      </c>
      <c r="K1131" s="5">
        <v>0</v>
      </c>
      <c r="L1131" s="5">
        <f t="shared" si="358"/>
        <v>0</v>
      </c>
      <c r="M1131" s="8">
        <v>707804</v>
      </c>
      <c r="N1131" s="8">
        <v>0</v>
      </c>
      <c r="O1131" s="8">
        <f>SUMIFS(EIAwtransport!$J$2:$J$675,EIAwtransport!$E$2:$E$675,Program_data!$E1131,EIAwtransport!$H$2:$H$675,Program_data!$F1131,EIAwtransport!$I$2:$I$675,Program_data!O$2)</f>
        <v>306619750</v>
      </c>
      <c r="P1131" s="5">
        <f>SUMIFS(EIAwtransport!$J$2:$J$675,EIAwtransport!$E$2:$E$675,Program_data!$E1131,EIAwtransport!$H$2:$H$675,Program_data!$F1131,EIAwtransport!$I$2:$I$675,Program_data!P$2)</f>
        <v>35286911</v>
      </c>
      <c r="Q1131" s="5">
        <f>SUMIFS(EIAwtransport!$J$2:$J$675,EIAwtransport!$E$2:$E$675,Program_data!$E1131,EIAwtransport!$H$2:$H$675,Program_data!$F1131,EIAwtransport!$I$2:$I$675,Program_data!Q$2)</f>
        <v>438247</v>
      </c>
      <c r="R1131" s="8">
        <f>SUMIFS(EIAwtransport!$J$2:$J$675,EIAwtransport!$E$2:$E$675,Program_data!$E1131,EIAwtransport!$I$2:$I$675,Program_data!R$2)</f>
        <v>526109473</v>
      </c>
      <c r="S1131" s="5">
        <f>SUMIFS(EIAwtransport!$J$2:$J$675,EIAwtransport!$E$2:$E$675,Program_data!$E1131,EIAwtransport!$I$2:$I$675,Program_data!S$2)</f>
        <v>80336233</v>
      </c>
      <c r="T1131" s="5">
        <f>SUMIFS(EIAwtransport!$J$2:$J$675,EIAwtransport!$E$2:$E$675,Program_data!$E1131,EIAwtransport!$I$2:$I$675,Program_data!T$2)</f>
        <v>474354</v>
      </c>
      <c r="U1131" s="24">
        <f t="shared" si="362"/>
        <v>0</v>
      </c>
      <c r="V1131" s="24">
        <f t="shared" si="356"/>
        <v>0</v>
      </c>
      <c r="W1131" s="24">
        <f t="shared" si="363"/>
        <v>1.3453549809014748E-3</v>
      </c>
      <c r="X1131" s="25">
        <f t="shared" si="364"/>
        <v>8.5043630836971679E-4</v>
      </c>
      <c r="Y1131" s="8">
        <f t="shared" si="354"/>
        <v>0.14890647556479161</v>
      </c>
      <c r="Z1131" s="27">
        <f t="shared" si="355"/>
        <v>5.5499082756991919E-2</v>
      </c>
      <c r="AA1131" s="27"/>
      <c r="AB1131" s="40"/>
      <c r="AC1131" s="56">
        <f t="shared" si="357"/>
        <v>0</v>
      </c>
      <c r="AE1131" s="20">
        <f t="shared" si="359"/>
        <v>0</v>
      </c>
      <c r="AF1131" s="20">
        <f t="shared" si="360"/>
        <v>710247788.55000007</v>
      </c>
      <c r="AG1131">
        <f t="shared" si="351"/>
        <v>0</v>
      </c>
      <c r="AH1131">
        <f t="shared" si="352"/>
        <v>0</v>
      </c>
      <c r="AI1131">
        <f t="shared" si="353"/>
        <v>8473865856.8400002</v>
      </c>
    </row>
    <row r="1132" spans="2:35" x14ac:dyDescent="0.25">
      <c r="B1132" s="4">
        <v>2026</v>
      </c>
      <c r="C1132" s="4" t="s">
        <v>241</v>
      </c>
      <c r="D1132" s="1" t="s">
        <v>242</v>
      </c>
      <c r="E1132" s="4" t="str">
        <f t="shared" si="361"/>
        <v>Xcel-MN</v>
      </c>
      <c r="F1132" s="4" t="s">
        <v>135</v>
      </c>
      <c r="G1132" s="4"/>
      <c r="H1132" s="11" t="s">
        <v>481</v>
      </c>
      <c r="I1132" s="4"/>
      <c r="J1132" s="4" t="s">
        <v>32</v>
      </c>
      <c r="K1132" s="5">
        <v>535540</v>
      </c>
      <c r="L1132" s="5">
        <f t="shared" si="358"/>
        <v>535540</v>
      </c>
      <c r="M1132" s="8">
        <v>2632130</v>
      </c>
      <c r="N1132" s="8">
        <v>1660933</v>
      </c>
      <c r="O1132" s="8">
        <f>SUMIFS(EIAwtransport!$J$2:$J$675,EIAwtransport!$E$2:$E$675,Program_data!$E1132,EIAwtransport!$H$2:$H$675,Program_data!$F1132,EIAwtransport!$I$2:$I$675,Program_data!O$2)</f>
        <v>306619750</v>
      </c>
      <c r="P1132" s="5">
        <f>SUMIFS(EIAwtransport!$J$2:$J$675,EIAwtransport!$E$2:$E$675,Program_data!$E1132,EIAwtransport!$H$2:$H$675,Program_data!$F1132,EIAwtransport!$I$2:$I$675,Program_data!P$2)</f>
        <v>35286911</v>
      </c>
      <c r="Q1132" s="5">
        <f>SUMIFS(EIAwtransport!$J$2:$J$675,EIAwtransport!$E$2:$E$675,Program_data!$E1132,EIAwtransport!$H$2:$H$675,Program_data!$F1132,EIAwtransport!$I$2:$I$675,Program_data!Q$2)</f>
        <v>438247</v>
      </c>
      <c r="R1132" s="8">
        <f>SUMIFS(EIAwtransport!$J$2:$J$675,EIAwtransport!$E$2:$E$675,Program_data!$E1132,EIAwtransport!$I$2:$I$675,Program_data!R$2)</f>
        <v>526109473</v>
      </c>
      <c r="S1132" s="5">
        <f>SUMIFS(EIAwtransport!$J$2:$J$675,EIAwtransport!$E$2:$E$675,Program_data!$E1132,EIAwtransport!$I$2:$I$675,Program_data!S$2)</f>
        <v>80336233</v>
      </c>
      <c r="T1132" s="5">
        <f>SUMIFS(EIAwtransport!$J$2:$J$675,EIAwtransport!$E$2:$E$675,Program_data!$E1132,EIAwtransport!$I$2:$I$675,Program_data!T$2)</f>
        <v>474354</v>
      </c>
      <c r="U1132" s="24">
        <f t="shared" si="362"/>
        <v>6.4345872668749844E-4</v>
      </c>
      <c r="V1132" s="24">
        <f t="shared" si="356"/>
        <v>6.4345872668749844E-4</v>
      </c>
      <c r="W1132" s="24">
        <f t="shared" si="363"/>
        <v>5.0030081857127097E-3</v>
      </c>
      <c r="X1132" s="25">
        <f t="shared" si="364"/>
        <v>3.1625406473390696E-3</v>
      </c>
      <c r="Y1132" s="8">
        <f t="shared" si="354"/>
        <v>0.55374256365936758</v>
      </c>
      <c r="Z1132" s="27">
        <f t="shared" si="355"/>
        <v>0.20638594963741536</v>
      </c>
      <c r="AA1132" s="27"/>
      <c r="AB1132" s="40">
        <v>39905</v>
      </c>
      <c r="AC1132" s="56">
        <f t="shared" si="357"/>
        <v>1.5775593841939179E-2</v>
      </c>
      <c r="AE1132" s="20">
        <f t="shared" si="359"/>
        <v>2242259.5500000003</v>
      </c>
      <c r="AF1132" s="20">
        <f t="shared" si="360"/>
        <v>710247788.55000007</v>
      </c>
      <c r="AG1132">
        <f t="shared" si="351"/>
        <v>56488759.200000003</v>
      </c>
      <c r="AH1132">
        <f t="shared" si="352"/>
        <v>56488759.200000003</v>
      </c>
      <c r="AI1132">
        <f t="shared" si="353"/>
        <v>8473865856.8400002</v>
      </c>
    </row>
    <row r="1133" spans="2:35" x14ac:dyDescent="0.25">
      <c r="B1133" s="4">
        <v>2026</v>
      </c>
      <c r="C1133" s="4" t="s">
        <v>241</v>
      </c>
      <c r="D1133" s="1" t="s">
        <v>242</v>
      </c>
      <c r="E1133" s="4" t="str">
        <f t="shared" si="361"/>
        <v>Xcel-MN</v>
      </c>
      <c r="F1133" s="4" t="s">
        <v>135</v>
      </c>
      <c r="G1133" s="4"/>
      <c r="H1133" s="11" t="s">
        <v>482</v>
      </c>
      <c r="I1133" s="4"/>
      <c r="J1133" s="4" t="s">
        <v>142</v>
      </c>
      <c r="K1133" s="5">
        <v>156950</v>
      </c>
      <c r="L1133" s="5">
        <f t="shared" si="358"/>
        <v>156950</v>
      </c>
      <c r="M1133" s="8">
        <v>264686</v>
      </c>
      <c r="N1133" s="8">
        <v>59238</v>
      </c>
      <c r="O1133" s="8">
        <f>SUMIFS(EIAwtransport!$J$2:$J$675,EIAwtransport!$E$2:$E$675,Program_data!$E1133,EIAwtransport!$H$2:$H$675,Program_data!$F1133,EIAwtransport!$I$2:$I$675,Program_data!O$2)</f>
        <v>306619750</v>
      </c>
      <c r="P1133" s="5">
        <f>SUMIFS(EIAwtransport!$J$2:$J$675,EIAwtransport!$E$2:$E$675,Program_data!$E1133,EIAwtransport!$H$2:$H$675,Program_data!$F1133,EIAwtransport!$I$2:$I$675,Program_data!P$2)</f>
        <v>35286911</v>
      </c>
      <c r="Q1133" s="5">
        <f>SUMIFS(EIAwtransport!$J$2:$J$675,EIAwtransport!$E$2:$E$675,Program_data!$E1133,EIAwtransport!$H$2:$H$675,Program_data!$F1133,EIAwtransport!$I$2:$I$675,Program_data!Q$2)</f>
        <v>438247</v>
      </c>
      <c r="R1133" s="8">
        <f>SUMIFS(EIAwtransport!$J$2:$J$675,EIAwtransport!$E$2:$E$675,Program_data!$E1133,EIAwtransport!$I$2:$I$675,Program_data!R$2)</f>
        <v>526109473</v>
      </c>
      <c r="S1133" s="5">
        <f>SUMIFS(EIAwtransport!$J$2:$J$675,EIAwtransport!$E$2:$E$675,Program_data!$E1133,EIAwtransport!$I$2:$I$675,Program_data!S$2)</f>
        <v>80336233</v>
      </c>
      <c r="T1133" s="5">
        <f>SUMIFS(EIAwtransport!$J$2:$J$675,EIAwtransport!$E$2:$E$675,Program_data!$E1133,EIAwtransport!$I$2:$I$675,Program_data!T$2)</f>
        <v>474354</v>
      </c>
      <c r="U1133" s="24">
        <f t="shared" si="362"/>
        <v>1.8857759859880284E-4</v>
      </c>
      <c r="V1133" s="24">
        <f t="shared" si="356"/>
        <v>1.8857759859880284E-4</v>
      </c>
      <c r="W1133" s="24">
        <f t="shared" si="363"/>
        <v>5.0310061609554028E-4</v>
      </c>
      <c r="X1133" s="25">
        <f t="shared" si="364"/>
        <v>3.1802389463346758E-4</v>
      </c>
      <c r="Y1133" s="8">
        <f t="shared" si="354"/>
        <v>5.5684143338187456E-2</v>
      </c>
      <c r="Z1133" s="27">
        <f t="shared" si="355"/>
        <v>2.0754093249850471E-2</v>
      </c>
      <c r="AA1133" s="27"/>
      <c r="AB1133" s="40">
        <v>13004</v>
      </c>
      <c r="AC1133" s="56">
        <f t="shared" si="357"/>
        <v>4.6233324373386748E-3</v>
      </c>
      <c r="AE1133" s="20">
        <f t="shared" si="359"/>
        <v>79971.3</v>
      </c>
      <c r="AF1133" s="20">
        <f t="shared" si="360"/>
        <v>710247788.55000007</v>
      </c>
      <c r="AG1133">
        <f t="shared" si="351"/>
        <v>16555086</v>
      </c>
      <c r="AH1133">
        <f t="shared" si="352"/>
        <v>16555086</v>
      </c>
      <c r="AI1133">
        <f t="shared" si="353"/>
        <v>8473865856.8400002</v>
      </c>
    </row>
    <row r="1134" spans="2:35" x14ac:dyDescent="0.25">
      <c r="B1134" s="4">
        <v>2026</v>
      </c>
      <c r="C1134" s="4" t="s">
        <v>241</v>
      </c>
      <c r="D1134" s="1" t="s">
        <v>242</v>
      </c>
      <c r="E1134" s="4" t="str">
        <f t="shared" si="361"/>
        <v>Xcel-MN</v>
      </c>
      <c r="F1134" s="4" t="s">
        <v>135</v>
      </c>
      <c r="G1134" s="4"/>
      <c r="H1134" s="11" t="s">
        <v>483</v>
      </c>
      <c r="I1134" s="4"/>
      <c r="J1134" s="4" t="s">
        <v>155</v>
      </c>
      <c r="K1134" s="5">
        <v>0</v>
      </c>
      <c r="L1134" s="5">
        <f t="shared" si="358"/>
        <v>0</v>
      </c>
      <c r="M1134" s="8">
        <v>1924822</v>
      </c>
      <c r="N1134" s="8">
        <v>0</v>
      </c>
      <c r="O1134" s="8">
        <f>SUMIFS(EIAwtransport!$J$2:$J$675,EIAwtransport!$E$2:$E$675,Program_data!$E1134,EIAwtransport!$H$2:$H$675,Program_data!$F1134,EIAwtransport!$I$2:$I$675,Program_data!O$2)</f>
        <v>306619750</v>
      </c>
      <c r="P1134" s="5">
        <f>SUMIFS(EIAwtransport!$J$2:$J$675,EIAwtransport!$E$2:$E$675,Program_data!$E1134,EIAwtransport!$H$2:$H$675,Program_data!$F1134,EIAwtransport!$I$2:$I$675,Program_data!P$2)</f>
        <v>35286911</v>
      </c>
      <c r="Q1134" s="5">
        <f>SUMIFS(EIAwtransport!$J$2:$J$675,EIAwtransport!$E$2:$E$675,Program_data!$E1134,EIAwtransport!$H$2:$H$675,Program_data!$F1134,EIAwtransport!$I$2:$I$675,Program_data!Q$2)</f>
        <v>438247</v>
      </c>
      <c r="R1134" s="8">
        <f>SUMIFS(EIAwtransport!$J$2:$J$675,EIAwtransport!$E$2:$E$675,Program_data!$E1134,EIAwtransport!$I$2:$I$675,Program_data!R$2)</f>
        <v>526109473</v>
      </c>
      <c r="S1134" s="5">
        <f>SUMIFS(EIAwtransport!$J$2:$J$675,EIAwtransport!$E$2:$E$675,Program_data!$E1134,EIAwtransport!$I$2:$I$675,Program_data!S$2)</f>
        <v>80336233</v>
      </c>
      <c r="T1134" s="5">
        <f>SUMIFS(EIAwtransport!$J$2:$J$675,EIAwtransport!$E$2:$E$675,Program_data!$E1134,EIAwtransport!$I$2:$I$675,Program_data!T$2)</f>
        <v>474354</v>
      </c>
      <c r="U1134" s="24">
        <f t="shared" si="362"/>
        <v>0</v>
      </c>
      <c r="V1134" s="24">
        <f t="shared" si="356"/>
        <v>0</v>
      </c>
      <c r="W1134" s="24">
        <f t="shared" si="363"/>
        <v>3.6585959743781309E-3</v>
      </c>
      <c r="X1134" s="25">
        <f t="shared" si="364"/>
        <v>2.3127002898384514E-3</v>
      </c>
      <c r="Y1134" s="8">
        <f t="shared" si="354"/>
        <v>0.40494043564259785</v>
      </c>
      <c r="Z1134" s="27">
        <f t="shared" si="355"/>
        <v>0.1509257583603352</v>
      </c>
      <c r="AA1134" s="27"/>
      <c r="AB1134" s="40"/>
      <c r="AC1134" s="56">
        <f t="shared" si="357"/>
        <v>0</v>
      </c>
      <c r="AE1134" s="20">
        <f t="shared" si="359"/>
        <v>0</v>
      </c>
      <c r="AF1134" s="20">
        <f t="shared" si="360"/>
        <v>710247788.55000007</v>
      </c>
      <c r="AG1134">
        <f t="shared" si="351"/>
        <v>0</v>
      </c>
      <c r="AH1134">
        <f t="shared" si="352"/>
        <v>0</v>
      </c>
      <c r="AI1134">
        <f t="shared" si="353"/>
        <v>8473865856.8400002</v>
      </c>
    </row>
    <row r="1135" spans="2:35" x14ac:dyDescent="0.25">
      <c r="B1135" s="4">
        <v>2026</v>
      </c>
      <c r="C1135" s="4" t="s">
        <v>241</v>
      </c>
      <c r="D1135" s="1" t="s">
        <v>242</v>
      </c>
      <c r="E1135" s="4" t="str">
        <f t="shared" si="361"/>
        <v>Xcel-MN</v>
      </c>
      <c r="F1135" s="4" t="s">
        <v>135</v>
      </c>
      <c r="G1135" s="4"/>
      <c r="H1135" s="11" t="s">
        <v>484</v>
      </c>
      <c r="I1135" s="4"/>
      <c r="J1135" s="4" t="s">
        <v>142</v>
      </c>
      <c r="K1135" s="5">
        <v>632850</v>
      </c>
      <c r="L1135" s="5">
        <f t="shared" si="358"/>
        <v>632850</v>
      </c>
      <c r="M1135" s="8">
        <v>302989</v>
      </c>
      <c r="N1135" s="8">
        <v>0</v>
      </c>
      <c r="O1135" s="8">
        <f>SUMIFS(EIAwtransport!$J$2:$J$675,EIAwtransport!$E$2:$E$675,Program_data!$E1135,EIAwtransport!$H$2:$H$675,Program_data!$F1135,EIAwtransport!$I$2:$I$675,Program_data!O$2)</f>
        <v>306619750</v>
      </c>
      <c r="P1135" s="5">
        <f>SUMIFS(EIAwtransport!$J$2:$J$675,EIAwtransport!$E$2:$E$675,Program_data!$E1135,EIAwtransport!$H$2:$H$675,Program_data!$F1135,EIAwtransport!$I$2:$I$675,Program_data!P$2)</f>
        <v>35286911</v>
      </c>
      <c r="Q1135" s="5">
        <f>SUMIFS(EIAwtransport!$J$2:$J$675,EIAwtransport!$E$2:$E$675,Program_data!$E1135,EIAwtransport!$H$2:$H$675,Program_data!$F1135,EIAwtransport!$I$2:$I$675,Program_data!Q$2)</f>
        <v>438247</v>
      </c>
      <c r="R1135" s="8">
        <f>SUMIFS(EIAwtransport!$J$2:$J$675,EIAwtransport!$E$2:$E$675,Program_data!$E1135,EIAwtransport!$I$2:$I$675,Program_data!R$2)</f>
        <v>526109473</v>
      </c>
      <c r="S1135" s="5">
        <f>SUMIFS(EIAwtransport!$J$2:$J$675,EIAwtransport!$E$2:$E$675,Program_data!$E1135,EIAwtransport!$I$2:$I$675,Program_data!S$2)</f>
        <v>80336233</v>
      </c>
      <c r="T1135" s="5">
        <f>SUMIFS(EIAwtransport!$J$2:$J$675,EIAwtransport!$E$2:$E$675,Program_data!$E1135,EIAwtransport!$I$2:$I$675,Program_data!T$2)</f>
        <v>474354</v>
      </c>
      <c r="U1135" s="24">
        <f t="shared" si="362"/>
        <v>7.6037803933260524E-4</v>
      </c>
      <c r="V1135" s="24">
        <f t="shared" si="356"/>
        <v>7.6037803933260524E-4</v>
      </c>
      <c r="W1135" s="24">
        <f t="shared" si="363"/>
        <v>5.759048554520135E-4</v>
      </c>
      <c r="X1135" s="25">
        <f t="shared" si="364"/>
        <v>3.6404547959128819E-4</v>
      </c>
      <c r="Y1135" s="8">
        <f t="shared" si="354"/>
        <v>6.3742256507310843E-2</v>
      </c>
      <c r="Z1135" s="27">
        <f t="shared" si="355"/>
        <v>2.3757440739891587E-2</v>
      </c>
      <c r="AA1135" s="27"/>
      <c r="AB1135" s="40">
        <v>63598</v>
      </c>
      <c r="AC1135" s="56">
        <f t="shared" si="357"/>
        <v>1.8642089410447787E-2</v>
      </c>
      <c r="AE1135" s="20">
        <f t="shared" si="359"/>
        <v>0</v>
      </c>
      <c r="AF1135" s="20">
        <f t="shared" si="360"/>
        <v>710247788.55000007</v>
      </c>
      <c r="AG1135">
        <f t="shared" si="351"/>
        <v>66753018</v>
      </c>
      <c r="AH1135">
        <f t="shared" si="352"/>
        <v>66753018</v>
      </c>
      <c r="AI1135">
        <f t="shared" si="353"/>
        <v>8473865856.8400002</v>
      </c>
    </row>
    <row r="1136" spans="2:35" x14ac:dyDescent="0.25">
      <c r="B1136" s="4">
        <v>2026</v>
      </c>
      <c r="C1136" s="4" t="s">
        <v>241</v>
      </c>
      <c r="D1136" s="1" t="s">
        <v>242</v>
      </c>
      <c r="E1136" s="4" t="str">
        <f t="shared" si="361"/>
        <v>Xcel-MN</v>
      </c>
      <c r="F1136" s="4" t="s">
        <v>135</v>
      </c>
      <c r="G1136" s="4"/>
      <c r="H1136" s="11" t="s">
        <v>278</v>
      </c>
      <c r="I1136" s="4"/>
      <c r="J1136" s="4" t="s">
        <v>142</v>
      </c>
      <c r="K1136" s="5">
        <v>388080</v>
      </c>
      <c r="L1136" s="5">
        <f t="shared" si="358"/>
        <v>388080</v>
      </c>
      <c r="M1136" s="8">
        <v>1236574</v>
      </c>
      <c r="N1136" s="8">
        <v>182760</v>
      </c>
      <c r="O1136" s="8">
        <f>SUMIFS(EIAwtransport!$J$2:$J$675,EIAwtransport!$E$2:$E$675,Program_data!$E1136,EIAwtransport!$H$2:$H$675,Program_data!$F1136,EIAwtransport!$I$2:$I$675,Program_data!O$2)</f>
        <v>306619750</v>
      </c>
      <c r="P1136" s="5">
        <f>SUMIFS(EIAwtransport!$J$2:$J$675,EIAwtransport!$E$2:$E$675,Program_data!$E1136,EIAwtransport!$H$2:$H$675,Program_data!$F1136,EIAwtransport!$I$2:$I$675,Program_data!P$2)</f>
        <v>35286911</v>
      </c>
      <c r="Q1136" s="5">
        <f>SUMIFS(EIAwtransport!$J$2:$J$675,EIAwtransport!$E$2:$E$675,Program_data!$E1136,EIAwtransport!$H$2:$H$675,Program_data!$F1136,EIAwtransport!$I$2:$I$675,Program_data!Q$2)</f>
        <v>438247</v>
      </c>
      <c r="R1136" s="8">
        <f>SUMIFS(EIAwtransport!$J$2:$J$675,EIAwtransport!$E$2:$E$675,Program_data!$E1136,EIAwtransport!$I$2:$I$675,Program_data!R$2)</f>
        <v>526109473</v>
      </c>
      <c r="S1136" s="5">
        <f>SUMIFS(EIAwtransport!$J$2:$J$675,EIAwtransport!$E$2:$E$675,Program_data!$E1136,EIAwtransport!$I$2:$I$675,Program_data!S$2)</f>
        <v>80336233</v>
      </c>
      <c r="T1136" s="5">
        <f>SUMIFS(EIAwtransport!$J$2:$J$675,EIAwtransport!$E$2:$E$675,Program_data!$E1136,EIAwtransport!$I$2:$I$675,Program_data!T$2)</f>
        <v>474354</v>
      </c>
      <c r="U1136" s="24">
        <f t="shared" si="362"/>
        <v>4.6628349451559997E-4</v>
      </c>
      <c r="V1136" s="24">
        <f t="shared" si="356"/>
        <v>4.6628349451559997E-4</v>
      </c>
      <c r="W1136" s="24">
        <f t="shared" si="363"/>
        <v>2.3504119645456375E-3</v>
      </c>
      <c r="X1136" s="25">
        <f t="shared" si="364"/>
        <v>1.4857607862995607E-3</v>
      </c>
      <c r="Y1136" s="8">
        <f t="shared" si="354"/>
        <v>0.26014811461231729</v>
      </c>
      <c r="Z1136" s="27">
        <f t="shared" si="355"/>
        <v>9.6960066291154792E-2</v>
      </c>
      <c r="AA1136" s="27"/>
      <c r="AB1136" s="40">
        <v>33827</v>
      </c>
      <c r="AC1136" s="56">
        <f t="shared" si="357"/>
        <v>1.1431811738020981E-2</v>
      </c>
      <c r="AE1136" s="20">
        <f t="shared" si="359"/>
        <v>246726.00000000003</v>
      </c>
      <c r="AF1136" s="20">
        <f t="shared" si="360"/>
        <v>710247788.55000007</v>
      </c>
      <c r="AG1136">
        <f t="shared" si="351"/>
        <v>40934678.399999999</v>
      </c>
      <c r="AH1136">
        <f t="shared" si="352"/>
        <v>40934678.399999999</v>
      </c>
      <c r="AI1136">
        <f t="shared" si="353"/>
        <v>8473865856.8400002</v>
      </c>
    </row>
    <row r="1137" spans="2:35" x14ac:dyDescent="0.25">
      <c r="B1137" s="4">
        <v>2026</v>
      </c>
      <c r="C1137" s="4" t="s">
        <v>241</v>
      </c>
      <c r="D1137" s="1" t="s">
        <v>242</v>
      </c>
      <c r="E1137" s="4" t="str">
        <f t="shared" si="361"/>
        <v>Xcel-MN</v>
      </c>
      <c r="F1137" s="4" t="s">
        <v>135</v>
      </c>
      <c r="G1137" s="4"/>
      <c r="H1137" s="11" t="s">
        <v>485</v>
      </c>
      <c r="I1137" s="4"/>
      <c r="J1137" s="4" t="s">
        <v>27</v>
      </c>
      <c r="K1137" s="5">
        <v>390260</v>
      </c>
      <c r="L1137" s="5">
        <f t="shared" si="358"/>
        <v>390260</v>
      </c>
      <c r="M1137" s="8">
        <v>1470935</v>
      </c>
      <c r="N1137" s="8">
        <v>1420691</v>
      </c>
      <c r="O1137" s="8">
        <f>SUMIFS(EIAwtransport!$J$2:$J$675,EIAwtransport!$E$2:$E$675,Program_data!$E1137,EIAwtransport!$H$2:$H$675,Program_data!$F1137,EIAwtransport!$I$2:$I$675,Program_data!O$2)</f>
        <v>306619750</v>
      </c>
      <c r="P1137" s="5">
        <f>SUMIFS(EIAwtransport!$J$2:$J$675,EIAwtransport!$E$2:$E$675,Program_data!$E1137,EIAwtransport!$H$2:$H$675,Program_data!$F1137,EIAwtransport!$I$2:$I$675,Program_data!P$2)</f>
        <v>35286911</v>
      </c>
      <c r="Q1137" s="5">
        <f>SUMIFS(EIAwtransport!$J$2:$J$675,EIAwtransport!$E$2:$E$675,Program_data!$E1137,EIAwtransport!$H$2:$H$675,Program_data!$F1137,EIAwtransport!$I$2:$I$675,Program_data!Q$2)</f>
        <v>438247</v>
      </c>
      <c r="R1137" s="8">
        <f>SUMIFS(EIAwtransport!$J$2:$J$675,EIAwtransport!$E$2:$E$675,Program_data!$E1137,EIAwtransport!$I$2:$I$675,Program_data!R$2)</f>
        <v>526109473</v>
      </c>
      <c r="S1137" s="5">
        <f>SUMIFS(EIAwtransport!$J$2:$J$675,EIAwtransport!$E$2:$E$675,Program_data!$E1137,EIAwtransport!$I$2:$I$675,Program_data!S$2)</f>
        <v>80336233</v>
      </c>
      <c r="T1137" s="5">
        <f>SUMIFS(EIAwtransport!$J$2:$J$675,EIAwtransport!$E$2:$E$675,Program_data!$E1137,EIAwtransport!$I$2:$I$675,Program_data!T$2)</f>
        <v>474354</v>
      </c>
      <c r="U1137" s="24">
        <f t="shared" si="362"/>
        <v>4.6890279470639568E-4</v>
      </c>
      <c r="V1137" s="24">
        <f t="shared" si="356"/>
        <v>4.6890279470639568E-4</v>
      </c>
      <c r="W1137" s="24">
        <f t="shared" si="363"/>
        <v>2.7958724856490084E-3</v>
      </c>
      <c r="X1137" s="25">
        <f t="shared" si="364"/>
        <v>1.7673487734624408E-3</v>
      </c>
      <c r="Y1137" s="8">
        <f t="shared" si="354"/>
        <v>0.30945254143081524</v>
      </c>
      <c r="Z1137" s="27">
        <f t="shared" si="355"/>
        <v>0.11533636895970623</v>
      </c>
      <c r="AA1137" s="27"/>
      <c r="AB1137" s="40">
        <v>32321</v>
      </c>
      <c r="AC1137" s="56">
        <f t="shared" si="357"/>
        <v>1.1496028779839384E-2</v>
      </c>
      <c r="AE1137" s="20">
        <f t="shared" si="359"/>
        <v>1917932.85</v>
      </c>
      <c r="AF1137" s="20">
        <f t="shared" si="360"/>
        <v>710247788.55000007</v>
      </c>
      <c r="AG1137">
        <f t="shared" si="351"/>
        <v>41164624.800000004</v>
      </c>
      <c r="AH1137">
        <f t="shared" si="352"/>
        <v>41164624.800000004</v>
      </c>
      <c r="AI1137">
        <f t="shared" si="353"/>
        <v>8473865856.8400002</v>
      </c>
    </row>
    <row r="1138" spans="2:35" x14ac:dyDescent="0.25">
      <c r="B1138" s="4">
        <v>2026</v>
      </c>
      <c r="C1138" s="4" t="s">
        <v>241</v>
      </c>
      <c r="D1138" s="1" t="s">
        <v>242</v>
      </c>
      <c r="E1138" s="4" t="str">
        <f t="shared" si="361"/>
        <v>Xcel-MN</v>
      </c>
      <c r="F1138" s="4" t="s">
        <v>135</v>
      </c>
      <c r="G1138" s="4"/>
      <c r="H1138" s="11" t="s">
        <v>486</v>
      </c>
      <c r="I1138" s="4"/>
      <c r="J1138" s="4" t="s">
        <v>142</v>
      </c>
      <c r="K1138" s="5">
        <v>2055400</v>
      </c>
      <c r="L1138" s="5">
        <f t="shared" si="358"/>
        <v>2055400</v>
      </c>
      <c r="M1138" s="8">
        <v>5379417</v>
      </c>
      <c r="N1138" s="8">
        <v>4888297</v>
      </c>
      <c r="O1138" s="8">
        <f>SUMIFS(EIAwtransport!$J$2:$J$675,EIAwtransport!$E$2:$E$675,Program_data!$E1138,EIAwtransport!$H$2:$H$675,Program_data!$F1138,EIAwtransport!$I$2:$I$675,Program_data!O$2)</f>
        <v>306619750</v>
      </c>
      <c r="P1138" s="5">
        <f>SUMIFS(EIAwtransport!$J$2:$J$675,EIAwtransport!$E$2:$E$675,Program_data!$E1138,EIAwtransport!$H$2:$H$675,Program_data!$F1138,EIAwtransport!$I$2:$I$675,Program_data!P$2)</f>
        <v>35286911</v>
      </c>
      <c r="Q1138" s="5">
        <f>SUMIFS(EIAwtransport!$J$2:$J$675,EIAwtransport!$E$2:$E$675,Program_data!$E1138,EIAwtransport!$H$2:$H$675,Program_data!$F1138,EIAwtransport!$I$2:$I$675,Program_data!Q$2)</f>
        <v>438247</v>
      </c>
      <c r="R1138" s="8">
        <f>SUMIFS(EIAwtransport!$J$2:$J$675,EIAwtransport!$E$2:$E$675,Program_data!$E1138,EIAwtransport!$I$2:$I$675,Program_data!R$2)</f>
        <v>526109473</v>
      </c>
      <c r="S1138" s="5">
        <f>SUMIFS(EIAwtransport!$J$2:$J$675,EIAwtransport!$E$2:$E$675,Program_data!$E1138,EIAwtransport!$I$2:$I$675,Program_data!S$2)</f>
        <v>80336233</v>
      </c>
      <c r="T1138" s="5">
        <f>SUMIFS(EIAwtransport!$J$2:$J$675,EIAwtransport!$E$2:$E$675,Program_data!$E1138,EIAwtransport!$I$2:$I$675,Program_data!T$2)</f>
        <v>474354</v>
      </c>
      <c r="U1138" s="24">
        <f t="shared" si="362"/>
        <v>2.4695915652117196E-3</v>
      </c>
      <c r="V1138" s="24">
        <f t="shared" si="356"/>
        <v>2.4695915652117196E-3</v>
      </c>
      <c r="W1138" s="24">
        <f t="shared" si="363"/>
        <v>1.0224900474278287E-2</v>
      </c>
      <c r="X1138" s="25">
        <f t="shared" si="364"/>
        <v>6.4634440249861508E-3</v>
      </c>
      <c r="Y1138" s="8">
        <f t="shared" si="354"/>
        <v>1.1317116406001162</v>
      </c>
      <c r="Z1138" s="27">
        <f t="shared" si="355"/>
        <v>0.42180138748490997</v>
      </c>
      <c r="AA1138" s="27"/>
      <c r="AB1138" s="40">
        <v>205540</v>
      </c>
      <c r="AC1138" s="56">
        <f t="shared" si="357"/>
        <v>6.0546654932818814E-2</v>
      </c>
      <c r="AE1138" s="20">
        <f t="shared" si="359"/>
        <v>6599200.9500000002</v>
      </c>
      <c r="AF1138" s="20">
        <f t="shared" si="360"/>
        <v>710247788.55000007</v>
      </c>
      <c r="AG1138">
        <f t="shared" si="351"/>
        <v>216803592</v>
      </c>
      <c r="AH1138">
        <f t="shared" si="352"/>
        <v>216803592</v>
      </c>
      <c r="AI1138">
        <f t="shared" si="353"/>
        <v>8473865856.8400002</v>
      </c>
    </row>
    <row r="1139" spans="2:35" x14ac:dyDescent="0.25">
      <c r="B1139" s="4">
        <v>2026</v>
      </c>
      <c r="C1139" s="4" t="s">
        <v>241</v>
      </c>
      <c r="D1139" s="1" t="s">
        <v>242</v>
      </c>
      <c r="E1139" s="4" t="str">
        <f t="shared" si="361"/>
        <v>Xcel-MN</v>
      </c>
      <c r="F1139" s="4" t="s">
        <v>135</v>
      </c>
      <c r="G1139" s="4"/>
      <c r="H1139" s="11" t="s">
        <v>487</v>
      </c>
      <c r="I1139" s="4"/>
      <c r="J1139" s="4" t="s">
        <v>42</v>
      </c>
      <c r="K1139" s="5">
        <v>539560</v>
      </c>
      <c r="L1139" s="5">
        <f t="shared" si="358"/>
        <v>539560</v>
      </c>
      <c r="M1139" s="8">
        <v>431439</v>
      </c>
      <c r="N1139" s="8">
        <v>89009</v>
      </c>
      <c r="O1139" s="8">
        <f>SUMIFS(EIAwtransport!$J$2:$J$675,EIAwtransport!$E$2:$E$675,Program_data!$E1139,EIAwtransport!$H$2:$H$675,Program_data!$F1139,EIAwtransport!$I$2:$I$675,Program_data!O$2)</f>
        <v>306619750</v>
      </c>
      <c r="P1139" s="5">
        <f>SUMIFS(EIAwtransport!$J$2:$J$675,EIAwtransport!$E$2:$E$675,Program_data!$E1139,EIAwtransport!$H$2:$H$675,Program_data!$F1139,EIAwtransport!$I$2:$I$675,Program_data!P$2)</f>
        <v>35286911</v>
      </c>
      <c r="Q1139" s="5">
        <f>SUMIFS(EIAwtransport!$J$2:$J$675,EIAwtransport!$E$2:$E$675,Program_data!$E1139,EIAwtransport!$H$2:$H$675,Program_data!$F1139,EIAwtransport!$I$2:$I$675,Program_data!Q$2)</f>
        <v>438247</v>
      </c>
      <c r="R1139" s="8">
        <f>SUMIFS(EIAwtransport!$J$2:$J$675,EIAwtransport!$E$2:$E$675,Program_data!$E1139,EIAwtransport!$I$2:$I$675,Program_data!R$2)</f>
        <v>526109473</v>
      </c>
      <c r="S1139" s="5">
        <f>SUMIFS(EIAwtransport!$J$2:$J$675,EIAwtransport!$E$2:$E$675,Program_data!$E1139,EIAwtransport!$I$2:$I$675,Program_data!S$2)</f>
        <v>80336233</v>
      </c>
      <c r="T1139" s="5">
        <f>SUMIFS(EIAwtransport!$J$2:$J$675,EIAwtransport!$E$2:$E$675,Program_data!$E1139,EIAwtransport!$I$2:$I$675,Program_data!T$2)</f>
        <v>474354</v>
      </c>
      <c r="U1139" s="24">
        <f t="shared" si="362"/>
        <v>6.4828881236043382E-4</v>
      </c>
      <c r="V1139" s="24">
        <f t="shared" si="356"/>
        <v>6.4828881236043382E-4</v>
      </c>
      <c r="W1139" s="24">
        <f t="shared" si="363"/>
        <v>8.2005556284670813E-4</v>
      </c>
      <c r="X1139" s="25">
        <f t="shared" si="364"/>
        <v>5.1837993349390828E-4</v>
      </c>
      <c r="Y1139" s="8">
        <f t="shared" si="354"/>
        <v>9.0765326151304782E-2</v>
      </c>
      <c r="Z1139" s="27">
        <f t="shared" si="355"/>
        <v>3.3829236293654509E-2</v>
      </c>
      <c r="AA1139" s="27"/>
      <c r="AB1139" s="40">
        <v>51598</v>
      </c>
      <c r="AC1139" s="56">
        <f t="shared" si="357"/>
        <v>1.5894012423641003E-2</v>
      </c>
      <c r="AE1139" s="20">
        <f t="shared" si="359"/>
        <v>120162.15000000001</v>
      </c>
      <c r="AF1139" s="20">
        <f t="shared" si="360"/>
        <v>710247788.55000007</v>
      </c>
      <c r="AG1139">
        <f t="shared" si="351"/>
        <v>56912788.800000004</v>
      </c>
      <c r="AH1139">
        <f t="shared" si="352"/>
        <v>56912788.800000004</v>
      </c>
      <c r="AI1139">
        <f t="shared" si="353"/>
        <v>8473865856.8400002</v>
      </c>
    </row>
    <row r="1140" spans="2:35" x14ac:dyDescent="0.25">
      <c r="B1140" s="4">
        <v>2026</v>
      </c>
      <c r="C1140" s="4" t="s">
        <v>241</v>
      </c>
      <c r="D1140" s="1" t="s">
        <v>242</v>
      </c>
      <c r="E1140" s="4" t="str">
        <f t="shared" si="361"/>
        <v>Xcel-MN</v>
      </c>
      <c r="F1140" s="4" t="s">
        <v>135</v>
      </c>
      <c r="G1140" s="4"/>
      <c r="H1140" s="11" t="s">
        <v>488</v>
      </c>
      <c r="I1140" s="4"/>
      <c r="J1140" s="4" t="s">
        <v>142</v>
      </c>
      <c r="K1140" s="5">
        <v>44030</v>
      </c>
      <c r="L1140" s="5">
        <f t="shared" si="358"/>
        <v>44030</v>
      </c>
      <c r="M1140" s="8">
        <v>202935</v>
      </c>
      <c r="N1140" s="8">
        <v>166185</v>
      </c>
      <c r="O1140" s="8">
        <f>SUMIFS(EIAwtransport!$J$2:$J$675,EIAwtransport!$E$2:$E$675,Program_data!$E1140,EIAwtransport!$H$2:$H$675,Program_data!$F1140,EIAwtransport!$I$2:$I$675,Program_data!O$2)</f>
        <v>306619750</v>
      </c>
      <c r="P1140" s="5">
        <f>SUMIFS(EIAwtransport!$J$2:$J$675,EIAwtransport!$E$2:$E$675,Program_data!$E1140,EIAwtransport!$H$2:$H$675,Program_data!$F1140,EIAwtransport!$I$2:$I$675,Program_data!P$2)</f>
        <v>35286911</v>
      </c>
      <c r="Q1140" s="5">
        <f>SUMIFS(EIAwtransport!$J$2:$J$675,EIAwtransport!$E$2:$E$675,Program_data!$E1140,EIAwtransport!$H$2:$H$675,Program_data!$F1140,EIAwtransport!$I$2:$I$675,Program_data!Q$2)</f>
        <v>438247</v>
      </c>
      <c r="R1140" s="8">
        <f>SUMIFS(EIAwtransport!$J$2:$J$675,EIAwtransport!$E$2:$E$675,Program_data!$E1140,EIAwtransport!$I$2:$I$675,Program_data!R$2)</f>
        <v>526109473</v>
      </c>
      <c r="S1140" s="5">
        <f>SUMIFS(EIAwtransport!$J$2:$J$675,EIAwtransport!$E$2:$E$675,Program_data!$E1140,EIAwtransport!$I$2:$I$675,Program_data!S$2)</f>
        <v>80336233</v>
      </c>
      <c r="T1140" s="5">
        <f>SUMIFS(EIAwtransport!$J$2:$J$675,EIAwtransport!$E$2:$E$675,Program_data!$E1140,EIAwtransport!$I$2:$I$675,Program_data!T$2)</f>
        <v>474354</v>
      </c>
      <c r="U1140" s="24">
        <f t="shared" si="362"/>
        <v>5.2902654770979863E-5</v>
      </c>
      <c r="V1140" s="24">
        <f t="shared" si="356"/>
        <v>5.2902654770979863E-5</v>
      </c>
      <c r="W1140" s="24">
        <f t="shared" si="363"/>
        <v>3.8572770576210478E-4</v>
      </c>
      <c r="X1140" s="25">
        <f t="shared" si="364"/>
        <v>2.4382921294455596E-4</v>
      </c>
      <c r="Y1140" s="8">
        <f t="shared" si="354"/>
        <v>4.2693083987574224E-2</v>
      </c>
      <c r="Z1140" s="27">
        <f t="shared" si="355"/>
        <v>1.5912182411077298E-2</v>
      </c>
      <c r="AA1140" s="27"/>
      <c r="AB1140" s="40">
        <v>3685</v>
      </c>
      <c r="AC1140" s="56">
        <f t="shared" si="357"/>
        <v>1.2970075005799418E-3</v>
      </c>
      <c r="AE1140" s="20">
        <f t="shared" si="359"/>
        <v>224349.75000000003</v>
      </c>
      <c r="AF1140" s="20">
        <f t="shared" si="360"/>
        <v>710247788.55000007</v>
      </c>
      <c r="AG1140">
        <f t="shared" si="351"/>
        <v>4644284.4000000004</v>
      </c>
      <c r="AH1140">
        <f t="shared" si="352"/>
        <v>4644284.4000000004</v>
      </c>
      <c r="AI1140">
        <f t="shared" si="353"/>
        <v>8473865856.8400002</v>
      </c>
    </row>
    <row r="1141" spans="2:35" x14ac:dyDescent="0.25">
      <c r="B1141" s="4">
        <v>2026</v>
      </c>
      <c r="C1141" s="4" t="s">
        <v>241</v>
      </c>
      <c r="D1141" s="1" t="s">
        <v>242</v>
      </c>
      <c r="E1141" s="4" t="str">
        <f t="shared" si="361"/>
        <v>Xcel-MN</v>
      </c>
      <c r="F1141" s="4" t="s">
        <v>146</v>
      </c>
      <c r="G1141" s="4"/>
      <c r="H1141" s="11" t="s">
        <v>490</v>
      </c>
      <c r="I1141" s="4"/>
      <c r="J1141" s="4" t="s">
        <v>155</v>
      </c>
      <c r="K1141" s="44">
        <v>0</v>
      </c>
      <c r="L1141" s="5">
        <f t="shared" si="358"/>
        <v>0</v>
      </c>
      <c r="M1141" s="8">
        <v>35050</v>
      </c>
      <c r="N1141" s="8">
        <v>0</v>
      </c>
      <c r="O1141" s="8">
        <f>SUMIFS(EIAwtransport!$J$2:$J$675,EIAwtransport!$E$2:$E$675,Program_data!$E1141,EIAwtransport!$H$2:$H$675,Program_data!$F1141,EIAwtransport!$I$2:$I$675,Program_data!O$2)</f>
        <v>219489723</v>
      </c>
      <c r="P1141" s="5">
        <f>SUMIFS(EIAwtransport!$J$2:$J$675,EIAwtransport!$E$2:$E$675,Program_data!$E1141,EIAwtransport!$H$2:$H$675,Program_data!$F1141,EIAwtransport!$I$2:$I$675,Program_data!P$2)</f>
        <v>45049322</v>
      </c>
      <c r="Q1141" s="5">
        <f>SUMIFS(EIAwtransport!$J$2:$J$675,EIAwtransport!$E$2:$E$675,Program_data!$E1141,EIAwtransport!$H$2:$H$675,Program_data!$F1141,EIAwtransport!$I$2:$I$675,Program_data!Q$2)</f>
        <v>36107</v>
      </c>
      <c r="R1141" s="8">
        <f>SUMIFS(EIAwtransport!$J$2:$J$675,EIAwtransport!$E$2:$E$675,Program_data!$E1141,EIAwtransport!$I$2:$I$675,Program_data!R$2)</f>
        <v>526109473</v>
      </c>
      <c r="S1141" s="5">
        <f>SUMIFS(EIAwtransport!$J$2:$J$675,EIAwtransport!$E$2:$E$675,Program_data!$E1141,EIAwtransport!$I$2:$I$675,Program_data!S$2)</f>
        <v>80336233</v>
      </c>
      <c r="T1141" s="5">
        <f>SUMIFS(EIAwtransport!$J$2:$J$675,EIAwtransport!$E$2:$E$675,Program_data!$E1141,EIAwtransport!$I$2:$I$675,Program_data!T$2)</f>
        <v>474354</v>
      </c>
      <c r="U1141" s="24">
        <f t="shared" si="362"/>
        <v>0</v>
      </c>
      <c r="V1141" s="24">
        <f t="shared" si="356"/>
        <v>0</v>
      </c>
      <c r="W1141" s="24">
        <f t="shared" si="363"/>
        <v>6.6621115563908498E-5</v>
      </c>
      <c r="X1141" s="25">
        <f t="shared" si="364"/>
        <v>4.2113060407059835E-5</v>
      </c>
      <c r="Y1141" s="8">
        <f t="shared" si="354"/>
        <v>4.6011142441570443E-3</v>
      </c>
      <c r="Z1141" s="27">
        <f t="shared" si="355"/>
        <v>2.7482789736036624E-3</v>
      </c>
      <c r="AA1141" s="27"/>
      <c r="AB1141" s="40"/>
      <c r="AC1141" s="56">
        <f t="shared" si="357"/>
        <v>0</v>
      </c>
      <c r="AE1141" s="20">
        <f t="shared" si="359"/>
        <v>0</v>
      </c>
      <c r="AF1141" s="20">
        <f t="shared" si="360"/>
        <v>710247788.55000007</v>
      </c>
      <c r="AG1141">
        <f t="shared" si="351"/>
        <v>0</v>
      </c>
      <c r="AH1141">
        <f t="shared" si="352"/>
        <v>0</v>
      </c>
      <c r="AI1141">
        <f t="shared" si="353"/>
        <v>8473865856.8400002</v>
      </c>
    </row>
    <row r="1142" spans="2:35" x14ac:dyDescent="0.25">
      <c r="B1142" s="4">
        <v>2026</v>
      </c>
      <c r="C1142" s="4" t="s">
        <v>241</v>
      </c>
      <c r="D1142" s="1" t="s">
        <v>242</v>
      </c>
      <c r="E1142" s="4" t="str">
        <f t="shared" si="361"/>
        <v>Xcel-MN</v>
      </c>
      <c r="F1142" s="4" t="s">
        <v>146</v>
      </c>
      <c r="G1142" s="4"/>
      <c r="H1142" s="11" t="s">
        <v>491</v>
      </c>
      <c r="I1142" s="4"/>
      <c r="J1142" s="4" t="s">
        <v>68</v>
      </c>
      <c r="K1142" s="44">
        <v>320340</v>
      </c>
      <c r="L1142" s="5">
        <f t="shared" si="358"/>
        <v>320340</v>
      </c>
      <c r="M1142" s="8">
        <v>443922</v>
      </c>
      <c r="N1142" s="8">
        <v>239529</v>
      </c>
      <c r="O1142" s="8">
        <f>SUMIFS(EIAwtransport!$J$2:$J$675,EIAwtransport!$E$2:$E$675,Program_data!$E1142,EIAwtransport!$H$2:$H$675,Program_data!$F1142,EIAwtransport!$I$2:$I$675,Program_data!O$2)</f>
        <v>219489723</v>
      </c>
      <c r="P1142" s="5">
        <f>SUMIFS(EIAwtransport!$J$2:$J$675,EIAwtransport!$E$2:$E$675,Program_data!$E1142,EIAwtransport!$H$2:$H$675,Program_data!$F1142,EIAwtransport!$I$2:$I$675,Program_data!P$2)</f>
        <v>45049322</v>
      </c>
      <c r="Q1142" s="5">
        <f>SUMIFS(EIAwtransport!$J$2:$J$675,EIAwtransport!$E$2:$E$675,Program_data!$E1142,EIAwtransport!$H$2:$H$675,Program_data!$F1142,EIAwtransport!$I$2:$I$675,Program_data!Q$2)</f>
        <v>36107</v>
      </c>
      <c r="R1142" s="8">
        <f>SUMIFS(EIAwtransport!$J$2:$J$675,EIAwtransport!$E$2:$E$675,Program_data!$E1142,EIAwtransport!$I$2:$I$675,Program_data!R$2)</f>
        <v>526109473</v>
      </c>
      <c r="S1142" s="5">
        <f>SUMIFS(EIAwtransport!$J$2:$J$675,EIAwtransport!$E$2:$E$675,Program_data!$E1142,EIAwtransport!$I$2:$I$675,Program_data!S$2)</f>
        <v>80336233</v>
      </c>
      <c r="T1142" s="5">
        <f>SUMIFS(EIAwtransport!$J$2:$J$675,EIAwtransport!$E$2:$E$675,Program_data!$E1142,EIAwtransport!$I$2:$I$675,Program_data!T$2)</f>
        <v>474354</v>
      </c>
      <c r="U1142" s="24">
        <f t="shared" si="362"/>
        <v>3.8489294638509406E-4</v>
      </c>
      <c r="V1142" s="24">
        <f t="shared" si="356"/>
        <v>3.8489294638509406E-4</v>
      </c>
      <c r="W1142" s="24">
        <f t="shared" si="363"/>
        <v>8.4378256386195122E-4</v>
      </c>
      <c r="X1142" s="25">
        <f t="shared" si="364"/>
        <v>5.3337843087083634E-4</v>
      </c>
      <c r="Y1142" s="8">
        <f t="shared" si="354"/>
        <v>5.8274916904270571E-2</v>
      </c>
      <c r="Z1142" s="27">
        <f t="shared" si="355"/>
        <v>3.4808031341514556E-2</v>
      </c>
      <c r="AA1142" s="27"/>
      <c r="AB1142" s="40">
        <v>27552</v>
      </c>
      <c r="AC1142" s="56">
        <f t="shared" si="357"/>
        <v>9.4363702642693281E-3</v>
      </c>
      <c r="AE1142" s="20">
        <f t="shared" si="359"/>
        <v>323364.15000000002</v>
      </c>
      <c r="AF1142" s="20">
        <f t="shared" si="360"/>
        <v>710247788.55000007</v>
      </c>
      <c r="AG1142">
        <f t="shared" si="351"/>
        <v>33789463.200000003</v>
      </c>
      <c r="AH1142">
        <f t="shared" si="352"/>
        <v>33789463.200000003</v>
      </c>
      <c r="AI1142">
        <f t="shared" si="353"/>
        <v>8473865856.8400002</v>
      </c>
    </row>
    <row r="1143" spans="2:35" x14ac:dyDescent="0.25">
      <c r="B1143" s="4">
        <v>2026</v>
      </c>
      <c r="C1143" s="4" t="s">
        <v>241</v>
      </c>
      <c r="D1143" s="1" t="s">
        <v>242</v>
      </c>
      <c r="E1143" s="4" t="str">
        <f t="shared" si="361"/>
        <v>Xcel-MN</v>
      </c>
      <c r="F1143" s="4" t="s">
        <v>146</v>
      </c>
      <c r="G1143" s="4"/>
      <c r="H1143" s="11" t="s">
        <v>492</v>
      </c>
      <c r="I1143" s="4"/>
      <c r="J1143" s="4" t="s">
        <v>32</v>
      </c>
      <c r="K1143" s="44">
        <v>94860</v>
      </c>
      <c r="L1143" s="5">
        <f t="shared" si="358"/>
        <v>94860</v>
      </c>
      <c r="M1143" s="8">
        <v>695185</v>
      </c>
      <c r="N1143" s="8">
        <v>380077</v>
      </c>
      <c r="O1143" s="8">
        <f>SUMIFS(EIAwtransport!$J$2:$J$675,EIAwtransport!$E$2:$E$675,Program_data!$E1143,EIAwtransport!$H$2:$H$675,Program_data!$F1143,EIAwtransport!$I$2:$I$675,Program_data!O$2)</f>
        <v>219489723</v>
      </c>
      <c r="P1143" s="5">
        <f>SUMIFS(EIAwtransport!$J$2:$J$675,EIAwtransport!$E$2:$E$675,Program_data!$E1143,EIAwtransport!$H$2:$H$675,Program_data!$F1143,EIAwtransport!$I$2:$I$675,Program_data!P$2)</f>
        <v>45049322</v>
      </c>
      <c r="Q1143" s="5">
        <f>SUMIFS(EIAwtransport!$J$2:$J$675,EIAwtransport!$E$2:$E$675,Program_data!$E1143,EIAwtransport!$H$2:$H$675,Program_data!$F1143,EIAwtransport!$I$2:$I$675,Program_data!Q$2)</f>
        <v>36107</v>
      </c>
      <c r="R1143" s="8">
        <f>SUMIFS(EIAwtransport!$J$2:$J$675,EIAwtransport!$E$2:$E$675,Program_data!$E1143,EIAwtransport!$I$2:$I$675,Program_data!R$2)</f>
        <v>526109473</v>
      </c>
      <c r="S1143" s="5">
        <f>SUMIFS(EIAwtransport!$J$2:$J$675,EIAwtransport!$E$2:$E$675,Program_data!$E1143,EIAwtransport!$I$2:$I$675,Program_data!S$2)</f>
        <v>80336233</v>
      </c>
      <c r="T1143" s="5">
        <f>SUMIFS(EIAwtransport!$J$2:$J$675,EIAwtransport!$E$2:$E$675,Program_data!$E1143,EIAwtransport!$I$2:$I$675,Program_data!T$2)</f>
        <v>474354</v>
      </c>
      <c r="U1143" s="24">
        <f t="shared" si="362"/>
        <v>1.1397560371508403E-4</v>
      </c>
      <c r="V1143" s="24">
        <f t="shared" si="356"/>
        <v>1.1397560371508403E-4</v>
      </c>
      <c r="W1143" s="24">
        <f t="shared" si="363"/>
        <v>1.3213694785533733E-3</v>
      </c>
      <c r="X1143" s="25">
        <f t="shared" si="364"/>
        <v>8.352744051093264E-4</v>
      </c>
      <c r="Y1143" s="8">
        <f t="shared" si="354"/>
        <v>9.1258933119095997E-2</v>
      </c>
      <c r="Z1143" s="27">
        <f t="shared" si="355"/>
        <v>5.4509623916252845E-2</v>
      </c>
      <c r="AA1143" s="27"/>
      <c r="AB1143" s="40">
        <v>50009</v>
      </c>
      <c r="AC1143" s="56">
        <f t="shared" si="357"/>
        <v>2.7943250398594884E-3</v>
      </c>
      <c r="AE1143" s="20">
        <f t="shared" si="359"/>
        <v>513103.95</v>
      </c>
      <c r="AF1143" s="20">
        <f t="shared" si="360"/>
        <v>710247788.55000007</v>
      </c>
      <c r="AG1143">
        <f t="shared" si="351"/>
        <v>10005832.800000001</v>
      </c>
      <c r="AH1143">
        <f t="shared" si="352"/>
        <v>10005832.800000001</v>
      </c>
      <c r="AI1143">
        <f t="shared" si="353"/>
        <v>8473865856.8400002</v>
      </c>
    </row>
    <row r="1144" spans="2:35" x14ac:dyDescent="0.25">
      <c r="B1144" s="4">
        <v>2026</v>
      </c>
      <c r="C1144" s="4" t="s">
        <v>241</v>
      </c>
      <c r="D1144" s="1" t="s">
        <v>242</v>
      </c>
      <c r="E1144" s="4" t="str">
        <f t="shared" si="361"/>
        <v>Xcel-MN</v>
      </c>
      <c r="F1144" s="4" t="s">
        <v>146</v>
      </c>
      <c r="G1144" s="4"/>
      <c r="H1144" s="11" t="s">
        <v>493</v>
      </c>
      <c r="I1144" s="4"/>
      <c r="J1144" s="4" t="s">
        <v>61</v>
      </c>
      <c r="K1144" s="5">
        <v>205180</v>
      </c>
      <c r="L1144" s="5">
        <f t="shared" si="358"/>
        <v>205180</v>
      </c>
      <c r="M1144" s="8">
        <v>206188</v>
      </c>
      <c r="N1144" s="8">
        <v>120008</v>
      </c>
      <c r="O1144" s="8">
        <f>SUMIFS(EIAwtransport!$J$2:$J$675,EIAwtransport!$E$2:$E$675,Program_data!$E1144,EIAwtransport!$H$2:$H$675,Program_data!$F1144,EIAwtransport!$I$2:$I$675,Program_data!O$2)</f>
        <v>219489723</v>
      </c>
      <c r="P1144" s="5">
        <f>SUMIFS(EIAwtransport!$J$2:$J$675,EIAwtransport!$E$2:$E$675,Program_data!$E1144,EIAwtransport!$H$2:$H$675,Program_data!$F1144,EIAwtransport!$I$2:$I$675,Program_data!P$2)</f>
        <v>45049322</v>
      </c>
      <c r="Q1144" s="5">
        <f>SUMIFS(EIAwtransport!$J$2:$J$675,EIAwtransport!$E$2:$E$675,Program_data!$E1144,EIAwtransport!$H$2:$H$675,Program_data!$F1144,EIAwtransport!$I$2:$I$675,Program_data!Q$2)</f>
        <v>36107</v>
      </c>
      <c r="R1144" s="8">
        <f>SUMIFS(EIAwtransport!$J$2:$J$675,EIAwtransport!$E$2:$E$675,Program_data!$E1144,EIAwtransport!$I$2:$I$675,Program_data!R$2)</f>
        <v>526109473</v>
      </c>
      <c r="S1144" s="5">
        <f>SUMIFS(EIAwtransport!$J$2:$J$675,EIAwtransport!$E$2:$E$675,Program_data!$E1144,EIAwtransport!$I$2:$I$675,Program_data!S$2)</f>
        <v>80336233</v>
      </c>
      <c r="T1144" s="5">
        <f>SUMIFS(EIAwtransport!$J$2:$J$675,EIAwtransport!$E$2:$E$675,Program_data!$E1144,EIAwtransport!$I$2:$I$675,Program_data!T$2)</f>
        <v>474354</v>
      </c>
      <c r="U1144" s="24">
        <f t="shared" si="362"/>
        <v>2.4652661153553597E-4</v>
      </c>
      <c r="V1144" s="24">
        <f t="shared" si="356"/>
        <v>2.4652661153553597E-4</v>
      </c>
      <c r="W1144" s="24">
        <f t="shared" si="363"/>
        <v>3.9191082955466951E-4</v>
      </c>
      <c r="X1144" s="25">
        <f t="shared" si="364"/>
        <v>2.4773773749531676E-4</v>
      </c>
      <c r="Y1144" s="8">
        <f t="shared" si="354"/>
        <v>2.7066891405827465E-2</v>
      </c>
      <c r="Z1144" s="27">
        <f t="shared" si="355"/>
        <v>1.616725092751475E-2</v>
      </c>
      <c r="AA1144" s="27"/>
      <c r="AB1144" s="40">
        <v>20518</v>
      </c>
      <c r="AC1144" s="56">
        <f t="shared" si="357"/>
        <v>6.0440608441742552E-3</v>
      </c>
      <c r="AE1144" s="20">
        <f t="shared" si="359"/>
        <v>162010.80000000002</v>
      </c>
      <c r="AF1144" s="20">
        <f t="shared" si="360"/>
        <v>710247788.55000007</v>
      </c>
      <c r="AG1144">
        <f t="shared" si="351"/>
        <v>21642386.400000002</v>
      </c>
      <c r="AH1144">
        <f t="shared" si="352"/>
        <v>21642386.400000002</v>
      </c>
      <c r="AI1144">
        <f t="shared" si="353"/>
        <v>8473865856.8400002</v>
      </c>
    </row>
    <row r="1145" spans="2:35" x14ac:dyDescent="0.25">
      <c r="B1145" s="4">
        <v>2026</v>
      </c>
      <c r="C1145" s="4" t="s">
        <v>241</v>
      </c>
      <c r="D1145" s="1" t="s">
        <v>242</v>
      </c>
      <c r="E1145" s="4" t="str">
        <f t="shared" si="361"/>
        <v>Xcel-MN</v>
      </c>
      <c r="F1145" s="4" t="s">
        <v>146</v>
      </c>
      <c r="G1145" s="4"/>
      <c r="H1145" s="11" t="s">
        <v>494</v>
      </c>
      <c r="I1145" s="4"/>
      <c r="J1145" s="4" t="s">
        <v>142</v>
      </c>
      <c r="K1145" s="5">
        <v>98250</v>
      </c>
      <c r="L1145" s="5">
        <f t="shared" si="358"/>
        <v>98250</v>
      </c>
      <c r="M1145" s="8">
        <v>76105</v>
      </c>
      <c r="N1145" s="8">
        <v>65620</v>
      </c>
      <c r="O1145" s="8">
        <f>SUMIFS(EIAwtransport!$J$2:$J$675,EIAwtransport!$E$2:$E$675,Program_data!$E1145,EIAwtransport!$H$2:$H$675,Program_data!$F1145,EIAwtransport!$I$2:$I$675,Program_data!O$2)</f>
        <v>219489723</v>
      </c>
      <c r="P1145" s="5">
        <f>SUMIFS(EIAwtransport!$J$2:$J$675,EIAwtransport!$E$2:$E$675,Program_data!$E1145,EIAwtransport!$H$2:$H$675,Program_data!$F1145,EIAwtransport!$I$2:$I$675,Program_data!P$2)</f>
        <v>45049322</v>
      </c>
      <c r="Q1145" s="5">
        <f>SUMIFS(EIAwtransport!$J$2:$J$675,EIAwtransport!$E$2:$E$675,Program_data!$E1145,EIAwtransport!$H$2:$H$675,Program_data!$F1145,EIAwtransport!$I$2:$I$675,Program_data!Q$2)</f>
        <v>36107</v>
      </c>
      <c r="R1145" s="8">
        <f>SUMIFS(EIAwtransport!$J$2:$J$675,EIAwtransport!$E$2:$E$675,Program_data!$E1145,EIAwtransport!$I$2:$I$675,Program_data!R$2)</f>
        <v>526109473</v>
      </c>
      <c r="S1145" s="5">
        <f>SUMIFS(EIAwtransport!$J$2:$J$675,EIAwtransport!$E$2:$E$675,Program_data!$E1145,EIAwtransport!$I$2:$I$675,Program_data!S$2)</f>
        <v>80336233</v>
      </c>
      <c r="T1145" s="5">
        <f>SUMIFS(EIAwtransport!$J$2:$J$675,EIAwtransport!$E$2:$E$675,Program_data!$E1145,EIAwtransport!$I$2:$I$675,Program_data!T$2)</f>
        <v>474354</v>
      </c>
      <c r="U1145" s="24">
        <f t="shared" si="362"/>
        <v>1.1804873566315631E-4</v>
      </c>
      <c r="V1145" s="24">
        <f t="shared" si="356"/>
        <v>1.1804873566315631E-4</v>
      </c>
      <c r="W1145" s="24">
        <f t="shared" si="363"/>
        <v>1.4465620542057793E-4</v>
      </c>
      <c r="X1145" s="25">
        <f t="shared" si="364"/>
        <v>9.1441211477297812E-5</v>
      </c>
      <c r="Y1145" s="8">
        <f t="shared" si="354"/>
        <v>9.9905220984756599E-3</v>
      </c>
      <c r="Z1145" s="27">
        <f t="shared" si="355"/>
        <v>5.9674114489616757E-3</v>
      </c>
      <c r="AA1145" s="27"/>
      <c r="AB1145" s="40">
        <v>7945</v>
      </c>
      <c r="AC1145" s="56">
        <f t="shared" si="357"/>
        <v>2.8941854856229677E-3</v>
      </c>
      <c r="AE1145" s="20">
        <f t="shared" si="359"/>
        <v>88587</v>
      </c>
      <c r="AF1145" s="20">
        <f t="shared" si="360"/>
        <v>710247788.55000007</v>
      </c>
      <c r="AG1145">
        <f t="shared" si="351"/>
        <v>10363410</v>
      </c>
      <c r="AH1145">
        <f t="shared" si="352"/>
        <v>10363410</v>
      </c>
      <c r="AI1145">
        <f t="shared" si="353"/>
        <v>8473865856.8400002</v>
      </c>
    </row>
    <row r="1146" spans="2:35" x14ac:dyDescent="0.25">
      <c r="B1146" s="4">
        <v>2026</v>
      </c>
      <c r="C1146" s="4" t="s">
        <v>241</v>
      </c>
      <c r="D1146" s="1" t="s">
        <v>242</v>
      </c>
      <c r="E1146" s="4" t="str">
        <f t="shared" si="361"/>
        <v>Xcel-MN</v>
      </c>
      <c r="F1146" s="4" t="s">
        <v>146</v>
      </c>
      <c r="G1146" s="4"/>
      <c r="H1146" s="11" t="s">
        <v>495</v>
      </c>
      <c r="I1146" s="4"/>
      <c r="J1146" s="4" t="s">
        <v>155</v>
      </c>
      <c r="K1146" s="5">
        <v>0</v>
      </c>
      <c r="L1146" s="5">
        <f t="shared" si="358"/>
        <v>0</v>
      </c>
      <c r="M1146" s="8">
        <v>60649</v>
      </c>
      <c r="N1146" s="8">
        <v>0</v>
      </c>
      <c r="O1146" s="8">
        <f>SUMIFS(EIAwtransport!$J$2:$J$675,EIAwtransport!$E$2:$E$675,Program_data!$E1146,EIAwtransport!$H$2:$H$675,Program_data!$F1146,EIAwtransport!$I$2:$I$675,Program_data!O$2)</f>
        <v>219489723</v>
      </c>
      <c r="P1146" s="5">
        <f>SUMIFS(EIAwtransport!$J$2:$J$675,EIAwtransport!$E$2:$E$675,Program_data!$E1146,EIAwtransport!$H$2:$H$675,Program_data!$F1146,EIAwtransport!$I$2:$I$675,Program_data!P$2)</f>
        <v>45049322</v>
      </c>
      <c r="Q1146" s="5">
        <f>SUMIFS(EIAwtransport!$J$2:$J$675,EIAwtransport!$E$2:$E$675,Program_data!$E1146,EIAwtransport!$H$2:$H$675,Program_data!$F1146,EIAwtransport!$I$2:$I$675,Program_data!Q$2)</f>
        <v>36107</v>
      </c>
      <c r="R1146" s="8">
        <f>SUMIFS(EIAwtransport!$J$2:$J$675,EIAwtransport!$E$2:$E$675,Program_data!$E1146,EIAwtransport!$I$2:$I$675,Program_data!R$2)</f>
        <v>526109473</v>
      </c>
      <c r="S1146" s="5">
        <f>SUMIFS(EIAwtransport!$J$2:$J$675,EIAwtransport!$E$2:$E$675,Program_data!$E1146,EIAwtransport!$I$2:$I$675,Program_data!S$2)</f>
        <v>80336233</v>
      </c>
      <c r="T1146" s="5">
        <f>SUMIFS(EIAwtransport!$J$2:$J$675,EIAwtransport!$E$2:$E$675,Program_data!$E1146,EIAwtransport!$I$2:$I$675,Program_data!T$2)</f>
        <v>474354</v>
      </c>
      <c r="U1146" s="24">
        <f t="shared" si="362"/>
        <v>0</v>
      </c>
      <c r="V1146" s="24">
        <f t="shared" si="356"/>
        <v>0</v>
      </c>
      <c r="W1146" s="24">
        <f t="shared" si="363"/>
        <v>1.1527828923924356E-4</v>
      </c>
      <c r="X1146" s="25">
        <f t="shared" si="364"/>
        <v>7.2870613427325874E-5</v>
      </c>
      <c r="Y1146" s="8">
        <f t="shared" si="354"/>
        <v>7.961568553320416E-3</v>
      </c>
      <c r="Z1146" s="27">
        <f t="shared" si="355"/>
        <v>4.7555027523563066E-3</v>
      </c>
      <c r="AA1146" s="27"/>
      <c r="AB1146" s="40"/>
      <c r="AC1146" s="56">
        <f t="shared" si="357"/>
        <v>0</v>
      </c>
      <c r="AE1146" s="20">
        <f t="shared" si="359"/>
        <v>0</v>
      </c>
      <c r="AF1146" s="20">
        <f t="shared" si="360"/>
        <v>710247788.55000007</v>
      </c>
      <c r="AG1146">
        <f t="shared" si="351"/>
        <v>0</v>
      </c>
      <c r="AH1146">
        <f t="shared" si="352"/>
        <v>0</v>
      </c>
      <c r="AI1146">
        <f t="shared" si="353"/>
        <v>8473865856.8400002</v>
      </c>
    </row>
    <row r="1147" spans="2:35" x14ac:dyDescent="0.25">
      <c r="B1147" s="4">
        <v>2026</v>
      </c>
      <c r="C1147" s="4" t="s">
        <v>241</v>
      </c>
      <c r="D1147" s="1" t="s">
        <v>242</v>
      </c>
      <c r="E1147" s="4" t="str">
        <f t="shared" si="361"/>
        <v>Xcel-MN</v>
      </c>
      <c r="F1147" s="4" t="s">
        <v>146</v>
      </c>
      <c r="G1147" s="4"/>
      <c r="H1147" s="11" t="s">
        <v>496</v>
      </c>
      <c r="I1147" s="4"/>
      <c r="J1147" s="4" t="s">
        <v>142</v>
      </c>
      <c r="K1147" s="5">
        <v>610</v>
      </c>
      <c r="L1147" s="5">
        <f t="shared" si="358"/>
        <v>610</v>
      </c>
      <c r="M1147" s="8">
        <v>73140</v>
      </c>
      <c r="N1147" s="8">
        <v>0</v>
      </c>
      <c r="O1147" s="8">
        <f>SUMIFS(EIAwtransport!$J$2:$J$675,EIAwtransport!$E$2:$E$675,Program_data!$E1147,EIAwtransport!$H$2:$H$675,Program_data!$F1147,EIAwtransport!$I$2:$I$675,Program_data!O$2)</f>
        <v>219489723</v>
      </c>
      <c r="P1147" s="5">
        <f>SUMIFS(EIAwtransport!$J$2:$J$675,EIAwtransport!$E$2:$E$675,Program_data!$E1147,EIAwtransport!$H$2:$H$675,Program_data!$F1147,EIAwtransport!$I$2:$I$675,Program_data!P$2)</f>
        <v>45049322</v>
      </c>
      <c r="Q1147" s="5">
        <f>SUMIFS(EIAwtransport!$J$2:$J$675,EIAwtransport!$E$2:$E$675,Program_data!$E1147,EIAwtransport!$H$2:$H$675,Program_data!$F1147,EIAwtransport!$I$2:$I$675,Program_data!Q$2)</f>
        <v>36107</v>
      </c>
      <c r="R1147" s="8">
        <f>SUMIFS(EIAwtransport!$J$2:$J$675,EIAwtransport!$E$2:$E$675,Program_data!$E1147,EIAwtransport!$I$2:$I$675,Program_data!R$2)</f>
        <v>526109473</v>
      </c>
      <c r="S1147" s="5">
        <f>SUMIFS(EIAwtransport!$J$2:$J$675,EIAwtransport!$E$2:$E$675,Program_data!$E1147,EIAwtransport!$I$2:$I$675,Program_data!S$2)</f>
        <v>80336233</v>
      </c>
      <c r="T1147" s="5">
        <f>SUMIFS(EIAwtransport!$J$2:$J$675,EIAwtransport!$E$2:$E$675,Program_data!$E1147,EIAwtransport!$I$2:$I$675,Program_data!T$2)</f>
        <v>474354</v>
      </c>
      <c r="U1147" s="24">
        <f t="shared" si="362"/>
        <v>7.3292344788320955E-7</v>
      </c>
      <c r="V1147" s="24">
        <f t="shared" si="356"/>
        <v>7.3292344788320955E-7</v>
      </c>
      <c r="W1147" s="24">
        <f t="shared" si="363"/>
        <v>1.3902049621524303E-4</v>
      </c>
      <c r="X1147" s="25">
        <f t="shared" si="364"/>
        <v>8.787872291504582E-5</v>
      </c>
      <c r="Y1147" s="8">
        <f t="shared" si="354"/>
        <v>9.601298026181062E-3</v>
      </c>
      <c r="Z1147" s="27">
        <f t="shared" si="355"/>
        <v>5.7349250821504107E-3</v>
      </c>
      <c r="AA1147" s="27"/>
      <c r="AB1147" s="40">
        <v>61</v>
      </c>
      <c r="AC1147" s="56">
        <f t="shared" si="357"/>
        <v>1.7968988765699852E-5</v>
      </c>
      <c r="AE1147" s="20">
        <f t="shared" si="359"/>
        <v>0</v>
      </c>
      <c r="AF1147" s="20">
        <f t="shared" si="360"/>
        <v>710247788.55000007</v>
      </c>
      <c r="AG1147">
        <f t="shared" si="351"/>
        <v>64342.8</v>
      </c>
      <c r="AH1147">
        <f t="shared" si="352"/>
        <v>64342.8</v>
      </c>
      <c r="AI1147">
        <f t="shared" si="353"/>
        <v>8473865856.8400002</v>
      </c>
    </row>
    <row r="1148" spans="2:35" x14ac:dyDescent="0.25">
      <c r="B1148" s="4">
        <v>2026</v>
      </c>
      <c r="C1148" s="4" t="s">
        <v>241</v>
      </c>
      <c r="D1148" s="1" t="s">
        <v>242</v>
      </c>
      <c r="E1148" s="4" t="str">
        <f t="shared" si="361"/>
        <v>Xcel-MN</v>
      </c>
      <c r="F1148" s="4" t="s">
        <v>146</v>
      </c>
      <c r="G1148" s="4"/>
      <c r="H1148" s="11" t="s">
        <v>497</v>
      </c>
      <c r="I1148" s="4"/>
      <c r="J1148" s="4" t="s">
        <v>142</v>
      </c>
      <c r="K1148" s="5">
        <v>46260</v>
      </c>
      <c r="L1148" s="5">
        <f t="shared" si="358"/>
        <v>46260</v>
      </c>
      <c r="M1148" s="8">
        <v>98140</v>
      </c>
      <c r="N1148" s="8">
        <v>24605</v>
      </c>
      <c r="O1148" s="8">
        <f>SUMIFS(EIAwtransport!$J$2:$J$675,EIAwtransport!$E$2:$E$675,Program_data!$E1148,EIAwtransport!$H$2:$H$675,Program_data!$F1148,EIAwtransport!$I$2:$I$675,Program_data!O$2)</f>
        <v>219489723</v>
      </c>
      <c r="P1148" s="5">
        <f>SUMIFS(EIAwtransport!$J$2:$J$675,EIAwtransport!$E$2:$E$675,Program_data!$E1148,EIAwtransport!$H$2:$H$675,Program_data!$F1148,EIAwtransport!$I$2:$I$675,Program_data!P$2)</f>
        <v>45049322</v>
      </c>
      <c r="Q1148" s="5">
        <f>SUMIFS(EIAwtransport!$J$2:$J$675,EIAwtransport!$E$2:$E$675,Program_data!$E1148,EIAwtransport!$H$2:$H$675,Program_data!$F1148,EIAwtransport!$I$2:$I$675,Program_data!Q$2)</f>
        <v>36107</v>
      </c>
      <c r="R1148" s="8">
        <f>SUMIFS(EIAwtransport!$J$2:$J$675,EIAwtransport!$E$2:$E$675,Program_data!$E1148,EIAwtransport!$I$2:$I$675,Program_data!R$2)</f>
        <v>526109473</v>
      </c>
      <c r="S1148" s="5">
        <f>SUMIFS(EIAwtransport!$J$2:$J$675,EIAwtransport!$E$2:$E$675,Program_data!$E1148,EIAwtransport!$I$2:$I$675,Program_data!S$2)</f>
        <v>80336233</v>
      </c>
      <c r="T1148" s="5">
        <f>SUMIFS(EIAwtransport!$J$2:$J$675,EIAwtransport!$E$2:$E$675,Program_data!$E1148,EIAwtransport!$I$2:$I$675,Program_data!T$2)</f>
        <v>474354</v>
      </c>
      <c r="U1148" s="24">
        <f t="shared" si="362"/>
        <v>5.5582030654225039E-5</v>
      </c>
      <c r="V1148" s="24">
        <f t="shared" si="356"/>
        <v>5.5582030654225039E-5</v>
      </c>
      <c r="W1148" s="24">
        <f t="shared" si="363"/>
        <v>1.8653912357894381E-4</v>
      </c>
      <c r="X1148" s="25">
        <f t="shared" si="364"/>
        <v>1.1791656913976753E-4</v>
      </c>
      <c r="Y1148" s="8">
        <f t="shared" si="354"/>
        <v>1.2883119883639724E-2</v>
      </c>
      <c r="Z1148" s="27">
        <f t="shared" si="355"/>
        <v>7.6951811260902551E-3</v>
      </c>
      <c r="AA1148" s="27"/>
      <c r="AB1148" s="40">
        <v>5536</v>
      </c>
      <c r="AC1148" s="56">
        <f t="shared" si="357"/>
        <v>1.3626974103299592E-3</v>
      </c>
      <c r="AE1148" s="20">
        <f t="shared" si="359"/>
        <v>33216.75</v>
      </c>
      <c r="AF1148" s="20">
        <f t="shared" si="360"/>
        <v>710247788.55000007</v>
      </c>
      <c r="AG1148">
        <f t="shared" si="351"/>
        <v>4879504.8</v>
      </c>
      <c r="AH1148">
        <f t="shared" si="352"/>
        <v>4879504.8</v>
      </c>
      <c r="AI1148">
        <f t="shared" si="353"/>
        <v>8473865856.8400002</v>
      </c>
    </row>
    <row r="1149" spans="2:35" x14ac:dyDescent="0.25">
      <c r="B1149" s="4">
        <v>2026</v>
      </c>
      <c r="C1149" s="4" t="s">
        <v>241</v>
      </c>
      <c r="D1149" s="1" t="s">
        <v>242</v>
      </c>
      <c r="E1149" s="4" t="str">
        <f t="shared" si="361"/>
        <v>Xcel-MN</v>
      </c>
      <c r="F1149" s="4" t="s">
        <v>146</v>
      </c>
      <c r="G1149" s="4"/>
      <c r="H1149" s="11" t="s">
        <v>498</v>
      </c>
      <c r="I1149" s="4"/>
      <c r="J1149" s="4" t="s">
        <v>142</v>
      </c>
      <c r="K1149" s="5">
        <v>1233450</v>
      </c>
      <c r="L1149" s="5">
        <f t="shared" si="358"/>
        <v>1233450</v>
      </c>
      <c r="M1149" s="8">
        <v>1468757</v>
      </c>
      <c r="N1149" s="8">
        <v>814511</v>
      </c>
      <c r="O1149" s="8">
        <f>SUMIFS(EIAwtransport!$J$2:$J$675,EIAwtransport!$E$2:$E$675,Program_data!$E1149,EIAwtransport!$H$2:$H$675,Program_data!$F1149,EIAwtransport!$I$2:$I$675,Program_data!O$2)</f>
        <v>219489723</v>
      </c>
      <c r="P1149" s="5">
        <f>SUMIFS(EIAwtransport!$J$2:$J$675,EIAwtransport!$E$2:$E$675,Program_data!$E1149,EIAwtransport!$H$2:$H$675,Program_data!$F1149,EIAwtransport!$I$2:$I$675,Program_data!P$2)</f>
        <v>45049322</v>
      </c>
      <c r="Q1149" s="5">
        <f>SUMIFS(EIAwtransport!$J$2:$J$675,EIAwtransport!$E$2:$E$675,Program_data!$E1149,EIAwtransport!$H$2:$H$675,Program_data!$F1149,EIAwtransport!$I$2:$I$675,Program_data!Q$2)</f>
        <v>36107</v>
      </c>
      <c r="R1149" s="8">
        <f>SUMIFS(EIAwtransport!$J$2:$J$675,EIAwtransport!$E$2:$E$675,Program_data!$E1149,EIAwtransport!$I$2:$I$675,Program_data!R$2)</f>
        <v>526109473</v>
      </c>
      <c r="S1149" s="5">
        <f>SUMIFS(EIAwtransport!$J$2:$J$675,EIAwtransport!$E$2:$E$675,Program_data!$E1149,EIAwtransport!$I$2:$I$675,Program_data!S$2)</f>
        <v>80336233</v>
      </c>
      <c r="T1149" s="5">
        <f>SUMIFS(EIAwtransport!$J$2:$J$675,EIAwtransport!$E$2:$E$675,Program_data!$E1149,EIAwtransport!$I$2:$I$675,Program_data!T$2)</f>
        <v>474354</v>
      </c>
      <c r="U1149" s="24">
        <f t="shared" si="362"/>
        <v>1.4820072570353195E-3</v>
      </c>
      <c r="V1149" s="24">
        <f t="shared" si="356"/>
        <v>1.4820072570353195E-3</v>
      </c>
      <c r="W1149" s="24">
        <f t="shared" si="363"/>
        <v>2.791732662833083E-3</v>
      </c>
      <c r="X1149" s="25">
        <f t="shared" si="364"/>
        <v>1.7647318762993431E-3</v>
      </c>
      <c r="Y1149" s="8">
        <f t="shared" si="354"/>
        <v>0.19280795303581649</v>
      </c>
      <c r="Z1149" s="27">
        <f t="shared" si="355"/>
        <v>0.11516559145315819</v>
      </c>
      <c r="AA1149" s="27"/>
      <c r="AB1149" s="40">
        <v>133232</v>
      </c>
      <c r="AC1149" s="56">
        <f t="shared" si="357"/>
        <v>3.6334179005004068E-2</v>
      </c>
      <c r="AE1149" s="20">
        <f t="shared" si="359"/>
        <v>1099589.8500000001</v>
      </c>
      <c r="AF1149" s="20">
        <f t="shared" si="360"/>
        <v>710247788.55000007</v>
      </c>
      <c r="AG1149">
        <f t="shared" si="351"/>
        <v>130104306</v>
      </c>
      <c r="AH1149">
        <f t="shared" si="352"/>
        <v>130104306</v>
      </c>
      <c r="AI1149">
        <f t="shared" si="353"/>
        <v>8473865856.8400002</v>
      </c>
    </row>
    <row r="1150" spans="2:35" x14ac:dyDescent="0.25">
      <c r="B1150" s="4">
        <v>2026</v>
      </c>
      <c r="C1150" s="4" t="s">
        <v>241</v>
      </c>
      <c r="D1150" s="1" t="s">
        <v>242</v>
      </c>
      <c r="E1150" s="4" t="str">
        <f t="shared" si="361"/>
        <v>Xcel-MN</v>
      </c>
      <c r="F1150" s="4" t="s">
        <v>146</v>
      </c>
      <c r="G1150" s="4"/>
      <c r="H1150" s="11" t="s">
        <v>499</v>
      </c>
      <c r="I1150" s="4"/>
      <c r="J1150" s="4" t="s">
        <v>142</v>
      </c>
      <c r="K1150" s="5">
        <v>53410</v>
      </c>
      <c r="L1150" s="5">
        <f t="shared" si="358"/>
        <v>53410</v>
      </c>
      <c r="M1150" s="8">
        <v>37669</v>
      </c>
      <c r="N1150" s="8">
        <v>27104</v>
      </c>
      <c r="O1150" s="8">
        <f>SUMIFS(EIAwtransport!$J$2:$J$675,EIAwtransport!$E$2:$E$675,Program_data!$E1150,EIAwtransport!$H$2:$H$675,Program_data!$F1150,EIAwtransport!$I$2:$I$675,Program_data!O$2)</f>
        <v>219489723</v>
      </c>
      <c r="P1150" s="5">
        <f>SUMIFS(EIAwtransport!$J$2:$J$675,EIAwtransport!$E$2:$E$675,Program_data!$E1150,EIAwtransport!$H$2:$H$675,Program_data!$F1150,EIAwtransport!$I$2:$I$675,Program_data!P$2)</f>
        <v>45049322</v>
      </c>
      <c r="Q1150" s="5">
        <f>SUMIFS(EIAwtransport!$J$2:$J$675,EIAwtransport!$E$2:$E$675,Program_data!$E1150,EIAwtransport!$H$2:$H$675,Program_data!$F1150,EIAwtransport!$I$2:$I$675,Program_data!Q$2)</f>
        <v>36107</v>
      </c>
      <c r="R1150" s="8">
        <f>SUMIFS(EIAwtransport!$J$2:$J$675,EIAwtransport!$E$2:$E$675,Program_data!$E1150,EIAwtransport!$I$2:$I$675,Program_data!R$2)</f>
        <v>526109473</v>
      </c>
      <c r="S1150" s="5">
        <f>SUMIFS(EIAwtransport!$J$2:$J$675,EIAwtransport!$E$2:$E$675,Program_data!$E1150,EIAwtransport!$I$2:$I$675,Program_data!S$2)</f>
        <v>80336233</v>
      </c>
      <c r="T1150" s="5">
        <f>SUMIFS(EIAwtransport!$J$2:$J$675,EIAwtransport!$E$2:$E$675,Program_data!$E1150,EIAwtransport!$I$2:$I$675,Program_data!T$2)</f>
        <v>474354</v>
      </c>
      <c r="U1150" s="24">
        <f t="shared" si="362"/>
        <v>6.4172854674495451E-5</v>
      </c>
      <c r="V1150" s="24">
        <f t="shared" si="356"/>
        <v>6.4172854674495451E-5</v>
      </c>
      <c r="W1150" s="24">
        <f t="shared" si="363"/>
        <v>7.1599166966529798E-5</v>
      </c>
      <c r="X1150" s="25">
        <f t="shared" si="364"/>
        <v>4.5259825177561672E-5</v>
      </c>
      <c r="Y1150" s="8">
        <f t="shared" si="354"/>
        <v>4.9449179019444142E-3</v>
      </c>
      <c r="Z1150" s="27">
        <f t="shared" si="355"/>
        <v>2.9536353967668009E-3</v>
      </c>
      <c r="AA1150" s="27"/>
      <c r="AB1150" s="40">
        <v>5341</v>
      </c>
      <c r="AC1150" s="56">
        <f t="shared" si="357"/>
        <v>1.5733175245508672E-3</v>
      </c>
      <c r="AE1150" s="20">
        <f t="shared" si="359"/>
        <v>36590.400000000001</v>
      </c>
      <c r="AF1150" s="20">
        <f t="shared" si="360"/>
        <v>710247788.55000007</v>
      </c>
      <c r="AG1150">
        <f t="shared" si="351"/>
        <v>5633686.7999999998</v>
      </c>
      <c r="AH1150">
        <f t="shared" si="352"/>
        <v>5633686.7999999998</v>
      </c>
      <c r="AI1150">
        <f t="shared" si="353"/>
        <v>8473865856.8400002</v>
      </c>
    </row>
    <row r="1151" spans="2:35" x14ac:dyDescent="0.25">
      <c r="B1151" s="4">
        <v>2026</v>
      </c>
      <c r="C1151" s="4" t="s">
        <v>241</v>
      </c>
      <c r="D1151" s="1" t="s">
        <v>242</v>
      </c>
      <c r="E1151" s="4" t="str">
        <f t="shared" si="361"/>
        <v>Xcel-MN</v>
      </c>
      <c r="F1151" s="4" t="s">
        <v>146</v>
      </c>
      <c r="G1151" s="4"/>
      <c r="H1151" s="11" t="s">
        <v>500</v>
      </c>
      <c r="I1151" s="4"/>
      <c r="J1151" s="4" t="s">
        <v>142</v>
      </c>
      <c r="K1151" s="5">
        <v>497470</v>
      </c>
      <c r="L1151" s="5">
        <f t="shared" ref="L1151:L1174" si="365">K1151</f>
        <v>497470</v>
      </c>
      <c r="M1151" s="8">
        <v>1031378</v>
      </c>
      <c r="N1151" s="8">
        <v>88211</v>
      </c>
      <c r="O1151" s="8">
        <f>SUMIFS(EIAwtransport!$J$2:$J$675,EIAwtransport!$E$2:$E$675,Program_data!$E1151,EIAwtransport!$H$2:$H$675,Program_data!$F1151,EIAwtransport!$I$2:$I$675,Program_data!O$2)</f>
        <v>219489723</v>
      </c>
      <c r="P1151" s="5">
        <f>SUMIFS(EIAwtransport!$J$2:$J$675,EIAwtransport!$E$2:$E$675,Program_data!$E1151,EIAwtransport!$H$2:$H$675,Program_data!$F1151,EIAwtransport!$I$2:$I$675,Program_data!P$2)</f>
        <v>45049322</v>
      </c>
      <c r="Q1151" s="5">
        <f>SUMIFS(EIAwtransport!$J$2:$J$675,EIAwtransport!$E$2:$E$675,Program_data!$E1151,EIAwtransport!$H$2:$H$675,Program_data!$F1151,EIAwtransport!$I$2:$I$675,Program_data!Q$2)</f>
        <v>36107</v>
      </c>
      <c r="R1151" s="8">
        <f>SUMIFS(EIAwtransport!$J$2:$J$675,EIAwtransport!$E$2:$E$675,Program_data!$E1151,EIAwtransport!$I$2:$I$675,Program_data!R$2)</f>
        <v>526109473</v>
      </c>
      <c r="S1151" s="5">
        <f>SUMIFS(EIAwtransport!$J$2:$J$675,EIAwtransport!$E$2:$E$675,Program_data!$E1151,EIAwtransport!$I$2:$I$675,Program_data!S$2)</f>
        <v>80336233</v>
      </c>
      <c r="T1151" s="5">
        <f>SUMIFS(EIAwtransport!$J$2:$J$675,EIAwtransport!$E$2:$E$675,Program_data!$E1151,EIAwtransport!$I$2:$I$675,Program_data!T$2)</f>
        <v>474354</v>
      </c>
      <c r="U1151" s="24">
        <f t="shared" si="362"/>
        <v>5.9771709445649221E-4</v>
      </c>
      <c r="V1151" s="24">
        <f t="shared" si="356"/>
        <v>5.9771709445649221E-4</v>
      </c>
      <c r="W1151" s="24">
        <f t="shared" si="363"/>
        <v>1.9603866741247596E-3</v>
      </c>
      <c r="X1151" s="25">
        <f t="shared" si="364"/>
        <v>1.239214950542441E-3</v>
      </c>
      <c r="Y1151" s="8">
        <f t="shared" si="354"/>
        <v>0.13539195454808001</v>
      </c>
      <c r="Z1151" s="27">
        <f t="shared" si="355"/>
        <v>8.0870598323463577E-2</v>
      </c>
      <c r="AA1151" s="27"/>
      <c r="AB1151" s="40">
        <v>32052</v>
      </c>
      <c r="AC1151" s="56">
        <f t="shared" si="357"/>
        <v>1.4654152198807713E-2</v>
      </c>
      <c r="AE1151" s="20">
        <f t="shared" si="359"/>
        <v>119084.85</v>
      </c>
      <c r="AF1151" s="20">
        <f t="shared" si="360"/>
        <v>710247788.55000007</v>
      </c>
      <c r="AG1151">
        <f t="shared" si="351"/>
        <v>52473135.600000001</v>
      </c>
      <c r="AH1151">
        <f t="shared" si="352"/>
        <v>52473135.600000001</v>
      </c>
      <c r="AI1151">
        <f t="shared" si="353"/>
        <v>8473865856.8400002</v>
      </c>
    </row>
    <row r="1152" spans="2:35" x14ac:dyDescent="0.25">
      <c r="B1152" s="4">
        <v>2026</v>
      </c>
      <c r="C1152" s="4" t="s">
        <v>241</v>
      </c>
      <c r="D1152" s="1" t="s">
        <v>242</v>
      </c>
      <c r="E1152" s="4" t="str">
        <f t="shared" si="361"/>
        <v>Xcel-MN</v>
      </c>
      <c r="F1152" s="4" t="s">
        <v>146</v>
      </c>
      <c r="G1152" s="4"/>
      <c r="H1152" s="11" t="s">
        <v>501</v>
      </c>
      <c r="I1152" s="4"/>
      <c r="J1152" s="4" t="s">
        <v>142</v>
      </c>
      <c r="K1152" s="5">
        <v>3477630</v>
      </c>
      <c r="L1152" s="5">
        <f t="shared" si="365"/>
        <v>3477630</v>
      </c>
      <c r="M1152" s="8">
        <v>1133631</v>
      </c>
      <c r="N1152" s="8">
        <v>820567</v>
      </c>
      <c r="O1152" s="8">
        <f>SUMIFS(EIAwtransport!$J$2:$J$675,EIAwtransport!$E$2:$E$675,Program_data!$E1152,EIAwtransport!$H$2:$H$675,Program_data!$F1152,EIAwtransport!$I$2:$I$675,Program_data!O$2)</f>
        <v>219489723</v>
      </c>
      <c r="P1152" s="5">
        <f>SUMIFS(EIAwtransport!$J$2:$J$675,EIAwtransport!$E$2:$E$675,Program_data!$E1152,EIAwtransport!$H$2:$H$675,Program_data!$F1152,EIAwtransport!$I$2:$I$675,Program_data!P$2)</f>
        <v>45049322</v>
      </c>
      <c r="Q1152" s="5">
        <f>SUMIFS(EIAwtransport!$J$2:$J$675,EIAwtransport!$E$2:$E$675,Program_data!$E1152,EIAwtransport!$H$2:$H$675,Program_data!$F1152,EIAwtransport!$I$2:$I$675,Program_data!Q$2)</f>
        <v>36107</v>
      </c>
      <c r="R1152" s="8">
        <f>SUMIFS(EIAwtransport!$J$2:$J$675,EIAwtransport!$E$2:$E$675,Program_data!$E1152,EIAwtransport!$I$2:$I$675,Program_data!R$2)</f>
        <v>526109473</v>
      </c>
      <c r="S1152" s="5">
        <f>SUMIFS(EIAwtransport!$J$2:$J$675,EIAwtransport!$E$2:$E$675,Program_data!$E1152,EIAwtransport!$I$2:$I$675,Program_data!S$2)</f>
        <v>80336233</v>
      </c>
      <c r="T1152" s="5">
        <f>SUMIFS(EIAwtransport!$J$2:$J$675,EIAwtransport!$E$2:$E$675,Program_data!$E1152,EIAwtransport!$I$2:$I$675,Program_data!T$2)</f>
        <v>474354</v>
      </c>
      <c r="U1152" s="24">
        <f t="shared" si="362"/>
        <v>4.1784206066591573E-3</v>
      </c>
      <c r="V1152" s="24">
        <f t="shared" si="356"/>
        <v>4.1784206066591573E-3</v>
      </c>
      <c r="W1152" s="24">
        <f t="shared" si="363"/>
        <v>2.1547435622775793E-3</v>
      </c>
      <c r="X1152" s="25">
        <f t="shared" si="364"/>
        <v>1.3620733461430997E-3</v>
      </c>
      <c r="Y1152" s="8">
        <f t="shared" si="354"/>
        <v>0.14881499976370882</v>
      </c>
      <c r="Z1152" s="27">
        <f t="shared" si="355"/>
        <v>8.8888280773902817E-2</v>
      </c>
      <c r="AA1152" s="27"/>
      <c r="AB1152" s="40">
        <v>283328</v>
      </c>
      <c r="AC1152" s="56">
        <f t="shared" si="357"/>
        <v>0.1024417941004275</v>
      </c>
      <c r="AE1152" s="20">
        <f t="shared" si="359"/>
        <v>1107765.4500000002</v>
      </c>
      <c r="AF1152" s="20">
        <f t="shared" si="360"/>
        <v>710247788.55000007</v>
      </c>
      <c r="AG1152">
        <f t="shared" si="351"/>
        <v>366820412.40000004</v>
      </c>
      <c r="AH1152">
        <f t="shared" si="352"/>
        <v>366820412.40000004</v>
      </c>
      <c r="AI1152">
        <f t="shared" si="353"/>
        <v>8473865856.8400002</v>
      </c>
    </row>
    <row r="1153" spans="2:35" x14ac:dyDescent="0.25">
      <c r="B1153" s="4">
        <v>2026</v>
      </c>
      <c r="C1153" s="4" t="s">
        <v>241</v>
      </c>
      <c r="D1153" s="1" t="s">
        <v>242</v>
      </c>
      <c r="E1153" s="4" t="str">
        <f t="shared" si="361"/>
        <v>Xcel-MN</v>
      </c>
      <c r="F1153" s="4" t="s">
        <v>146</v>
      </c>
      <c r="G1153" s="4"/>
      <c r="H1153" s="11" t="s">
        <v>502</v>
      </c>
      <c r="I1153" s="4"/>
      <c r="J1153" s="4" t="s">
        <v>142</v>
      </c>
      <c r="K1153" s="5">
        <v>1590260</v>
      </c>
      <c r="L1153" s="5">
        <f t="shared" si="365"/>
        <v>1590260</v>
      </c>
      <c r="M1153" s="8">
        <v>1412754</v>
      </c>
      <c r="N1153" s="8">
        <v>756573</v>
      </c>
      <c r="O1153" s="8">
        <f>SUMIFS(EIAwtransport!$J$2:$J$675,EIAwtransport!$E$2:$E$675,Program_data!$E1153,EIAwtransport!$H$2:$H$675,Program_data!$F1153,EIAwtransport!$I$2:$I$675,Program_data!O$2)</f>
        <v>219489723</v>
      </c>
      <c r="P1153" s="5">
        <f>SUMIFS(EIAwtransport!$J$2:$J$675,EIAwtransport!$E$2:$E$675,Program_data!$E1153,EIAwtransport!$H$2:$H$675,Program_data!$F1153,EIAwtransport!$I$2:$I$675,Program_data!P$2)</f>
        <v>45049322</v>
      </c>
      <c r="Q1153" s="5">
        <f>SUMIFS(EIAwtransport!$J$2:$J$675,EIAwtransport!$E$2:$E$675,Program_data!$E1153,EIAwtransport!$H$2:$H$675,Program_data!$F1153,EIAwtransport!$I$2:$I$675,Program_data!Q$2)</f>
        <v>36107</v>
      </c>
      <c r="R1153" s="8">
        <f>SUMIFS(EIAwtransport!$J$2:$J$675,EIAwtransport!$E$2:$E$675,Program_data!$E1153,EIAwtransport!$I$2:$I$675,Program_data!R$2)</f>
        <v>526109473</v>
      </c>
      <c r="S1153" s="5">
        <f>SUMIFS(EIAwtransport!$J$2:$J$675,EIAwtransport!$E$2:$E$675,Program_data!$E1153,EIAwtransport!$I$2:$I$675,Program_data!S$2)</f>
        <v>80336233</v>
      </c>
      <c r="T1153" s="5">
        <f>SUMIFS(EIAwtransport!$J$2:$J$675,EIAwtransport!$E$2:$E$675,Program_data!$E1153,EIAwtransport!$I$2:$I$675,Program_data!T$2)</f>
        <v>474354</v>
      </c>
      <c r="U1153" s="24">
        <f t="shared" si="362"/>
        <v>1.9107194134930375E-3</v>
      </c>
      <c r="V1153" s="24">
        <f t="shared" si="356"/>
        <v>1.9107194134930375E-3</v>
      </c>
      <c r="W1153" s="24">
        <f t="shared" si="363"/>
        <v>2.6852852353031098E-3</v>
      </c>
      <c r="X1153" s="25">
        <f t="shared" si="364"/>
        <v>1.6974434962144195E-3</v>
      </c>
      <c r="Y1153" s="8">
        <f t="shared" si="354"/>
        <v>0.1854562782564862</v>
      </c>
      <c r="Z1153" s="27">
        <f t="shared" si="355"/>
        <v>0.11077438268400766</v>
      </c>
      <c r="AA1153" s="27"/>
      <c r="AB1153" s="40">
        <v>165470</v>
      </c>
      <c r="AC1153" s="56">
        <f t="shared" si="357"/>
        <v>4.6844859138593188E-2</v>
      </c>
      <c r="AE1153" s="20">
        <f t="shared" si="359"/>
        <v>1021373.55</v>
      </c>
      <c r="AF1153" s="20">
        <f t="shared" si="360"/>
        <v>710247788.55000007</v>
      </c>
      <c r="AG1153">
        <f t="shared" si="351"/>
        <v>167740624.80000001</v>
      </c>
      <c r="AH1153">
        <f t="shared" si="352"/>
        <v>167740624.80000001</v>
      </c>
      <c r="AI1153">
        <f t="shared" si="353"/>
        <v>8473865856.8400002</v>
      </c>
    </row>
    <row r="1154" spans="2:35" x14ac:dyDescent="0.25">
      <c r="B1154" s="4">
        <v>2026</v>
      </c>
      <c r="C1154" s="4" t="s">
        <v>241</v>
      </c>
      <c r="D1154" s="1" t="s">
        <v>242</v>
      </c>
      <c r="E1154" s="4" t="str">
        <f t="shared" si="361"/>
        <v>Xcel-MN</v>
      </c>
      <c r="F1154" s="4" t="s">
        <v>143</v>
      </c>
      <c r="G1154" s="4">
        <v>1</v>
      </c>
      <c r="H1154" s="11" t="s">
        <v>503</v>
      </c>
      <c r="I1154" s="4"/>
      <c r="J1154" s="4" t="s">
        <v>108</v>
      </c>
      <c r="K1154" s="5">
        <v>4600</v>
      </c>
      <c r="L1154" s="5">
        <f t="shared" si="365"/>
        <v>4600</v>
      </c>
      <c r="M1154" s="8">
        <v>199664</v>
      </c>
      <c r="N1154" s="8">
        <v>188082</v>
      </c>
      <c r="O1154" s="8">
        <f>SUMIFS(EIAwtransport!$J$2:$J$675,EIAwtransport!$E$2:$E$675,Program_data!$E1154,EIAwtransport!$H$2:$H$675,Program_data!$F1154,EIAwtransport!$I$2:$I$675,Program_data!O$2)</f>
        <v>0</v>
      </c>
      <c r="P1154" s="5">
        <f>SUMIFS(EIAwtransport!$J$2:$J$675,EIAwtransport!$E$2:$E$675,Program_data!$E1154,EIAwtransport!$H$2:$H$675,Program_data!$F1154,EIAwtransport!$I$2:$I$675,Program_data!P$2)</f>
        <v>0</v>
      </c>
      <c r="Q1154" s="5">
        <f>SUMIFS(EIAwtransport!$J$2:$J$675,EIAwtransport!$E$2:$E$675,Program_data!$E1154,EIAwtransport!$H$2:$H$675,Program_data!$F1154,EIAwtransport!$I$2:$I$675,Program_data!Q$2)</f>
        <v>0</v>
      </c>
      <c r="R1154" s="8">
        <f>SUMIFS(EIAwtransport!$J$2:$J$675,EIAwtransport!$E$2:$E$675,Program_data!$E1154,EIAwtransport!$I$2:$I$675,Program_data!R$2)</f>
        <v>526109473</v>
      </c>
      <c r="S1154" s="5">
        <f>SUMIFS(EIAwtransport!$J$2:$J$675,EIAwtransport!$E$2:$E$675,Program_data!$E1154,EIAwtransport!$I$2:$I$675,Program_data!S$2)</f>
        <v>80336233</v>
      </c>
      <c r="T1154" s="5">
        <f>SUMIFS(EIAwtransport!$J$2:$J$675,EIAwtransport!$E$2:$E$675,Program_data!$E1154,EIAwtransport!$I$2:$I$675,Program_data!T$2)</f>
        <v>474354</v>
      </c>
      <c r="U1154" s="24">
        <f t="shared" si="362"/>
        <v>5.5269637053487935E-6</v>
      </c>
      <c r="V1154" s="24">
        <f t="shared" si="356"/>
        <v>5.5269637053487935E-6</v>
      </c>
      <c r="W1154" s="24">
        <f t="shared" si="363"/>
        <v>3.7951036855783817E-4</v>
      </c>
      <c r="X1154" s="25">
        <f t="shared" si="364"/>
        <v>2.3989906114451338E-4</v>
      </c>
      <c r="Y1154" s="8">
        <f t="shared" si="354"/>
        <v>0.5221748568140806</v>
      </c>
      <c r="Z1154" s="27">
        <f t="shared" si="355"/>
        <v>1.5655702510288208E-2</v>
      </c>
      <c r="AA1154" s="27"/>
      <c r="AB1154" s="40">
        <v>460</v>
      </c>
      <c r="AC1154" s="56">
        <f t="shared" si="357"/>
        <v>1.3550384970855626E-4</v>
      </c>
      <c r="AE1154" s="20">
        <f t="shared" si="359"/>
        <v>253910.7</v>
      </c>
      <c r="AF1154" s="20">
        <f t="shared" si="360"/>
        <v>710247788.55000007</v>
      </c>
      <c r="AG1154">
        <f t="shared" ref="AG1154:AG1217" si="366">K1154*105.48</f>
        <v>485208</v>
      </c>
      <c r="AH1154">
        <f t="shared" ref="AH1154:AH1217" si="367">L1154*105.48</f>
        <v>485208</v>
      </c>
      <c r="AI1154">
        <f t="shared" ref="AI1154:AI1217" si="368">S1154*105.48</f>
        <v>8473865856.8400002</v>
      </c>
    </row>
    <row r="1155" spans="2:35" x14ac:dyDescent="0.25">
      <c r="B1155" s="4">
        <v>2026</v>
      </c>
      <c r="C1155" s="4" t="s">
        <v>241</v>
      </c>
      <c r="D1155" s="1" t="s">
        <v>242</v>
      </c>
      <c r="E1155" s="4" t="str">
        <f t="shared" si="361"/>
        <v>Xcel-MN</v>
      </c>
      <c r="F1155" s="4" t="s">
        <v>143</v>
      </c>
      <c r="G1155" s="4">
        <v>1</v>
      </c>
      <c r="H1155" s="11" t="s">
        <v>504</v>
      </c>
      <c r="I1155" s="4"/>
      <c r="J1155" s="4" t="s">
        <v>108</v>
      </c>
      <c r="K1155" s="5">
        <v>131290</v>
      </c>
      <c r="L1155" s="5">
        <f t="shared" si="365"/>
        <v>131290</v>
      </c>
      <c r="M1155" s="8">
        <v>4729485</v>
      </c>
      <c r="N1155" s="8">
        <v>4005419</v>
      </c>
      <c r="O1155" s="8">
        <f>SUMIFS(EIAwtransport!$J$2:$J$675,EIAwtransport!$E$2:$E$675,Program_data!$E1155,EIAwtransport!$H$2:$H$675,Program_data!$F1155,EIAwtransport!$I$2:$I$675,Program_data!O$2)</f>
        <v>0</v>
      </c>
      <c r="P1155" s="5">
        <f>SUMIFS(EIAwtransport!$J$2:$J$675,EIAwtransport!$E$2:$E$675,Program_data!$E1155,EIAwtransport!$H$2:$H$675,Program_data!$F1155,EIAwtransport!$I$2:$I$675,Program_data!P$2)</f>
        <v>0</v>
      </c>
      <c r="Q1155" s="5">
        <f>SUMIFS(EIAwtransport!$J$2:$J$675,EIAwtransport!$E$2:$E$675,Program_data!$E1155,EIAwtransport!$H$2:$H$675,Program_data!$F1155,EIAwtransport!$I$2:$I$675,Program_data!Q$2)</f>
        <v>0</v>
      </c>
      <c r="R1155" s="8">
        <f>SUMIFS(EIAwtransport!$J$2:$J$675,EIAwtransport!$E$2:$E$675,Program_data!$E1155,EIAwtransport!$I$2:$I$675,Program_data!R$2)</f>
        <v>526109473</v>
      </c>
      <c r="S1155" s="5">
        <f>SUMIFS(EIAwtransport!$J$2:$J$675,EIAwtransport!$E$2:$E$675,Program_data!$E1155,EIAwtransport!$I$2:$I$675,Program_data!S$2)</f>
        <v>80336233</v>
      </c>
      <c r="T1155" s="5">
        <f>SUMIFS(EIAwtransport!$J$2:$J$675,EIAwtransport!$E$2:$E$675,Program_data!$E1155,EIAwtransport!$I$2:$I$675,Program_data!T$2)</f>
        <v>474354</v>
      </c>
      <c r="U1155" s="24">
        <f t="shared" si="362"/>
        <v>1.5774675323374852E-4</v>
      </c>
      <c r="V1155" s="24">
        <f t="shared" si="356"/>
        <v>1.5774675323374852E-4</v>
      </c>
      <c r="W1155" s="24">
        <f t="shared" si="363"/>
        <v>8.9895454134884967E-3</v>
      </c>
      <c r="X1155" s="25">
        <f t="shared" si="364"/>
        <v>5.6825417260851175E-3</v>
      </c>
      <c r="Y1155" s="8">
        <f t="shared" si="354"/>
        <v>12.368870465779219</v>
      </c>
      <c r="Z1155" s="27">
        <f t="shared" si="355"/>
        <v>0.37084006223891347</v>
      </c>
      <c r="AA1155" s="27"/>
      <c r="AB1155" s="40">
        <v>8963</v>
      </c>
      <c r="AC1155" s="56">
        <f t="shared" si="357"/>
        <v>3.8674566148339893E-3</v>
      </c>
      <c r="AE1155" s="20">
        <f t="shared" si="359"/>
        <v>5407315.6500000004</v>
      </c>
      <c r="AF1155" s="20">
        <f t="shared" si="360"/>
        <v>710247788.55000007</v>
      </c>
      <c r="AG1155">
        <f t="shared" si="366"/>
        <v>13848469.200000001</v>
      </c>
      <c r="AH1155">
        <f t="shared" si="367"/>
        <v>13848469.200000001</v>
      </c>
      <c r="AI1155">
        <f t="shared" si="368"/>
        <v>8473865856.8400002</v>
      </c>
    </row>
    <row r="1156" spans="2:35" x14ac:dyDescent="0.25">
      <c r="B1156" s="4">
        <v>2026</v>
      </c>
      <c r="C1156" s="4" t="s">
        <v>241</v>
      </c>
      <c r="D1156" s="1" t="s">
        <v>242</v>
      </c>
      <c r="E1156" s="4" t="str">
        <f t="shared" si="361"/>
        <v>Xcel-MN</v>
      </c>
      <c r="F1156" s="4" t="s">
        <v>143</v>
      </c>
      <c r="G1156" s="4">
        <v>1</v>
      </c>
      <c r="H1156" s="11" t="s">
        <v>505</v>
      </c>
      <c r="I1156" s="4"/>
      <c r="J1156" s="4" t="s">
        <v>108</v>
      </c>
      <c r="K1156" s="5">
        <v>104720</v>
      </c>
      <c r="L1156" s="5">
        <f t="shared" si="365"/>
        <v>104720</v>
      </c>
      <c r="M1156" s="8">
        <v>396741</v>
      </c>
      <c r="N1156" s="8">
        <v>61574</v>
      </c>
      <c r="O1156" s="8">
        <f>SUMIFS(EIAwtransport!$J$2:$J$675,EIAwtransport!$E$2:$E$675,Program_data!$E1156,EIAwtransport!$H$2:$H$675,Program_data!$F1156,EIAwtransport!$I$2:$I$675,Program_data!O$2)</f>
        <v>0</v>
      </c>
      <c r="P1156" s="5">
        <f>SUMIFS(EIAwtransport!$J$2:$J$675,EIAwtransport!$E$2:$E$675,Program_data!$E1156,EIAwtransport!$H$2:$H$675,Program_data!$F1156,EIAwtransport!$I$2:$I$675,Program_data!P$2)</f>
        <v>0</v>
      </c>
      <c r="Q1156" s="5">
        <f>SUMIFS(EIAwtransport!$J$2:$J$675,EIAwtransport!$E$2:$E$675,Program_data!$E1156,EIAwtransport!$H$2:$H$675,Program_data!$F1156,EIAwtransport!$I$2:$I$675,Program_data!Q$2)</f>
        <v>0</v>
      </c>
      <c r="R1156" s="8">
        <f>SUMIFS(EIAwtransport!$J$2:$J$675,EIAwtransport!$E$2:$E$675,Program_data!$E1156,EIAwtransport!$I$2:$I$675,Program_data!R$2)</f>
        <v>526109473</v>
      </c>
      <c r="S1156" s="5">
        <f>SUMIFS(EIAwtransport!$J$2:$J$675,EIAwtransport!$E$2:$E$675,Program_data!$E1156,EIAwtransport!$I$2:$I$675,Program_data!S$2)</f>
        <v>80336233</v>
      </c>
      <c r="T1156" s="5">
        <f>SUMIFS(EIAwtransport!$J$2:$J$675,EIAwtransport!$E$2:$E$675,Program_data!$E1156,EIAwtransport!$I$2:$I$675,Program_data!T$2)</f>
        <v>474354</v>
      </c>
      <c r="U1156" s="24">
        <f t="shared" si="362"/>
        <v>1.2582253026611426E-4</v>
      </c>
      <c r="V1156" s="24">
        <f t="shared" si="356"/>
        <v>1.2582253026611426E-4</v>
      </c>
      <c r="W1156" s="24">
        <f t="shared" si="363"/>
        <v>7.541035095560806E-4</v>
      </c>
      <c r="X1156" s="25">
        <f t="shared" si="364"/>
        <v>4.7668980596169254E-4</v>
      </c>
      <c r="Y1156" s="8">
        <f t="shared" ref="Y1156:Y1219" si="369">IFERROR(M1156/SUMIFS($K$3:$K$1492,$E$3:$E$1492,E1156,$B$3:$B$1492,B1156,$F$3:$F$1492,F1156,$A$3:$A$1492,""),"")</f>
        <v>1.0375840154823861</v>
      </c>
      <c r="Z1156" s="27">
        <f t="shared" ref="Z1156:Z1219" si="370">IFERROR(M1156/SUMIFS($K$3:$K$1492,$E$3:$E$1492,E1156,$B$3:$B$1492,B1156,$A$3:$A$1492,""),"")</f>
        <v>3.1108557725149519E-2</v>
      </c>
      <c r="AA1156" s="27"/>
      <c r="AB1156" s="40">
        <v>6702</v>
      </c>
      <c r="AC1156" s="56">
        <f t="shared" si="357"/>
        <v>3.0847745959739154E-3</v>
      </c>
      <c r="AE1156" s="20">
        <f t="shared" si="359"/>
        <v>83124.900000000009</v>
      </c>
      <c r="AF1156" s="20">
        <f t="shared" si="360"/>
        <v>710247788.55000007</v>
      </c>
      <c r="AG1156">
        <f t="shared" si="366"/>
        <v>11045865.6</v>
      </c>
      <c r="AH1156">
        <f t="shared" si="367"/>
        <v>11045865.6</v>
      </c>
      <c r="AI1156">
        <f t="shared" si="368"/>
        <v>8473865856.8400002</v>
      </c>
    </row>
    <row r="1157" spans="2:35" x14ac:dyDescent="0.25">
      <c r="B1157" s="4">
        <v>2026</v>
      </c>
      <c r="C1157" s="4" t="s">
        <v>241</v>
      </c>
      <c r="D1157" s="1" t="s">
        <v>242</v>
      </c>
      <c r="E1157" s="4" t="str">
        <f t="shared" si="361"/>
        <v>Xcel-MN</v>
      </c>
      <c r="F1157" s="4" t="s">
        <v>143</v>
      </c>
      <c r="G1157" s="4">
        <v>1</v>
      </c>
      <c r="H1157" s="11" t="s">
        <v>506</v>
      </c>
      <c r="I1157" s="4"/>
      <c r="J1157" s="4" t="s">
        <v>108</v>
      </c>
      <c r="K1157" s="5">
        <v>130210</v>
      </c>
      <c r="L1157" s="5">
        <f t="shared" si="365"/>
        <v>130210</v>
      </c>
      <c r="M1157" s="8">
        <v>263645</v>
      </c>
      <c r="N1157" s="8">
        <v>35921</v>
      </c>
      <c r="O1157" s="8">
        <f>SUMIFS(EIAwtransport!$J$2:$J$675,EIAwtransport!$E$2:$E$675,Program_data!$E1157,EIAwtransport!$H$2:$H$675,Program_data!$F1157,EIAwtransport!$I$2:$I$675,Program_data!O$2)</f>
        <v>0</v>
      </c>
      <c r="P1157" s="5">
        <f>SUMIFS(EIAwtransport!$J$2:$J$675,EIAwtransport!$E$2:$E$675,Program_data!$E1157,EIAwtransport!$H$2:$H$675,Program_data!$F1157,EIAwtransport!$I$2:$I$675,Program_data!P$2)</f>
        <v>0</v>
      </c>
      <c r="Q1157" s="5">
        <f>SUMIFS(EIAwtransport!$J$2:$J$675,EIAwtransport!$E$2:$E$675,Program_data!$E1157,EIAwtransport!$H$2:$H$675,Program_data!$F1157,EIAwtransport!$I$2:$I$675,Program_data!Q$2)</f>
        <v>0</v>
      </c>
      <c r="R1157" s="8">
        <f>SUMIFS(EIAwtransport!$J$2:$J$675,EIAwtransport!$E$2:$E$675,Program_data!$E1157,EIAwtransport!$I$2:$I$675,Program_data!R$2)</f>
        <v>526109473</v>
      </c>
      <c r="S1157" s="5">
        <f>SUMIFS(EIAwtransport!$J$2:$J$675,EIAwtransport!$E$2:$E$675,Program_data!$E1157,EIAwtransport!$I$2:$I$675,Program_data!S$2)</f>
        <v>80336233</v>
      </c>
      <c r="T1157" s="5">
        <f>SUMIFS(EIAwtransport!$J$2:$J$675,EIAwtransport!$E$2:$E$675,Program_data!$E1157,EIAwtransport!$I$2:$I$675,Program_data!T$2)</f>
        <v>474354</v>
      </c>
      <c r="U1157" s="24">
        <f t="shared" si="362"/>
        <v>1.5644911827684054E-4</v>
      </c>
      <c r="V1157" s="24">
        <f t="shared" si="356"/>
        <v>1.5644911827684054E-4</v>
      </c>
      <c r="W1157" s="24">
        <f t="shared" si="363"/>
        <v>5.011219404521158E-4</v>
      </c>
      <c r="X1157" s="25">
        <f t="shared" si="364"/>
        <v>3.1677311871667013E-4</v>
      </c>
      <c r="Y1157" s="8">
        <f t="shared" si="369"/>
        <v>0.68950231451212174</v>
      </c>
      <c r="Z1157" s="27">
        <f t="shared" si="370"/>
        <v>2.0672468188180818E-2</v>
      </c>
      <c r="AA1157" s="27"/>
      <c r="AB1157" s="40">
        <v>12459</v>
      </c>
      <c r="AC1157" s="56">
        <f t="shared" si="357"/>
        <v>3.8356426675111108E-3</v>
      </c>
      <c r="AE1157" s="20">
        <f t="shared" si="359"/>
        <v>48493.350000000006</v>
      </c>
      <c r="AF1157" s="20">
        <f t="shared" si="360"/>
        <v>710247788.55000007</v>
      </c>
      <c r="AG1157">
        <f t="shared" si="366"/>
        <v>13734550.800000001</v>
      </c>
      <c r="AH1157">
        <f t="shared" si="367"/>
        <v>13734550.800000001</v>
      </c>
      <c r="AI1157">
        <f t="shared" si="368"/>
        <v>8473865856.8400002</v>
      </c>
    </row>
    <row r="1158" spans="2:35" x14ac:dyDescent="0.25">
      <c r="B1158" s="4">
        <v>2026</v>
      </c>
      <c r="C1158" s="4" t="s">
        <v>241</v>
      </c>
      <c r="D1158" s="1" t="s">
        <v>242</v>
      </c>
      <c r="E1158" s="4" t="str">
        <f t="shared" si="361"/>
        <v>Xcel-MN</v>
      </c>
      <c r="F1158" s="4" t="s">
        <v>143</v>
      </c>
      <c r="G1158" s="4">
        <v>1</v>
      </c>
      <c r="H1158" s="11" t="s">
        <v>507</v>
      </c>
      <c r="I1158" s="4"/>
      <c r="J1158" s="4" t="s">
        <v>155</v>
      </c>
      <c r="K1158" s="5">
        <v>0</v>
      </c>
      <c r="L1158" s="5">
        <f t="shared" si="365"/>
        <v>0</v>
      </c>
      <c r="M1158" s="8">
        <v>643082</v>
      </c>
      <c r="N1158" s="8">
        <v>0</v>
      </c>
      <c r="O1158" s="8">
        <f>SUMIFS(EIAwtransport!$J$2:$J$675,EIAwtransport!$E$2:$E$675,Program_data!$E1158,EIAwtransport!$H$2:$H$675,Program_data!$F1158,EIAwtransport!$I$2:$I$675,Program_data!O$2)</f>
        <v>0</v>
      </c>
      <c r="P1158" s="5">
        <f>SUMIFS(EIAwtransport!$J$2:$J$675,EIAwtransport!$E$2:$E$675,Program_data!$E1158,EIAwtransport!$H$2:$H$675,Program_data!$F1158,EIAwtransport!$I$2:$I$675,Program_data!P$2)</f>
        <v>0</v>
      </c>
      <c r="Q1158" s="5">
        <f>SUMIFS(EIAwtransport!$J$2:$J$675,EIAwtransport!$E$2:$E$675,Program_data!$E1158,EIAwtransport!$H$2:$H$675,Program_data!$F1158,EIAwtransport!$I$2:$I$675,Program_data!Q$2)</f>
        <v>0</v>
      </c>
      <c r="R1158" s="8">
        <f>SUMIFS(EIAwtransport!$J$2:$J$675,EIAwtransport!$E$2:$E$675,Program_data!$E1158,EIAwtransport!$I$2:$I$675,Program_data!R$2)</f>
        <v>526109473</v>
      </c>
      <c r="S1158" s="5">
        <f>SUMIFS(EIAwtransport!$J$2:$J$675,EIAwtransport!$E$2:$E$675,Program_data!$E1158,EIAwtransport!$I$2:$I$675,Program_data!S$2)</f>
        <v>80336233</v>
      </c>
      <c r="T1158" s="5">
        <f>SUMIFS(EIAwtransport!$J$2:$J$675,EIAwtransport!$E$2:$E$675,Program_data!$E1158,EIAwtransport!$I$2:$I$675,Program_data!T$2)</f>
        <v>474354</v>
      </c>
      <c r="U1158" s="24">
        <f t="shared" si="362"/>
        <v>0</v>
      </c>
      <c r="V1158" s="24">
        <f t="shared" si="356"/>
        <v>0</v>
      </c>
      <c r="W1158" s="24">
        <f t="shared" si="363"/>
        <v>1.2223349568921372E-3</v>
      </c>
      <c r="X1158" s="25">
        <f t="shared" si="364"/>
        <v>7.726719290354594E-4</v>
      </c>
      <c r="Y1158" s="8">
        <f t="shared" si="369"/>
        <v>1.6818317336611135</v>
      </c>
      <c r="Z1158" s="27">
        <f t="shared" si="370"/>
        <v>5.0424215089956932E-2</v>
      </c>
      <c r="AA1158" s="27"/>
      <c r="AB1158" s="40"/>
      <c r="AC1158" s="56">
        <f t="shared" si="357"/>
        <v>0</v>
      </c>
      <c r="AE1158" s="20">
        <f t="shared" si="359"/>
        <v>0</v>
      </c>
      <c r="AF1158" s="20">
        <f t="shared" si="360"/>
        <v>710247788.55000007</v>
      </c>
      <c r="AG1158">
        <f t="shared" si="366"/>
        <v>0</v>
      </c>
      <c r="AH1158">
        <f t="shared" si="367"/>
        <v>0</v>
      </c>
      <c r="AI1158">
        <f t="shared" si="368"/>
        <v>8473865856.8400002</v>
      </c>
    </row>
    <row r="1159" spans="2:35" x14ac:dyDescent="0.25">
      <c r="B1159" s="4">
        <v>2026</v>
      </c>
      <c r="C1159" s="4" t="s">
        <v>241</v>
      </c>
      <c r="D1159" s="1" t="s">
        <v>242</v>
      </c>
      <c r="E1159" s="4" t="str">
        <f t="shared" si="361"/>
        <v>Xcel-MN</v>
      </c>
      <c r="F1159" s="4" t="s">
        <v>143</v>
      </c>
      <c r="G1159" s="4">
        <v>1</v>
      </c>
      <c r="H1159" s="11" t="s">
        <v>508</v>
      </c>
      <c r="I1159" s="4"/>
      <c r="J1159" s="4" t="s">
        <v>108</v>
      </c>
      <c r="K1159" s="5">
        <v>11550</v>
      </c>
      <c r="L1159" s="5">
        <f t="shared" si="365"/>
        <v>11550</v>
      </c>
      <c r="M1159" s="8">
        <v>41307</v>
      </c>
      <c r="N1159" s="8">
        <v>8307</v>
      </c>
      <c r="O1159" s="8">
        <f>SUMIFS(EIAwtransport!$J$2:$J$675,EIAwtransport!$E$2:$E$675,Program_data!$E1159,EIAwtransport!$H$2:$H$675,Program_data!$F1159,EIAwtransport!$I$2:$I$675,Program_data!O$2)</f>
        <v>0</v>
      </c>
      <c r="P1159" s="5">
        <f>SUMIFS(EIAwtransport!$J$2:$J$675,EIAwtransport!$E$2:$E$675,Program_data!$E1159,EIAwtransport!$H$2:$H$675,Program_data!$F1159,EIAwtransport!$I$2:$I$675,Program_data!P$2)</f>
        <v>0</v>
      </c>
      <c r="Q1159" s="5">
        <f>SUMIFS(EIAwtransport!$J$2:$J$675,EIAwtransport!$E$2:$E$675,Program_data!$E1159,EIAwtransport!$H$2:$H$675,Program_data!$F1159,EIAwtransport!$I$2:$I$675,Program_data!Q$2)</f>
        <v>0</v>
      </c>
      <c r="R1159" s="8">
        <f>SUMIFS(EIAwtransport!$J$2:$J$675,EIAwtransport!$E$2:$E$675,Program_data!$E1159,EIAwtransport!$I$2:$I$675,Program_data!R$2)</f>
        <v>526109473</v>
      </c>
      <c r="S1159" s="5">
        <f>SUMIFS(EIAwtransport!$J$2:$J$675,EIAwtransport!$E$2:$E$675,Program_data!$E1159,EIAwtransport!$I$2:$I$675,Program_data!S$2)</f>
        <v>80336233</v>
      </c>
      <c r="T1159" s="5">
        <f>SUMIFS(EIAwtransport!$J$2:$J$675,EIAwtransport!$E$2:$E$675,Program_data!$E1159,EIAwtransport!$I$2:$I$675,Program_data!T$2)</f>
        <v>474354</v>
      </c>
      <c r="U1159" s="24">
        <f t="shared" si="362"/>
        <v>1.3877484955821429E-5</v>
      </c>
      <c r="V1159" s="24">
        <f t="shared" si="356"/>
        <v>1.3877484955821429E-5</v>
      </c>
      <c r="W1159" s="24">
        <f t="shared" si="363"/>
        <v>7.8514077620495535E-5</v>
      </c>
      <c r="X1159" s="25">
        <f t="shared" si="364"/>
        <v>4.963093256018318E-5</v>
      </c>
      <c r="Y1159" s="8">
        <f t="shared" si="369"/>
        <v>0.10802887255799357</v>
      </c>
      <c r="Z1159" s="27">
        <f t="shared" si="370"/>
        <v>3.2388918562809271E-3</v>
      </c>
      <c r="AA1159" s="27"/>
      <c r="AB1159" s="40">
        <v>639</v>
      </c>
      <c r="AC1159" s="56">
        <f t="shared" si="357"/>
        <v>3.402324922030054E-4</v>
      </c>
      <c r="AE1159" s="20">
        <f t="shared" si="359"/>
        <v>11214.45</v>
      </c>
      <c r="AF1159" s="20">
        <f t="shared" si="360"/>
        <v>710247788.55000007</v>
      </c>
      <c r="AG1159">
        <f t="shared" si="366"/>
        <v>1218294</v>
      </c>
      <c r="AH1159">
        <f t="shared" si="367"/>
        <v>1218294</v>
      </c>
      <c r="AI1159">
        <f t="shared" si="368"/>
        <v>8473865856.8400002</v>
      </c>
    </row>
    <row r="1160" spans="2:35" x14ac:dyDescent="0.25">
      <c r="B1160" s="4">
        <v>2026</v>
      </c>
      <c r="C1160" s="4" t="s">
        <v>241</v>
      </c>
      <c r="D1160" s="1" t="s">
        <v>242</v>
      </c>
      <c r="E1160" s="4" t="str">
        <f t="shared" si="361"/>
        <v>Xcel-MN</v>
      </c>
      <c r="F1160" s="4" t="s">
        <v>155</v>
      </c>
      <c r="G1160" s="4"/>
      <c r="H1160" s="11" t="s">
        <v>509</v>
      </c>
      <c r="I1160" s="4"/>
      <c r="J1160" s="4" t="s">
        <v>155</v>
      </c>
      <c r="K1160" s="5">
        <v>0</v>
      </c>
      <c r="L1160" s="5">
        <f t="shared" si="365"/>
        <v>0</v>
      </c>
      <c r="M1160" s="8">
        <v>1828013</v>
      </c>
      <c r="N1160" s="8">
        <v>0</v>
      </c>
      <c r="O1160" s="8">
        <f>SUMIFS(EIAwtransport!$J$2:$J$675,EIAwtransport!$E$2:$E$675,Program_data!$E1160,EIAwtransport!$H$2:$H$675,Program_data!$F1160,EIAwtransport!$I$2:$I$675,Program_data!O$2)</f>
        <v>0</v>
      </c>
      <c r="P1160" s="5">
        <f>SUMIFS(EIAwtransport!$J$2:$J$675,EIAwtransport!$E$2:$E$675,Program_data!$E1160,EIAwtransport!$H$2:$H$675,Program_data!$F1160,EIAwtransport!$I$2:$I$675,Program_data!P$2)</f>
        <v>0</v>
      </c>
      <c r="Q1160" s="5">
        <f>SUMIFS(EIAwtransport!$J$2:$J$675,EIAwtransport!$E$2:$E$675,Program_data!$E1160,EIAwtransport!$H$2:$H$675,Program_data!$F1160,EIAwtransport!$I$2:$I$675,Program_data!Q$2)</f>
        <v>0</v>
      </c>
      <c r="R1160" s="8">
        <f>SUMIFS(EIAwtransport!$J$2:$J$675,EIAwtransport!$E$2:$E$675,Program_data!$E1160,EIAwtransport!$I$2:$I$675,Program_data!R$2)</f>
        <v>526109473</v>
      </c>
      <c r="S1160" s="5">
        <f>SUMIFS(EIAwtransport!$J$2:$J$675,EIAwtransport!$E$2:$E$675,Program_data!$E1160,EIAwtransport!$I$2:$I$675,Program_data!S$2)</f>
        <v>80336233</v>
      </c>
      <c r="T1160" s="5">
        <f>SUMIFS(EIAwtransport!$J$2:$J$675,EIAwtransport!$E$2:$E$675,Program_data!$E1160,EIAwtransport!$I$2:$I$675,Program_data!T$2)</f>
        <v>474354</v>
      </c>
      <c r="U1160" s="24">
        <f t="shared" si="362"/>
        <v>0</v>
      </c>
      <c r="V1160" s="24">
        <f t="shared" si="356"/>
        <v>0</v>
      </c>
      <c r="W1160" s="24">
        <f t="shared" si="363"/>
        <v>3.4745867425200307E-3</v>
      </c>
      <c r="X1160" s="25">
        <f t="shared" si="364"/>
        <v>2.1963829356316882E-3</v>
      </c>
      <c r="Y1160" s="8" t="str">
        <f t="shared" si="369"/>
        <v/>
      </c>
      <c r="Z1160" s="27">
        <f t="shared" si="370"/>
        <v>0.14333494126602431</v>
      </c>
      <c r="AA1160" s="27"/>
      <c r="AB1160" s="40"/>
      <c r="AC1160" s="56">
        <f t="shared" si="357"/>
        <v>0</v>
      </c>
      <c r="AE1160" s="20">
        <f t="shared" si="359"/>
        <v>0</v>
      </c>
      <c r="AF1160" s="20">
        <f t="shared" si="360"/>
        <v>710247788.55000007</v>
      </c>
      <c r="AG1160">
        <f t="shared" si="366"/>
        <v>0</v>
      </c>
      <c r="AH1160">
        <f t="shared" si="367"/>
        <v>0</v>
      </c>
      <c r="AI1160">
        <f t="shared" si="368"/>
        <v>8473865856.8400002</v>
      </c>
    </row>
    <row r="1161" spans="2:35" x14ac:dyDescent="0.25">
      <c r="B1161" s="4">
        <v>2026</v>
      </c>
      <c r="C1161" s="4" t="s">
        <v>241</v>
      </c>
      <c r="D1161" s="1" t="s">
        <v>242</v>
      </c>
      <c r="E1161" s="4" t="str">
        <f t="shared" si="361"/>
        <v>Xcel-MN</v>
      </c>
      <c r="F1161" s="4" t="s">
        <v>155</v>
      </c>
      <c r="G1161" s="4"/>
      <c r="H1161" s="11" t="s">
        <v>510</v>
      </c>
      <c r="I1161" s="4"/>
      <c r="J1161" s="4" t="s">
        <v>155</v>
      </c>
      <c r="K1161" s="5">
        <v>0</v>
      </c>
      <c r="L1161" s="5">
        <f t="shared" si="365"/>
        <v>0</v>
      </c>
      <c r="M1161" s="8">
        <v>785777</v>
      </c>
      <c r="N1161" s="8">
        <v>0</v>
      </c>
      <c r="O1161" s="8">
        <f>SUMIFS(EIAwtransport!$J$2:$J$675,EIAwtransport!$E$2:$E$675,Program_data!$E1161,EIAwtransport!$H$2:$H$675,Program_data!$F1161,EIAwtransport!$I$2:$I$675,Program_data!O$2)</f>
        <v>0</v>
      </c>
      <c r="P1161" s="5">
        <f>SUMIFS(EIAwtransport!$J$2:$J$675,EIAwtransport!$E$2:$E$675,Program_data!$E1161,EIAwtransport!$H$2:$H$675,Program_data!$F1161,EIAwtransport!$I$2:$I$675,Program_data!P$2)</f>
        <v>0</v>
      </c>
      <c r="Q1161" s="5">
        <f>SUMIFS(EIAwtransport!$J$2:$J$675,EIAwtransport!$E$2:$E$675,Program_data!$E1161,EIAwtransport!$H$2:$H$675,Program_data!$F1161,EIAwtransport!$I$2:$I$675,Program_data!Q$2)</f>
        <v>0</v>
      </c>
      <c r="R1161" s="8">
        <f>SUMIFS(EIAwtransport!$J$2:$J$675,EIAwtransport!$E$2:$E$675,Program_data!$E1161,EIAwtransport!$I$2:$I$675,Program_data!R$2)</f>
        <v>526109473</v>
      </c>
      <c r="S1161" s="5">
        <f>SUMIFS(EIAwtransport!$J$2:$J$675,EIAwtransport!$E$2:$E$675,Program_data!$E1161,EIAwtransport!$I$2:$I$675,Program_data!S$2)</f>
        <v>80336233</v>
      </c>
      <c r="T1161" s="5">
        <f>SUMIFS(EIAwtransport!$J$2:$J$675,EIAwtransport!$E$2:$E$675,Program_data!$E1161,EIAwtransport!$I$2:$I$675,Program_data!T$2)</f>
        <v>474354</v>
      </c>
      <c r="U1161" s="24">
        <f t="shared" si="362"/>
        <v>0</v>
      </c>
      <c r="V1161" s="24">
        <f t="shared" ref="V1161:V1248" si="371">IFERROR(L1161/10.36/S1161,"")</f>
        <v>0</v>
      </c>
      <c r="W1161" s="24">
        <f t="shared" si="363"/>
        <v>1.4935617781586686E-3</v>
      </c>
      <c r="X1161" s="25">
        <f t="shared" si="364"/>
        <v>9.4412194771692579E-4</v>
      </c>
      <c r="Y1161" s="8" t="str">
        <f t="shared" si="369"/>
        <v/>
      </c>
      <c r="Z1161" s="27">
        <f t="shared" si="370"/>
        <v>6.1612964537556783E-2</v>
      </c>
      <c r="AA1161" s="27"/>
      <c r="AB1161" s="40"/>
      <c r="AC1161" s="56">
        <f t="shared" si="357"/>
        <v>0</v>
      </c>
      <c r="AE1161" s="20">
        <f t="shared" si="359"/>
        <v>0</v>
      </c>
      <c r="AF1161" s="20">
        <f t="shared" si="360"/>
        <v>710247788.55000007</v>
      </c>
      <c r="AG1161">
        <f t="shared" si="366"/>
        <v>0</v>
      </c>
      <c r="AH1161">
        <f t="shared" si="367"/>
        <v>0</v>
      </c>
      <c r="AI1161">
        <f t="shared" si="368"/>
        <v>8473865856.8400002</v>
      </c>
    </row>
    <row r="1162" spans="2:35" x14ac:dyDescent="0.25">
      <c r="B1162" s="4">
        <v>2026</v>
      </c>
      <c r="C1162" s="4" t="s">
        <v>241</v>
      </c>
      <c r="D1162" s="1" t="s">
        <v>242</v>
      </c>
      <c r="E1162" s="4" t="str">
        <f t="shared" si="361"/>
        <v>Xcel-MN</v>
      </c>
      <c r="F1162" s="4" t="s">
        <v>155</v>
      </c>
      <c r="G1162" s="4"/>
      <c r="H1162" s="11" t="s">
        <v>511</v>
      </c>
      <c r="I1162" s="4"/>
      <c r="J1162" s="4" t="s">
        <v>155</v>
      </c>
      <c r="K1162" s="5">
        <v>0</v>
      </c>
      <c r="L1162" s="5">
        <f t="shared" si="365"/>
        <v>0</v>
      </c>
      <c r="M1162" s="8">
        <v>193333</v>
      </c>
      <c r="N1162" s="8">
        <v>0</v>
      </c>
      <c r="O1162" s="8">
        <f>SUMIFS(EIAwtransport!$J$2:$J$675,EIAwtransport!$E$2:$E$675,Program_data!$E1162,EIAwtransport!$H$2:$H$675,Program_data!$F1162,EIAwtransport!$I$2:$I$675,Program_data!O$2)</f>
        <v>0</v>
      </c>
      <c r="P1162" s="5">
        <f>SUMIFS(EIAwtransport!$J$2:$J$675,EIAwtransport!$E$2:$E$675,Program_data!$E1162,EIAwtransport!$H$2:$H$675,Program_data!$F1162,EIAwtransport!$I$2:$I$675,Program_data!P$2)</f>
        <v>0</v>
      </c>
      <c r="Q1162" s="5">
        <f>SUMIFS(EIAwtransport!$J$2:$J$675,EIAwtransport!$E$2:$E$675,Program_data!$E1162,EIAwtransport!$H$2:$H$675,Program_data!$F1162,EIAwtransport!$I$2:$I$675,Program_data!Q$2)</f>
        <v>0</v>
      </c>
      <c r="R1162" s="8">
        <f>SUMIFS(EIAwtransport!$J$2:$J$675,EIAwtransport!$E$2:$E$675,Program_data!$E1162,EIAwtransport!$I$2:$I$675,Program_data!R$2)</f>
        <v>526109473</v>
      </c>
      <c r="S1162" s="5">
        <f>SUMIFS(EIAwtransport!$J$2:$J$675,EIAwtransport!$E$2:$E$675,Program_data!$E1162,EIAwtransport!$I$2:$I$675,Program_data!S$2)</f>
        <v>80336233</v>
      </c>
      <c r="T1162" s="5">
        <f>SUMIFS(EIAwtransport!$J$2:$J$675,EIAwtransport!$E$2:$E$675,Program_data!$E1162,EIAwtransport!$I$2:$I$675,Program_data!T$2)</f>
        <v>474354</v>
      </c>
      <c r="U1162" s="24">
        <f t="shared" si="362"/>
        <v>0</v>
      </c>
      <c r="V1162" s="24">
        <f t="shared" si="371"/>
        <v>0</v>
      </c>
      <c r="W1162" s="24">
        <f t="shared" si="363"/>
        <v>3.6747675136425455E-4</v>
      </c>
      <c r="X1162" s="25">
        <f t="shared" si="364"/>
        <v>2.3229227696656485E-4</v>
      </c>
      <c r="Y1162" s="8" t="str">
        <f t="shared" si="369"/>
        <v/>
      </c>
      <c r="Z1162" s="27">
        <f t="shared" si="370"/>
        <v>1.5159287269720882E-2</v>
      </c>
      <c r="AA1162" s="27"/>
      <c r="AB1162" s="40"/>
      <c r="AC1162" s="56">
        <f t="shared" si="357"/>
        <v>0</v>
      </c>
      <c r="AE1162" s="20">
        <f t="shared" si="359"/>
        <v>0</v>
      </c>
      <c r="AF1162" s="20">
        <f t="shared" si="360"/>
        <v>710247788.55000007</v>
      </c>
      <c r="AG1162">
        <f t="shared" si="366"/>
        <v>0</v>
      </c>
      <c r="AH1162">
        <f t="shared" si="367"/>
        <v>0</v>
      </c>
      <c r="AI1162">
        <f t="shared" si="368"/>
        <v>8473865856.8400002</v>
      </c>
    </row>
    <row r="1163" spans="2:35" x14ac:dyDescent="0.25">
      <c r="B1163" s="4">
        <v>2026</v>
      </c>
      <c r="C1163" s="4" t="s">
        <v>241</v>
      </c>
      <c r="D1163" s="1" t="s">
        <v>242</v>
      </c>
      <c r="E1163" s="4" t="str">
        <f t="shared" si="361"/>
        <v>Xcel-MN</v>
      </c>
      <c r="F1163" s="4" t="s">
        <v>155</v>
      </c>
      <c r="G1163" s="4"/>
      <c r="H1163" s="11" t="s">
        <v>512</v>
      </c>
      <c r="I1163" s="4"/>
      <c r="J1163" s="4" t="s">
        <v>155</v>
      </c>
      <c r="K1163" s="5">
        <v>0</v>
      </c>
      <c r="L1163" s="5">
        <f t="shared" si="365"/>
        <v>0</v>
      </c>
      <c r="M1163" s="8">
        <v>14578</v>
      </c>
      <c r="N1163" s="8">
        <v>0</v>
      </c>
      <c r="O1163" s="8">
        <f>SUMIFS(EIAwtransport!$J$2:$J$675,EIAwtransport!$E$2:$E$675,Program_data!$E1163,EIAwtransport!$H$2:$H$675,Program_data!$F1163,EIAwtransport!$I$2:$I$675,Program_data!O$2)</f>
        <v>0</v>
      </c>
      <c r="P1163" s="5">
        <f>SUMIFS(EIAwtransport!$J$2:$J$675,EIAwtransport!$E$2:$E$675,Program_data!$E1163,EIAwtransport!$H$2:$H$675,Program_data!$F1163,EIAwtransport!$I$2:$I$675,Program_data!P$2)</f>
        <v>0</v>
      </c>
      <c r="Q1163" s="5">
        <f>SUMIFS(EIAwtransport!$J$2:$J$675,EIAwtransport!$E$2:$E$675,Program_data!$E1163,EIAwtransport!$H$2:$H$675,Program_data!$F1163,EIAwtransport!$I$2:$I$675,Program_data!Q$2)</f>
        <v>0</v>
      </c>
      <c r="R1163" s="8">
        <f>SUMIFS(EIAwtransport!$J$2:$J$675,EIAwtransport!$E$2:$E$675,Program_data!$E1163,EIAwtransport!$I$2:$I$675,Program_data!R$2)</f>
        <v>526109473</v>
      </c>
      <c r="S1163" s="5">
        <f>SUMIFS(EIAwtransport!$J$2:$J$675,EIAwtransport!$E$2:$E$675,Program_data!$E1163,EIAwtransport!$I$2:$I$675,Program_data!S$2)</f>
        <v>80336233</v>
      </c>
      <c r="T1163" s="5">
        <f>SUMIFS(EIAwtransport!$J$2:$J$675,EIAwtransport!$E$2:$E$675,Program_data!$E1163,EIAwtransport!$I$2:$I$675,Program_data!T$2)</f>
        <v>474354</v>
      </c>
      <c r="U1163" s="24">
        <f t="shared" si="362"/>
        <v>0</v>
      </c>
      <c r="V1163" s="24">
        <f t="shared" si="371"/>
        <v>0</v>
      </c>
      <c r="W1163" s="24">
        <f t="shared" si="363"/>
        <v>2.7709061988321203E-5</v>
      </c>
      <c r="X1163" s="25">
        <f t="shared" si="364"/>
        <v>1.7515668890559722E-5</v>
      </c>
      <c r="Y1163" s="8" t="str">
        <f t="shared" si="369"/>
        <v/>
      </c>
      <c r="Z1163" s="27">
        <f t="shared" si="370"/>
        <v>1.1430645043422024E-3</v>
      </c>
      <c r="AA1163" s="27"/>
      <c r="AB1163" s="40"/>
      <c r="AC1163" s="56">
        <f t="shared" ref="AC1163:AC1174" si="372">IFERROR(K1163/SUMIFS($M$3:$M$1234,$E$3:$E$1234,E1163,$B$3:$B$1234,B1163),"")</f>
        <v>0</v>
      </c>
      <c r="AE1163" s="20">
        <f t="shared" si="359"/>
        <v>0</v>
      </c>
      <c r="AF1163" s="20">
        <f t="shared" si="360"/>
        <v>710247788.55000007</v>
      </c>
      <c r="AG1163">
        <f t="shared" si="366"/>
        <v>0</v>
      </c>
      <c r="AH1163">
        <f t="shared" si="367"/>
        <v>0</v>
      </c>
      <c r="AI1163">
        <f t="shared" si="368"/>
        <v>8473865856.8400002</v>
      </c>
    </row>
    <row r="1164" spans="2:35" x14ac:dyDescent="0.25">
      <c r="B1164" s="4">
        <v>2026</v>
      </c>
      <c r="C1164" s="4" t="s">
        <v>241</v>
      </c>
      <c r="D1164" s="1" t="s">
        <v>242</v>
      </c>
      <c r="E1164" s="4" t="str">
        <f t="shared" si="361"/>
        <v>Xcel-MN</v>
      </c>
      <c r="F1164" s="4" t="s">
        <v>155</v>
      </c>
      <c r="G1164" s="4"/>
      <c r="H1164" s="11" t="s">
        <v>513</v>
      </c>
      <c r="I1164" s="4"/>
      <c r="J1164" s="4" t="s">
        <v>155</v>
      </c>
      <c r="K1164" s="5">
        <v>0</v>
      </c>
      <c r="L1164" s="5">
        <f t="shared" si="365"/>
        <v>0</v>
      </c>
      <c r="M1164" s="8">
        <v>51759</v>
      </c>
      <c r="N1164" s="8">
        <v>0</v>
      </c>
      <c r="O1164" s="8">
        <f>SUMIFS(EIAwtransport!$J$2:$J$675,EIAwtransport!$E$2:$E$675,Program_data!$E1164,EIAwtransport!$H$2:$H$675,Program_data!$F1164,EIAwtransport!$I$2:$I$675,Program_data!O$2)</f>
        <v>0</v>
      </c>
      <c r="P1164" s="5">
        <f>SUMIFS(EIAwtransport!$J$2:$J$675,EIAwtransport!$E$2:$E$675,Program_data!$E1164,EIAwtransport!$H$2:$H$675,Program_data!$F1164,EIAwtransport!$I$2:$I$675,Program_data!P$2)</f>
        <v>0</v>
      </c>
      <c r="Q1164" s="5">
        <f>SUMIFS(EIAwtransport!$J$2:$J$675,EIAwtransport!$E$2:$E$675,Program_data!$E1164,EIAwtransport!$H$2:$H$675,Program_data!$F1164,EIAwtransport!$I$2:$I$675,Program_data!Q$2)</f>
        <v>0</v>
      </c>
      <c r="R1164" s="8">
        <f>SUMIFS(EIAwtransport!$J$2:$J$675,EIAwtransport!$E$2:$E$675,Program_data!$E1164,EIAwtransport!$I$2:$I$675,Program_data!R$2)</f>
        <v>526109473</v>
      </c>
      <c r="S1164" s="5">
        <f>SUMIFS(EIAwtransport!$J$2:$J$675,EIAwtransport!$E$2:$E$675,Program_data!$E1164,EIAwtransport!$I$2:$I$675,Program_data!S$2)</f>
        <v>80336233</v>
      </c>
      <c r="T1164" s="5">
        <f>SUMIFS(EIAwtransport!$J$2:$J$675,EIAwtransport!$E$2:$E$675,Program_data!$E1164,EIAwtransport!$I$2:$I$675,Program_data!T$2)</f>
        <v>474354</v>
      </c>
      <c r="U1164" s="24">
        <f t="shared" si="362"/>
        <v>0</v>
      </c>
      <c r="V1164" s="24">
        <f t="shared" si="371"/>
        <v>0</v>
      </c>
      <c r="W1164" s="24">
        <f t="shared" si="363"/>
        <v>9.8380665348711554E-5</v>
      </c>
      <c r="X1164" s="25">
        <f t="shared" si="364"/>
        <v>6.2189155309814824E-5</v>
      </c>
      <c r="Y1164" s="8" t="str">
        <f t="shared" si="369"/>
        <v/>
      </c>
      <c r="Z1164" s="27">
        <f t="shared" si="370"/>
        <v>4.0584357031312971E-3</v>
      </c>
      <c r="AA1164" s="27"/>
      <c r="AB1164" s="40"/>
      <c r="AC1164" s="56">
        <f t="shared" si="372"/>
        <v>0</v>
      </c>
      <c r="AE1164" s="20">
        <f t="shared" si="359"/>
        <v>0</v>
      </c>
      <c r="AF1164" s="20">
        <f t="shared" si="360"/>
        <v>710247788.55000007</v>
      </c>
      <c r="AG1164">
        <f t="shared" si="366"/>
        <v>0</v>
      </c>
      <c r="AH1164">
        <f t="shared" si="367"/>
        <v>0</v>
      </c>
      <c r="AI1164">
        <f t="shared" si="368"/>
        <v>8473865856.8400002</v>
      </c>
    </row>
    <row r="1165" spans="2:35" x14ac:dyDescent="0.25">
      <c r="B1165" s="4">
        <v>2026</v>
      </c>
      <c r="C1165" s="4" t="s">
        <v>241</v>
      </c>
      <c r="D1165" s="1" t="s">
        <v>242</v>
      </c>
      <c r="E1165" s="4" t="str">
        <f t="shared" si="361"/>
        <v>Xcel-MN</v>
      </c>
      <c r="F1165" s="4" t="s">
        <v>155</v>
      </c>
      <c r="G1165" s="4"/>
      <c r="H1165" s="11" t="s">
        <v>514</v>
      </c>
      <c r="I1165" s="4" t="s">
        <v>515</v>
      </c>
      <c r="J1165" s="4" t="s">
        <v>155</v>
      </c>
      <c r="K1165" s="5">
        <v>0</v>
      </c>
      <c r="L1165" s="5">
        <f t="shared" si="365"/>
        <v>0</v>
      </c>
      <c r="M1165" s="8">
        <v>365754</v>
      </c>
      <c r="N1165" s="8">
        <v>0</v>
      </c>
      <c r="O1165" s="8">
        <f>SUMIFS(EIAwtransport!$J$2:$J$675,EIAwtransport!$E$2:$E$675,Program_data!$E1165,EIAwtransport!$H$2:$H$675,Program_data!$F1165,EIAwtransport!$I$2:$I$675,Program_data!O$2)</f>
        <v>0</v>
      </c>
      <c r="P1165" s="5">
        <f>SUMIFS(EIAwtransport!$J$2:$J$675,EIAwtransport!$E$2:$E$675,Program_data!$E1165,EIAwtransport!$H$2:$H$675,Program_data!$F1165,EIAwtransport!$I$2:$I$675,Program_data!P$2)</f>
        <v>0</v>
      </c>
      <c r="Q1165" s="5">
        <f>SUMIFS(EIAwtransport!$J$2:$J$675,EIAwtransport!$E$2:$E$675,Program_data!$E1165,EIAwtransport!$H$2:$H$675,Program_data!$F1165,EIAwtransport!$I$2:$I$675,Program_data!Q$2)</f>
        <v>0</v>
      </c>
      <c r="R1165" s="8">
        <f>SUMIFS(EIAwtransport!$J$2:$J$675,EIAwtransport!$E$2:$E$675,Program_data!$E1165,EIAwtransport!$I$2:$I$675,Program_data!R$2)</f>
        <v>526109473</v>
      </c>
      <c r="S1165" s="5">
        <f>SUMIFS(EIAwtransport!$J$2:$J$675,EIAwtransport!$E$2:$E$675,Program_data!$E1165,EIAwtransport!$I$2:$I$675,Program_data!S$2)</f>
        <v>80336233</v>
      </c>
      <c r="T1165" s="5">
        <f>SUMIFS(EIAwtransport!$J$2:$J$675,EIAwtransport!$E$2:$E$675,Program_data!$E1165,EIAwtransport!$I$2:$I$675,Program_data!T$2)</f>
        <v>474354</v>
      </c>
      <c r="U1165" s="24">
        <f t="shared" si="362"/>
        <v>0</v>
      </c>
      <c r="V1165" s="24">
        <f t="shared" si="371"/>
        <v>0</v>
      </c>
      <c r="W1165" s="24">
        <f t="shared" si="363"/>
        <v>6.9520512131132064E-4</v>
      </c>
      <c r="X1165" s="25">
        <f t="shared" si="364"/>
        <v>4.3945849632307454E-4</v>
      </c>
      <c r="Y1165" s="8" t="str">
        <f t="shared" si="369"/>
        <v/>
      </c>
      <c r="Z1165" s="27">
        <f t="shared" si="370"/>
        <v>2.867885956380696E-2</v>
      </c>
      <c r="AA1165" s="27"/>
      <c r="AB1165" s="40"/>
      <c r="AC1165" s="56">
        <f t="shared" si="372"/>
        <v>0</v>
      </c>
      <c r="AE1165" s="20">
        <f t="shared" si="359"/>
        <v>0</v>
      </c>
      <c r="AF1165" s="20">
        <f t="shared" si="360"/>
        <v>710247788.55000007</v>
      </c>
      <c r="AG1165">
        <f t="shared" si="366"/>
        <v>0</v>
      </c>
      <c r="AH1165">
        <f t="shared" si="367"/>
        <v>0</v>
      </c>
      <c r="AI1165">
        <f t="shared" si="368"/>
        <v>8473865856.8400002</v>
      </c>
    </row>
    <row r="1166" spans="2:35" x14ac:dyDescent="0.25">
      <c r="B1166" s="4">
        <v>2026</v>
      </c>
      <c r="C1166" s="4" t="s">
        <v>241</v>
      </c>
      <c r="D1166" s="1" t="s">
        <v>242</v>
      </c>
      <c r="E1166" s="4" t="str">
        <f t="shared" si="361"/>
        <v>Xcel-MN</v>
      </c>
      <c r="F1166" s="4" t="s">
        <v>155</v>
      </c>
      <c r="G1166" s="4"/>
      <c r="H1166" s="11" t="s">
        <v>516</v>
      </c>
      <c r="I1166" s="4"/>
      <c r="J1166" s="4" t="s">
        <v>155</v>
      </c>
      <c r="K1166" s="5">
        <v>0</v>
      </c>
      <c r="L1166" s="5">
        <f t="shared" si="365"/>
        <v>0</v>
      </c>
      <c r="M1166" s="8">
        <v>499129</v>
      </c>
      <c r="N1166" s="8">
        <v>0</v>
      </c>
      <c r="O1166" s="8">
        <f>SUMIFS(EIAwtransport!$J$2:$J$675,EIAwtransport!$E$2:$E$675,Program_data!$E1166,EIAwtransport!$H$2:$H$675,Program_data!$F1166,EIAwtransport!$I$2:$I$675,Program_data!O$2)</f>
        <v>0</v>
      </c>
      <c r="P1166" s="5">
        <f>SUMIFS(EIAwtransport!$J$2:$J$675,EIAwtransport!$E$2:$E$675,Program_data!$E1166,EIAwtransport!$H$2:$H$675,Program_data!$F1166,EIAwtransport!$I$2:$I$675,Program_data!P$2)</f>
        <v>0</v>
      </c>
      <c r="Q1166" s="5">
        <f>SUMIFS(EIAwtransport!$J$2:$J$675,EIAwtransport!$E$2:$E$675,Program_data!$E1166,EIAwtransport!$H$2:$H$675,Program_data!$F1166,EIAwtransport!$I$2:$I$675,Program_data!Q$2)</f>
        <v>0</v>
      </c>
      <c r="R1166" s="8">
        <f>SUMIFS(EIAwtransport!$J$2:$J$675,EIAwtransport!$E$2:$E$675,Program_data!$E1166,EIAwtransport!$I$2:$I$675,Program_data!R$2)</f>
        <v>526109473</v>
      </c>
      <c r="S1166" s="5">
        <f>SUMIFS(EIAwtransport!$J$2:$J$675,EIAwtransport!$E$2:$E$675,Program_data!$E1166,EIAwtransport!$I$2:$I$675,Program_data!S$2)</f>
        <v>80336233</v>
      </c>
      <c r="T1166" s="5">
        <f>SUMIFS(EIAwtransport!$J$2:$J$675,EIAwtransport!$E$2:$E$675,Program_data!$E1166,EIAwtransport!$I$2:$I$675,Program_data!T$2)</f>
        <v>474354</v>
      </c>
      <c r="U1166" s="24">
        <f t="shared" si="362"/>
        <v>0</v>
      </c>
      <c r="V1166" s="24">
        <f t="shared" si="371"/>
        <v>0</v>
      </c>
      <c r="W1166" s="24">
        <f t="shared" si="363"/>
        <v>9.4871699829666436E-4</v>
      </c>
      <c r="X1166" s="25">
        <f t="shared" si="364"/>
        <v>5.9971040593196484E-4</v>
      </c>
      <c r="Y1166" s="8" t="str">
        <f t="shared" si="369"/>
        <v/>
      </c>
      <c r="Z1166" s="27">
        <f t="shared" si="370"/>
        <v>3.9136825558226035E-2</v>
      </c>
      <c r="AA1166" s="27"/>
      <c r="AB1166" s="40"/>
      <c r="AC1166" s="56">
        <f t="shared" si="372"/>
        <v>0</v>
      </c>
      <c r="AE1166" s="20">
        <f t="shared" si="359"/>
        <v>0</v>
      </c>
      <c r="AF1166" s="20">
        <f t="shared" si="360"/>
        <v>710247788.55000007</v>
      </c>
      <c r="AG1166">
        <f t="shared" si="366"/>
        <v>0</v>
      </c>
      <c r="AH1166">
        <f t="shared" si="367"/>
        <v>0</v>
      </c>
      <c r="AI1166">
        <f t="shared" si="368"/>
        <v>8473865856.8400002</v>
      </c>
    </row>
    <row r="1167" spans="2:35" x14ac:dyDescent="0.25">
      <c r="B1167" s="4">
        <v>2026</v>
      </c>
      <c r="C1167" s="4" t="s">
        <v>241</v>
      </c>
      <c r="D1167" s="1" t="s">
        <v>242</v>
      </c>
      <c r="E1167" s="4" t="str">
        <f t="shared" si="361"/>
        <v>Xcel-MN</v>
      </c>
      <c r="F1167" s="4" t="s">
        <v>155</v>
      </c>
      <c r="G1167" s="4"/>
      <c r="H1167" s="11" t="s">
        <v>285</v>
      </c>
      <c r="I1167" s="4"/>
      <c r="J1167" s="4" t="s">
        <v>155</v>
      </c>
      <c r="K1167" s="5">
        <v>0</v>
      </c>
      <c r="L1167" s="5">
        <f t="shared" si="365"/>
        <v>0</v>
      </c>
      <c r="M1167" s="8">
        <v>574548</v>
      </c>
      <c r="N1167" s="8">
        <v>0</v>
      </c>
      <c r="O1167" s="8">
        <f>SUMIFS(EIAwtransport!$J$2:$J$675,EIAwtransport!$E$2:$E$675,Program_data!$E1167,EIAwtransport!$H$2:$H$675,Program_data!$F1167,EIAwtransport!$I$2:$I$675,Program_data!O$2)</f>
        <v>0</v>
      </c>
      <c r="P1167" s="5">
        <f>SUMIFS(EIAwtransport!$J$2:$J$675,EIAwtransport!$E$2:$E$675,Program_data!$E1167,EIAwtransport!$H$2:$H$675,Program_data!$F1167,EIAwtransport!$I$2:$I$675,Program_data!P$2)</f>
        <v>0</v>
      </c>
      <c r="Q1167" s="5">
        <f>SUMIFS(EIAwtransport!$J$2:$J$675,EIAwtransport!$E$2:$E$675,Program_data!$E1167,EIAwtransport!$H$2:$H$675,Program_data!$F1167,EIAwtransport!$I$2:$I$675,Program_data!Q$2)</f>
        <v>0</v>
      </c>
      <c r="R1167" s="8">
        <f>SUMIFS(EIAwtransport!$J$2:$J$675,EIAwtransport!$E$2:$E$675,Program_data!$E1167,EIAwtransport!$I$2:$I$675,Program_data!R$2)</f>
        <v>526109473</v>
      </c>
      <c r="S1167" s="5">
        <f>SUMIFS(EIAwtransport!$J$2:$J$675,EIAwtransport!$E$2:$E$675,Program_data!$E1167,EIAwtransport!$I$2:$I$675,Program_data!S$2)</f>
        <v>80336233</v>
      </c>
      <c r="T1167" s="5">
        <f>SUMIFS(EIAwtransport!$J$2:$J$675,EIAwtransport!$E$2:$E$675,Program_data!$E1167,EIAwtransport!$I$2:$I$675,Program_data!T$2)</f>
        <v>474354</v>
      </c>
      <c r="U1167" s="24">
        <f t="shared" si="362"/>
        <v>0</v>
      </c>
      <c r="V1167" s="24">
        <f t="shared" si="371"/>
        <v>0</v>
      </c>
      <c r="W1167" s="24">
        <f t="shared" si="363"/>
        <v>1.0920692925823823E-3</v>
      </c>
      <c r="X1167" s="25">
        <f t="shared" si="364"/>
        <v>6.9032737890885624E-4</v>
      </c>
      <c r="Y1167" s="8" t="str">
        <f t="shared" si="369"/>
        <v/>
      </c>
      <c r="Z1167" s="27">
        <f t="shared" si="370"/>
        <v>4.5050447581342003E-2</v>
      </c>
      <c r="AA1167" s="27"/>
      <c r="AB1167" s="40"/>
      <c r="AC1167" s="56">
        <f t="shared" si="372"/>
        <v>0</v>
      </c>
      <c r="AE1167" s="20">
        <f t="shared" si="359"/>
        <v>0</v>
      </c>
      <c r="AF1167" s="20">
        <f t="shared" si="360"/>
        <v>710247788.55000007</v>
      </c>
      <c r="AG1167">
        <f t="shared" si="366"/>
        <v>0</v>
      </c>
      <c r="AH1167">
        <f t="shared" si="367"/>
        <v>0</v>
      </c>
      <c r="AI1167">
        <f t="shared" si="368"/>
        <v>8473865856.8400002</v>
      </c>
    </row>
    <row r="1168" spans="2:35" x14ac:dyDescent="0.25">
      <c r="B1168" s="4">
        <v>2026</v>
      </c>
      <c r="C1168" s="4" t="s">
        <v>241</v>
      </c>
      <c r="D1168" s="1" t="s">
        <v>242</v>
      </c>
      <c r="E1168" s="4" t="str">
        <f t="shared" si="361"/>
        <v>Xcel-MN</v>
      </c>
      <c r="F1168" s="4" t="s">
        <v>155</v>
      </c>
      <c r="G1168" s="4"/>
      <c r="H1168" s="11" t="s">
        <v>517</v>
      </c>
      <c r="I1168" s="4"/>
      <c r="J1168" s="4" t="s">
        <v>155</v>
      </c>
      <c r="K1168" s="5">
        <v>0</v>
      </c>
      <c r="L1168" s="5">
        <f t="shared" si="365"/>
        <v>0</v>
      </c>
      <c r="M1168" s="8">
        <v>201545</v>
      </c>
      <c r="N1168" s="8">
        <v>0</v>
      </c>
      <c r="O1168" s="8">
        <f>SUMIFS(EIAwtransport!$J$2:$J$675,EIAwtransport!$E$2:$E$675,Program_data!$E1168,EIAwtransport!$H$2:$H$675,Program_data!$F1168,EIAwtransport!$I$2:$I$675,Program_data!O$2)</f>
        <v>0</v>
      </c>
      <c r="P1168" s="5">
        <f>SUMIFS(EIAwtransport!$J$2:$J$675,EIAwtransport!$E$2:$E$675,Program_data!$E1168,EIAwtransport!$H$2:$H$675,Program_data!$F1168,EIAwtransport!$I$2:$I$675,Program_data!P$2)</f>
        <v>0</v>
      </c>
      <c r="Q1168" s="5">
        <f>SUMIFS(EIAwtransport!$J$2:$J$675,EIAwtransport!$E$2:$E$675,Program_data!$E1168,EIAwtransport!$H$2:$H$675,Program_data!$F1168,EIAwtransport!$I$2:$I$675,Program_data!Q$2)</f>
        <v>0</v>
      </c>
      <c r="R1168" s="8">
        <f>SUMIFS(EIAwtransport!$J$2:$J$675,EIAwtransport!$E$2:$E$675,Program_data!$E1168,EIAwtransport!$I$2:$I$675,Program_data!R$2)</f>
        <v>526109473</v>
      </c>
      <c r="S1168" s="5">
        <f>SUMIFS(EIAwtransport!$J$2:$J$675,EIAwtransport!$E$2:$E$675,Program_data!$E1168,EIAwtransport!$I$2:$I$675,Program_data!S$2)</f>
        <v>80336233</v>
      </c>
      <c r="T1168" s="5">
        <f>SUMIFS(EIAwtransport!$J$2:$J$675,EIAwtransport!$E$2:$E$675,Program_data!$E1168,EIAwtransport!$I$2:$I$675,Program_data!T$2)</f>
        <v>474354</v>
      </c>
      <c r="U1168" s="24">
        <f t="shared" si="362"/>
        <v>0</v>
      </c>
      <c r="V1168" s="24">
        <f t="shared" si="371"/>
        <v>0</v>
      </c>
      <c r="W1168" s="24">
        <f t="shared" si="363"/>
        <v>3.8308567008068302E-4</v>
      </c>
      <c r="X1168" s="25">
        <f t="shared" si="364"/>
        <v>2.4215910869446146E-4</v>
      </c>
      <c r="Y1168" s="8" t="str">
        <f t="shared" si="369"/>
        <v/>
      </c>
      <c r="Z1168" s="27">
        <f t="shared" si="370"/>
        <v>1.5803192175034241E-2</v>
      </c>
      <c r="AA1168" s="27"/>
      <c r="AB1168" s="40"/>
      <c r="AC1168" s="56">
        <f t="shared" si="372"/>
        <v>0</v>
      </c>
      <c r="AE1168" s="20">
        <f t="shared" si="359"/>
        <v>0</v>
      </c>
      <c r="AF1168" s="20">
        <f t="shared" si="360"/>
        <v>710247788.55000007</v>
      </c>
      <c r="AG1168">
        <f t="shared" si="366"/>
        <v>0</v>
      </c>
      <c r="AH1168">
        <f t="shared" si="367"/>
        <v>0</v>
      </c>
      <c r="AI1168">
        <f t="shared" si="368"/>
        <v>8473865856.8400002</v>
      </c>
    </row>
    <row r="1169" spans="2:35" x14ac:dyDescent="0.25">
      <c r="B1169" s="4">
        <v>2026</v>
      </c>
      <c r="C1169" s="4" t="s">
        <v>241</v>
      </c>
      <c r="D1169" s="1" t="s">
        <v>242</v>
      </c>
      <c r="E1169" s="4" t="str">
        <f t="shared" si="361"/>
        <v>Xcel-MN</v>
      </c>
      <c r="F1169" s="4" t="s">
        <v>155</v>
      </c>
      <c r="G1169" s="4"/>
      <c r="H1169" s="11" t="s">
        <v>518</v>
      </c>
      <c r="I1169" s="4"/>
      <c r="J1169" s="4" t="s">
        <v>155</v>
      </c>
      <c r="K1169" s="5">
        <v>0</v>
      </c>
      <c r="L1169" s="5">
        <f t="shared" si="365"/>
        <v>0</v>
      </c>
      <c r="M1169" s="8">
        <v>294738</v>
      </c>
      <c r="N1169" s="8">
        <v>0</v>
      </c>
      <c r="O1169" s="8">
        <f>SUMIFS(EIAwtransport!$J$2:$J$675,EIAwtransport!$E$2:$E$675,Program_data!$E1169,EIAwtransport!$H$2:$H$675,Program_data!$F1169,EIAwtransport!$I$2:$I$675,Program_data!O$2)</f>
        <v>0</v>
      </c>
      <c r="P1169" s="5">
        <f>SUMIFS(EIAwtransport!$J$2:$J$675,EIAwtransport!$E$2:$E$675,Program_data!$E1169,EIAwtransport!$H$2:$H$675,Program_data!$F1169,EIAwtransport!$I$2:$I$675,Program_data!P$2)</f>
        <v>0</v>
      </c>
      <c r="Q1169" s="5">
        <f>SUMIFS(EIAwtransport!$J$2:$J$675,EIAwtransport!$E$2:$E$675,Program_data!$E1169,EIAwtransport!$H$2:$H$675,Program_data!$F1169,EIAwtransport!$I$2:$I$675,Program_data!Q$2)</f>
        <v>0</v>
      </c>
      <c r="R1169" s="8">
        <f>SUMIFS(EIAwtransport!$J$2:$J$675,EIAwtransport!$E$2:$E$675,Program_data!$E1169,EIAwtransport!$I$2:$I$675,Program_data!R$2)</f>
        <v>526109473</v>
      </c>
      <c r="S1169" s="5">
        <f>SUMIFS(EIAwtransport!$J$2:$J$675,EIAwtransport!$E$2:$E$675,Program_data!$E1169,EIAwtransport!$I$2:$I$675,Program_data!S$2)</f>
        <v>80336233</v>
      </c>
      <c r="T1169" s="5">
        <f>SUMIFS(EIAwtransport!$J$2:$J$675,EIAwtransport!$E$2:$E$675,Program_data!$E1169,EIAwtransport!$I$2:$I$675,Program_data!T$2)</f>
        <v>474354</v>
      </c>
      <c r="U1169" s="24">
        <f t="shared" si="362"/>
        <v>0</v>
      </c>
      <c r="V1169" s="24">
        <f t="shared" si="371"/>
        <v>0</v>
      </c>
      <c r="W1169" s="24">
        <f t="shared" si="363"/>
        <v>5.6022180767689765E-4</v>
      </c>
      <c r="X1169" s="25">
        <f t="shared" si="364"/>
        <v>3.5413178882328104E-4</v>
      </c>
      <c r="Y1169" s="8" t="str">
        <f t="shared" si="369"/>
        <v/>
      </c>
      <c r="Z1169" s="27">
        <f t="shared" si="370"/>
        <v>2.3110477835149679E-2</v>
      </c>
      <c r="AA1169" s="27"/>
      <c r="AB1169" s="40"/>
      <c r="AC1169" s="56">
        <f t="shared" si="372"/>
        <v>0</v>
      </c>
      <c r="AE1169" s="20">
        <f t="shared" si="359"/>
        <v>0</v>
      </c>
      <c r="AF1169" s="20">
        <f t="shared" si="360"/>
        <v>710247788.55000007</v>
      </c>
      <c r="AG1169">
        <f t="shared" si="366"/>
        <v>0</v>
      </c>
      <c r="AH1169">
        <f t="shared" si="367"/>
        <v>0</v>
      </c>
      <c r="AI1169">
        <f t="shared" si="368"/>
        <v>8473865856.8400002</v>
      </c>
    </row>
    <row r="1170" spans="2:35" x14ac:dyDescent="0.25">
      <c r="B1170" s="4">
        <v>2026</v>
      </c>
      <c r="C1170" s="4" t="s">
        <v>241</v>
      </c>
      <c r="D1170" s="1" t="s">
        <v>242</v>
      </c>
      <c r="E1170" s="4" t="str">
        <f t="shared" si="361"/>
        <v>Xcel-MN</v>
      </c>
      <c r="F1170" s="4" t="s">
        <v>155</v>
      </c>
      <c r="G1170" s="4"/>
      <c r="H1170" s="11" t="s">
        <v>519</v>
      </c>
      <c r="I1170" s="4"/>
      <c r="J1170" s="4" t="s">
        <v>155</v>
      </c>
      <c r="K1170" s="5">
        <v>0</v>
      </c>
      <c r="L1170" s="5">
        <f t="shared" si="365"/>
        <v>0</v>
      </c>
      <c r="M1170" s="8">
        <v>1232765</v>
      </c>
      <c r="N1170" s="8">
        <v>0</v>
      </c>
      <c r="O1170" s="8">
        <f>SUMIFS(EIAwtransport!$J$2:$J$675,EIAwtransport!$E$2:$E$675,Program_data!$E1170,EIAwtransport!$H$2:$H$675,Program_data!$F1170,EIAwtransport!$I$2:$I$675,Program_data!O$2)</f>
        <v>0</v>
      </c>
      <c r="P1170" s="5">
        <f>SUMIFS(EIAwtransport!$J$2:$J$675,EIAwtransport!$E$2:$E$675,Program_data!$E1170,EIAwtransport!$H$2:$H$675,Program_data!$F1170,EIAwtransport!$I$2:$I$675,Program_data!P$2)</f>
        <v>0</v>
      </c>
      <c r="Q1170" s="5">
        <f>SUMIFS(EIAwtransport!$J$2:$J$675,EIAwtransport!$E$2:$E$675,Program_data!$E1170,EIAwtransport!$H$2:$H$675,Program_data!$F1170,EIAwtransport!$I$2:$I$675,Program_data!Q$2)</f>
        <v>0</v>
      </c>
      <c r="R1170" s="8">
        <f>SUMIFS(EIAwtransport!$J$2:$J$675,EIAwtransport!$E$2:$E$675,Program_data!$E1170,EIAwtransport!$I$2:$I$675,Program_data!R$2)</f>
        <v>526109473</v>
      </c>
      <c r="S1170" s="5">
        <f>SUMIFS(EIAwtransport!$J$2:$J$675,EIAwtransport!$E$2:$E$675,Program_data!$E1170,EIAwtransport!$I$2:$I$675,Program_data!S$2)</f>
        <v>80336233</v>
      </c>
      <c r="T1170" s="5">
        <f>SUMIFS(EIAwtransport!$J$2:$J$675,EIAwtransport!$E$2:$E$675,Program_data!$E1170,EIAwtransport!$I$2:$I$675,Program_data!T$2)</f>
        <v>474354</v>
      </c>
      <c r="U1170" s="24">
        <f t="shared" si="362"/>
        <v>0</v>
      </c>
      <c r="V1170" s="24">
        <f t="shared" si="371"/>
        <v>0</v>
      </c>
      <c r="W1170" s="24">
        <f t="shared" si="363"/>
        <v>2.3431720264805041E-3</v>
      </c>
      <c r="X1170" s="25">
        <f t="shared" si="364"/>
        <v>1.4811842200487622E-3</v>
      </c>
      <c r="Y1170" s="8" t="str">
        <f t="shared" si="369"/>
        <v/>
      </c>
      <c r="Z1170" s="27">
        <f t="shared" si="370"/>
        <v>9.6661401680300116E-2</v>
      </c>
      <c r="AA1170" s="27"/>
      <c r="AB1170" s="40"/>
      <c r="AC1170" s="56">
        <f t="shared" si="372"/>
        <v>0</v>
      </c>
      <c r="AE1170" s="20">
        <f t="shared" si="359"/>
        <v>0</v>
      </c>
      <c r="AF1170" s="20">
        <f t="shared" si="360"/>
        <v>710247788.55000007</v>
      </c>
      <c r="AG1170">
        <f t="shared" si="366"/>
        <v>0</v>
      </c>
      <c r="AH1170">
        <f t="shared" si="367"/>
        <v>0</v>
      </c>
      <c r="AI1170">
        <f t="shared" si="368"/>
        <v>8473865856.8400002</v>
      </c>
    </row>
    <row r="1171" spans="2:35" x14ac:dyDescent="0.25">
      <c r="B1171" s="4">
        <v>2026</v>
      </c>
      <c r="C1171" s="4" t="s">
        <v>241</v>
      </c>
      <c r="D1171" s="1" t="s">
        <v>242</v>
      </c>
      <c r="E1171" s="4" t="str">
        <f t="shared" si="361"/>
        <v>Xcel-MN</v>
      </c>
      <c r="F1171" s="4" t="s">
        <v>155</v>
      </c>
      <c r="G1171" s="4"/>
      <c r="H1171" s="11" t="s">
        <v>520</v>
      </c>
      <c r="I1171" s="4"/>
      <c r="J1171" s="4" t="s">
        <v>155</v>
      </c>
      <c r="K1171" s="5">
        <v>0</v>
      </c>
      <c r="L1171" s="5">
        <f t="shared" si="365"/>
        <v>0</v>
      </c>
      <c r="M1171" s="8">
        <v>131708</v>
      </c>
      <c r="N1171" s="8">
        <v>0</v>
      </c>
      <c r="O1171" s="8">
        <f>SUMIFS(EIAwtransport!$J$2:$J$675,EIAwtransport!$E$2:$E$675,Program_data!$E1171,EIAwtransport!$H$2:$H$675,Program_data!$F1171,EIAwtransport!$I$2:$I$675,Program_data!O$2)</f>
        <v>0</v>
      </c>
      <c r="P1171" s="5">
        <f>SUMIFS(EIAwtransport!$J$2:$J$675,EIAwtransport!$E$2:$E$675,Program_data!$E1171,EIAwtransport!$H$2:$H$675,Program_data!$F1171,EIAwtransport!$I$2:$I$675,Program_data!P$2)</f>
        <v>0</v>
      </c>
      <c r="Q1171" s="5">
        <f>SUMIFS(EIAwtransport!$J$2:$J$675,EIAwtransport!$E$2:$E$675,Program_data!$E1171,EIAwtransport!$H$2:$H$675,Program_data!$F1171,EIAwtransport!$I$2:$I$675,Program_data!Q$2)</f>
        <v>0</v>
      </c>
      <c r="R1171" s="8">
        <f>SUMIFS(EIAwtransport!$J$2:$J$675,EIAwtransport!$E$2:$E$675,Program_data!$E1171,EIAwtransport!$I$2:$I$675,Program_data!R$2)</f>
        <v>526109473</v>
      </c>
      <c r="S1171" s="5">
        <f>SUMIFS(EIAwtransport!$J$2:$J$675,EIAwtransport!$E$2:$E$675,Program_data!$E1171,EIAwtransport!$I$2:$I$675,Program_data!S$2)</f>
        <v>80336233</v>
      </c>
      <c r="T1171" s="5">
        <f>SUMIFS(EIAwtransport!$J$2:$J$675,EIAwtransport!$E$2:$E$675,Program_data!$E1171,EIAwtransport!$I$2:$I$675,Program_data!T$2)</f>
        <v>474354</v>
      </c>
      <c r="U1171" s="24">
        <f t="shared" si="362"/>
        <v>0</v>
      </c>
      <c r="V1171" s="24">
        <f t="shared" si="371"/>
        <v>0</v>
      </c>
      <c r="W1171" s="24">
        <f t="shared" si="363"/>
        <v>2.5034333491273213E-4</v>
      </c>
      <c r="X1171" s="25">
        <f t="shared" si="364"/>
        <v>1.5824898602262585E-4</v>
      </c>
      <c r="Y1171" s="8" t="str">
        <f t="shared" si="369"/>
        <v/>
      </c>
      <c r="Z1171" s="27">
        <f t="shared" si="370"/>
        <v>1.0327256121409164E-2</v>
      </c>
      <c r="AA1171" s="27"/>
      <c r="AB1171" s="40"/>
      <c r="AC1171" s="56">
        <f t="shared" si="372"/>
        <v>0</v>
      </c>
      <c r="AE1171" s="20">
        <f t="shared" si="359"/>
        <v>0</v>
      </c>
      <c r="AF1171" s="20">
        <f t="shared" si="360"/>
        <v>710247788.55000007</v>
      </c>
      <c r="AG1171">
        <f t="shared" si="366"/>
        <v>0</v>
      </c>
      <c r="AH1171">
        <f t="shared" si="367"/>
        <v>0</v>
      </c>
      <c r="AI1171">
        <f t="shared" si="368"/>
        <v>8473865856.8400002</v>
      </c>
    </row>
    <row r="1172" spans="2:35" x14ac:dyDescent="0.25">
      <c r="B1172" s="4">
        <v>2026</v>
      </c>
      <c r="C1172" s="4" t="s">
        <v>241</v>
      </c>
      <c r="D1172" s="1" t="s">
        <v>242</v>
      </c>
      <c r="E1172" s="4" t="str">
        <f t="shared" si="361"/>
        <v>Xcel-MN</v>
      </c>
      <c r="F1172" s="4" t="s">
        <v>155</v>
      </c>
      <c r="G1172" s="4"/>
      <c r="H1172" s="11" t="s">
        <v>521</v>
      </c>
      <c r="I1172" s="4"/>
      <c r="J1172" s="4" t="s">
        <v>155</v>
      </c>
      <c r="K1172" s="5">
        <v>0</v>
      </c>
      <c r="L1172" s="5">
        <f t="shared" si="365"/>
        <v>0</v>
      </c>
      <c r="M1172" s="8">
        <v>52395</v>
      </c>
      <c r="N1172" s="8">
        <v>0</v>
      </c>
      <c r="O1172" s="8">
        <f>SUMIFS(EIAwtransport!$J$2:$J$675,EIAwtransport!$E$2:$E$675,Program_data!$E1172,EIAwtransport!$H$2:$H$675,Program_data!$F1172,EIAwtransport!$I$2:$I$675,Program_data!O$2)</f>
        <v>0</v>
      </c>
      <c r="P1172" s="5">
        <f>SUMIFS(EIAwtransport!$J$2:$J$675,EIAwtransport!$E$2:$E$675,Program_data!$E1172,EIAwtransport!$H$2:$H$675,Program_data!$F1172,EIAwtransport!$I$2:$I$675,Program_data!P$2)</f>
        <v>0</v>
      </c>
      <c r="Q1172" s="5">
        <f>SUMIFS(EIAwtransport!$J$2:$J$675,EIAwtransport!$E$2:$E$675,Program_data!$E1172,EIAwtransport!$H$2:$H$675,Program_data!$F1172,EIAwtransport!$I$2:$I$675,Program_data!Q$2)</f>
        <v>0</v>
      </c>
      <c r="R1172" s="8">
        <f>SUMIFS(EIAwtransport!$J$2:$J$675,EIAwtransport!$E$2:$E$675,Program_data!$E1172,EIAwtransport!$I$2:$I$675,Program_data!R$2)</f>
        <v>526109473</v>
      </c>
      <c r="S1172" s="5">
        <f>SUMIFS(EIAwtransport!$J$2:$J$675,EIAwtransport!$E$2:$E$675,Program_data!$E1172,EIAwtransport!$I$2:$I$675,Program_data!S$2)</f>
        <v>80336233</v>
      </c>
      <c r="T1172" s="5">
        <f>SUMIFS(EIAwtransport!$J$2:$J$675,EIAwtransport!$E$2:$E$675,Program_data!$E1172,EIAwtransport!$I$2:$I$675,Program_data!T$2)</f>
        <v>474354</v>
      </c>
      <c r="U1172" s="24">
        <f t="shared" si="362"/>
        <v>0</v>
      </c>
      <c r="V1172" s="24">
        <f t="shared" si="371"/>
        <v>0</v>
      </c>
      <c r="W1172" s="24">
        <f t="shared" si="363"/>
        <v>9.958953922884411E-5</v>
      </c>
      <c r="X1172" s="25">
        <f t="shared" si="364"/>
        <v>6.2953318117771754E-5</v>
      </c>
      <c r="Y1172" s="8" t="str">
        <f t="shared" si="369"/>
        <v/>
      </c>
      <c r="Z1172" s="27">
        <f t="shared" si="370"/>
        <v>4.1083046168891267E-3</v>
      </c>
      <c r="AA1172" s="27"/>
      <c r="AB1172" s="40"/>
      <c r="AC1172" s="56">
        <f t="shared" si="372"/>
        <v>0</v>
      </c>
      <c r="AE1172" s="20">
        <f t="shared" si="359"/>
        <v>0</v>
      </c>
      <c r="AF1172" s="20">
        <f t="shared" si="360"/>
        <v>710247788.55000007</v>
      </c>
      <c r="AG1172">
        <f t="shared" si="366"/>
        <v>0</v>
      </c>
      <c r="AH1172">
        <f t="shared" si="367"/>
        <v>0</v>
      </c>
      <c r="AI1172">
        <f t="shared" si="368"/>
        <v>8473865856.8400002</v>
      </c>
    </row>
    <row r="1173" spans="2:35" x14ac:dyDescent="0.25">
      <c r="B1173" s="4">
        <v>2026</v>
      </c>
      <c r="C1173" s="4" t="s">
        <v>241</v>
      </c>
      <c r="D1173" s="1" t="s">
        <v>242</v>
      </c>
      <c r="E1173" s="4" t="str">
        <f t="shared" si="361"/>
        <v>Xcel-MN</v>
      </c>
      <c r="F1173" s="4" t="s">
        <v>135</v>
      </c>
      <c r="G1173" s="4"/>
      <c r="H1173" s="11" t="s">
        <v>522</v>
      </c>
      <c r="I1173" s="4"/>
      <c r="J1173" s="4" t="s">
        <v>142</v>
      </c>
      <c r="K1173" s="5">
        <v>10676</v>
      </c>
      <c r="L1173" s="5">
        <f t="shared" si="365"/>
        <v>10676</v>
      </c>
      <c r="M1173" s="8">
        <v>99099</v>
      </c>
      <c r="N1173" s="8">
        <v>62522</v>
      </c>
      <c r="O1173" s="8">
        <f>SUMIFS(EIAwtransport!$J$2:$J$675,EIAwtransport!$E$2:$E$675,Program_data!$E1173,EIAwtransport!$H$2:$H$675,Program_data!$F1173,EIAwtransport!$I$2:$I$675,Program_data!O$2)</f>
        <v>306619750</v>
      </c>
      <c r="P1173" s="5">
        <f>SUMIFS(EIAwtransport!$J$2:$J$675,EIAwtransport!$E$2:$E$675,Program_data!$E1173,EIAwtransport!$H$2:$H$675,Program_data!$F1173,EIAwtransport!$I$2:$I$675,Program_data!P$2)</f>
        <v>35286911</v>
      </c>
      <c r="Q1173" s="5">
        <f>SUMIFS(EIAwtransport!$J$2:$J$675,EIAwtransport!$E$2:$E$675,Program_data!$E1173,EIAwtransport!$H$2:$H$675,Program_data!$F1173,EIAwtransport!$I$2:$I$675,Program_data!Q$2)</f>
        <v>438247</v>
      </c>
      <c r="R1173" s="8">
        <f>SUMIFS(EIAwtransport!$J$2:$J$675,EIAwtransport!$E$2:$E$675,Program_data!$E1173,EIAwtransport!$I$2:$I$675,Program_data!R$2)</f>
        <v>526109473</v>
      </c>
      <c r="S1173" s="5">
        <f>SUMIFS(EIAwtransport!$J$2:$J$675,EIAwtransport!$E$2:$E$675,Program_data!$E1173,EIAwtransport!$I$2:$I$675,Program_data!S$2)</f>
        <v>80336233</v>
      </c>
      <c r="T1173" s="5">
        <f>SUMIFS(EIAwtransport!$J$2:$J$675,EIAwtransport!$E$2:$E$675,Program_data!$E1173,EIAwtransport!$I$2:$I$675,Program_data!T$2)</f>
        <v>474354</v>
      </c>
      <c r="U1173" s="24">
        <f t="shared" si="362"/>
        <v>1.2827361851805156E-5</v>
      </c>
      <c r="V1173" s="24">
        <f t="shared" si="371"/>
        <v>1.2827361851805156E-5</v>
      </c>
      <c r="W1173" s="24">
        <f t="shared" si="363"/>
        <v>1.8836193812461538E-4</v>
      </c>
      <c r="X1173" s="25">
        <f t="shared" si="364"/>
        <v>1.1906882092094784E-4</v>
      </c>
      <c r="Y1173" s="8">
        <f t="shared" si="369"/>
        <v>2.0848261414170146E-2</v>
      </c>
      <c r="Z1173" s="27">
        <f t="shared" si="370"/>
        <v>7.7703765479357877E-3</v>
      </c>
      <c r="AA1173" s="27"/>
      <c r="AB1173" s="40">
        <v>10676</v>
      </c>
      <c r="AC1173" s="56">
        <f t="shared" si="372"/>
        <v>3.1448676075837968E-4</v>
      </c>
      <c r="AE1173" s="20">
        <f t="shared" si="359"/>
        <v>84404.700000000012</v>
      </c>
      <c r="AF1173" s="20">
        <f t="shared" si="360"/>
        <v>710247788.55000007</v>
      </c>
      <c r="AG1173">
        <f t="shared" si="366"/>
        <v>1126104.48</v>
      </c>
      <c r="AH1173">
        <f t="shared" si="367"/>
        <v>1126104.48</v>
      </c>
      <c r="AI1173">
        <f t="shared" si="368"/>
        <v>8473865856.8400002</v>
      </c>
    </row>
    <row r="1174" spans="2:35" x14ac:dyDescent="0.25">
      <c r="B1174" s="4">
        <v>2026</v>
      </c>
      <c r="C1174" s="4" t="s">
        <v>241</v>
      </c>
      <c r="D1174" s="1" t="s">
        <v>242</v>
      </c>
      <c r="E1174" s="4" t="str">
        <f t="shared" si="361"/>
        <v>Xcel-MN</v>
      </c>
      <c r="F1174" s="4" t="s">
        <v>155</v>
      </c>
      <c r="G1174" s="4"/>
      <c r="H1174" s="11" t="s">
        <v>523</v>
      </c>
      <c r="I1174" s="4"/>
      <c r="J1174" s="4" t="s">
        <v>155</v>
      </c>
      <c r="K1174" s="5">
        <v>0</v>
      </c>
      <c r="L1174" s="5">
        <f t="shared" si="365"/>
        <v>0</v>
      </c>
      <c r="M1174" s="8">
        <v>22011</v>
      </c>
      <c r="N1174" s="8">
        <v>0</v>
      </c>
      <c r="O1174" s="8">
        <f>SUMIFS(EIAwtransport!$J$2:$J$675,EIAwtransport!$E$2:$E$675,Program_data!$E1174,EIAwtransport!$H$2:$H$675,Program_data!$F1174,EIAwtransport!$I$2:$I$675,Program_data!O$2)</f>
        <v>0</v>
      </c>
      <c r="P1174" s="5">
        <f>SUMIFS(EIAwtransport!$J$2:$J$675,EIAwtransport!$E$2:$E$675,Program_data!$E1174,EIAwtransport!$H$2:$H$675,Program_data!$F1174,EIAwtransport!$I$2:$I$675,Program_data!P$2)</f>
        <v>0</v>
      </c>
      <c r="Q1174" s="5">
        <f>SUMIFS(EIAwtransport!$J$2:$J$675,EIAwtransport!$E$2:$E$675,Program_data!$E1174,EIAwtransport!$H$2:$H$675,Program_data!$F1174,EIAwtransport!$I$2:$I$675,Program_data!Q$2)</f>
        <v>0</v>
      </c>
      <c r="R1174" s="8">
        <f>SUMIFS(EIAwtransport!$J$2:$J$675,EIAwtransport!$E$2:$E$675,Program_data!$E1174,EIAwtransport!$I$2:$I$675,Program_data!R$2)</f>
        <v>526109473</v>
      </c>
      <c r="S1174" s="5">
        <f>SUMIFS(EIAwtransport!$J$2:$J$675,EIAwtransport!$E$2:$E$675,Program_data!$E1174,EIAwtransport!$I$2:$I$675,Program_data!S$2)</f>
        <v>80336233</v>
      </c>
      <c r="T1174" s="5">
        <f>SUMIFS(EIAwtransport!$J$2:$J$675,EIAwtransport!$E$2:$E$675,Program_data!$E1174,EIAwtransport!$I$2:$I$675,Program_data!T$2)</f>
        <v>474354</v>
      </c>
      <c r="U1174" s="24">
        <f t="shared" si="362"/>
        <v>0</v>
      </c>
      <c r="V1174" s="24">
        <f t="shared" si="371"/>
        <v>0</v>
      </c>
      <c r="W1174" s="24">
        <f t="shared" si="363"/>
        <v>4.1837300276096718E-5</v>
      </c>
      <c r="X1174" s="25">
        <f t="shared" si="364"/>
        <v>2.6446521330093977E-5</v>
      </c>
      <c r="Y1174" s="8" t="str">
        <f t="shared" si="369"/>
        <v/>
      </c>
      <c r="Z1174" s="27">
        <f t="shared" si="370"/>
        <v>1.725887831326397E-3</v>
      </c>
      <c r="AA1174" s="27"/>
      <c r="AB1174" s="40"/>
      <c r="AC1174" s="56">
        <f t="shared" si="372"/>
        <v>0</v>
      </c>
      <c r="AE1174" s="20">
        <f t="shared" si="359"/>
        <v>0</v>
      </c>
      <c r="AF1174" s="20">
        <f t="shared" si="360"/>
        <v>710247788.55000007</v>
      </c>
      <c r="AG1174">
        <f t="shared" si="366"/>
        <v>0</v>
      </c>
      <c r="AH1174">
        <f t="shared" si="367"/>
        <v>0</v>
      </c>
      <c r="AI1174">
        <f t="shared" si="368"/>
        <v>8473865856.8400002</v>
      </c>
    </row>
    <row r="1175" spans="2:35" x14ac:dyDescent="0.25">
      <c r="B1175" s="4">
        <v>2024</v>
      </c>
      <c r="C1175" s="4" t="s">
        <v>199</v>
      </c>
      <c r="D1175" s="4" t="s">
        <v>635</v>
      </c>
      <c r="E1175" s="4" t="str">
        <f t="shared" ref="E1175:E1210" si="373">D1175&amp;"-"&amp;C1175</f>
        <v>CMS-MI</v>
      </c>
      <c r="F1175" s="4" t="s">
        <v>146</v>
      </c>
      <c r="G1175" s="4"/>
      <c r="H1175" s="51" t="s">
        <v>636</v>
      </c>
      <c r="I1175" s="4"/>
      <c r="J1175" t="s">
        <v>61</v>
      </c>
      <c r="K1175" s="5">
        <v>3097336.3632000005</v>
      </c>
      <c r="L1175" s="5">
        <v>3366669.9600000004</v>
      </c>
      <c r="M1175" s="8">
        <v>3690440.0929362322</v>
      </c>
      <c r="N1175" s="46">
        <v>3600770.48</v>
      </c>
      <c r="O1175" s="8">
        <f>SUMIFS(EIAwtransport!$J$2:$J$675,EIAwtransport!$E$2:$E$675,Program_data!$E1175,EIAwtransport!$H$2:$H$675,Program_data!$F1175,EIAwtransport!$I$2:$I$675,Program_data!O$2)</f>
        <v>562584804</v>
      </c>
      <c r="P1175" s="5">
        <f>SUMIFS(EIAwtransport!$J$2:$J$675,EIAwtransport!$E$2:$E$675,Program_data!$E1175,EIAwtransport!$H$2:$H$675,Program_data!$F1175,EIAwtransport!$I$2:$I$675,Program_data!P$2)</f>
        <v>133176583</v>
      </c>
      <c r="Q1175" s="5">
        <f>SUMIFS(EIAwtransport!$J$2:$J$675,EIAwtransport!$E$2:$E$675,Program_data!$E1175,EIAwtransport!$H$2:$H$675,Program_data!$F1175,EIAwtransport!$I$2:$I$675,Program_data!Q$2)</f>
        <v>134592</v>
      </c>
      <c r="R1175" s="8">
        <f>SUMIFS(EIAwtransport!$J$2:$J$675,EIAwtransport!$E$2:$E$675,Program_data!$E1175,EIAwtransport!$I$2:$I$675,Program_data!R$2)</f>
        <v>1976161463</v>
      </c>
      <c r="S1175" s="5">
        <f>SUMIFS(EIAwtransport!$J$2:$J$675,EIAwtransport!$E$2:$E$675,Program_data!$E1175,EIAwtransport!$I$2:$I$675,Program_data!S$2)</f>
        <v>279743809</v>
      </c>
      <c r="T1175" s="5">
        <f>SUMIFS(EIAwtransport!$J$2:$J$675,EIAwtransport!$E$2:$E$675,Program_data!$E1175,EIAwtransport!$I$2:$I$675,Program_data!T$2)</f>
        <v>1805555</v>
      </c>
      <c r="U1175" s="24">
        <f t="shared" si="362"/>
        <v>1.0687303232815117E-3</v>
      </c>
      <c r="V1175" s="24">
        <f t="shared" si="371"/>
        <v>1.1616633948712085E-3</v>
      </c>
      <c r="W1175" s="24">
        <f t="shared" si="363"/>
        <v>1.8674790304501715E-3</v>
      </c>
      <c r="X1175" s="25">
        <f t="shared" si="364"/>
        <v>1.2733796950293046E-3</v>
      </c>
      <c r="Y1175" s="8">
        <f t="shared" si="369"/>
        <v>0.2777550682599314</v>
      </c>
      <c r="Z1175" s="27">
        <f t="shared" si="370"/>
        <v>0.14398977849794584</v>
      </c>
      <c r="AA1175" s="27"/>
      <c r="AB1175" s="40"/>
      <c r="AC1175" s="56"/>
      <c r="AE1175" s="20">
        <f t="shared" si="359"/>
        <v>4861040.148</v>
      </c>
      <c r="AF1175" s="20">
        <f t="shared" si="360"/>
        <v>2667817975.0500002</v>
      </c>
      <c r="AG1175">
        <f t="shared" si="366"/>
        <v>326707039.59033608</v>
      </c>
      <c r="AH1175">
        <f t="shared" si="367"/>
        <v>355116347.38080007</v>
      </c>
      <c r="AI1175">
        <f t="shared" si="368"/>
        <v>29507376973.32</v>
      </c>
    </row>
    <row r="1176" spans="2:35" x14ac:dyDescent="0.25">
      <c r="B1176" s="4">
        <v>2024</v>
      </c>
      <c r="C1176" s="4" t="s">
        <v>199</v>
      </c>
      <c r="D1176" s="4" t="s">
        <v>635</v>
      </c>
      <c r="E1176" s="4" t="str">
        <f t="shared" si="373"/>
        <v>CMS-MI</v>
      </c>
      <c r="F1176" s="4" t="s">
        <v>146</v>
      </c>
      <c r="G1176" s="4"/>
      <c r="H1176" s="51" t="s">
        <v>637</v>
      </c>
      <c r="J1176" s="4" t="s">
        <v>21</v>
      </c>
      <c r="K1176" s="5">
        <v>1086344.079724842</v>
      </c>
      <c r="L1176" s="5">
        <v>1180808.7823096106</v>
      </c>
      <c r="M1176" s="8">
        <v>4156063.0198920169</v>
      </c>
      <c r="N1176" s="46">
        <v>0</v>
      </c>
      <c r="O1176" s="8">
        <f>SUMIFS(EIAwtransport!$J$2:$J$675,EIAwtransport!$E$2:$E$675,Program_data!$E1176,EIAwtransport!$H$2:$H$675,Program_data!$F1176,EIAwtransport!$I$2:$I$675,Program_data!O$2)</f>
        <v>562584804</v>
      </c>
      <c r="P1176" s="5">
        <f>SUMIFS(EIAwtransport!$J$2:$J$675,EIAwtransport!$E$2:$E$675,Program_data!$E1176,EIAwtransport!$H$2:$H$675,Program_data!$F1176,EIAwtransport!$I$2:$I$675,Program_data!P$2)</f>
        <v>133176583</v>
      </c>
      <c r="Q1176" s="5">
        <f>SUMIFS(EIAwtransport!$J$2:$J$675,EIAwtransport!$E$2:$E$675,Program_data!$E1176,EIAwtransport!$H$2:$H$675,Program_data!$F1176,EIAwtransport!$I$2:$I$675,Program_data!Q$2)</f>
        <v>134592</v>
      </c>
      <c r="R1176" s="8">
        <f>SUMIFS(EIAwtransport!$J$2:$J$675,EIAwtransport!$E$2:$E$675,Program_data!$E1176,EIAwtransport!$I$2:$I$675,Program_data!R$2)</f>
        <v>1976161463</v>
      </c>
      <c r="S1176" s="5">
        <f>SUMIFS(EIAwtransport!$J$2:$J$675,EIAwtransport!$E$2:$E$675,Program_data!$E1176,EIAwtransport!$I$2:$I$675,Program_data!S$2)</f>
        <v>279743809</v>
      </c>
      <c r="T1176" s="5">
        <f>SUMIFS(EIAwtransport!$J$2:$J$675,EIAwtransport!$E$2:$E$675,Program_data!$E1176,EIAwtransport!$I$2:$I$675,Program_data!T$2)</f>
        <v>1805555</v>
      </c>
      <c r="U1176" s="24">
        <f t="shared" si="362"/>
        <v>3.7484106450737405E-4</v>
      </c>
      <c r="V1176" s="24">
        <f t="shared" si="371"/>
        <v>4.0743593968192829E-4</v>
      </c>
      <c r="W1176" s="24">
        <f t="shared" si="363"/>
        <v>2.1030989105428259E-3</v>
      </c>
      <c r="X1176" s="25">
        <f t="shared" si="364"/>
        <v>1.4340420458043492E-3</v>
      </c>
      <c r="Y1176" s="8">
        <f t="shared" si="369"/>
        <v>0.31279943278099176</v>
      </c>
      <c r="Z1176" s="27">
        <f t="shared" si="370"/>
        <v>0.16215697276950644</v>
      </c>
      <c r="AA1176" s="27"/>
      <c r="AB1176" s="40"/>
      <c r="AC1176" s="56"/>
      <c r="AE1176" s="20">
        <f t="shared" si="359"/>
        <v>0</v>
      </c>
      <c r="AF1176" s="20">
        <f t="shared" si="360"/>
        <v>2667817975.0500002</v>
      </c>
      <c r="AG1176">
        <f t="shared" si="366"/>
        <v>114587573.52937634</v>
      </c>
      <c r="AH1176">
        <f t="shared" si="367"/>
        <v>124551710.35801773</v>
      </c>
      <c r="AI1176">
        <f t="shared" si="368"/>
        <v>29507376973.32</v>
      </c>
    </row>
    <row r="1177" spans="2:35" x14ac:dyDescent="0.25">
      <c r="B1177" s="4">
        <v>2024</v>
      </c>
      <c r="C1177" s="4" t="s">
        <v>199</v>
      </c>
      <c r="D1177" s="4" t="s">
        <v>635</v>
      </c>
      <c r="E1177" s="4" t="str">
        <f t="shared" si="373"/>
        <v>CMS-MI</v>
      </c>
      <c r="F1177" s="4" t="s">
        <v>146</v>
      </c>
      <c r="G1177" s="4"/>
      <c r="H1177" s="51" t="s">
        <v>637</v>
      </c>
      <c r="I1177" s="4" t="s">
        <v>162</v>
      </c>
      <c r="J1177" t="s">
        <v>42</v>
      </c>
      <c r="K1177" s="5">
        <v>998481.78424360696</v>
      </c>
      <c r="L1177" s="5">
        <v>1085306.2872213118</v>
      </c>
      <c r="M1177" s="8">
        <v>523936.980107982</v>
      </c>
      <c r="N1177" s="46">
        <v>0</v>
      </c>
      <c r="O1177" s="8">
        <f>SUMIFS(EIAwtransport!$J$2:$J$675,EIAwtransport!$E$2:$E$675,Program_data!$E1177,EIAwtransport!$H$2:$H$675,Program_data!$F1177,EIAwtransport!$I$2:$I$675,Program_data!O$2)</f>
        <v>562584804</v>
      </c>
      <c r="P1177" s="5">
        <f>SUMIFS(EIAwtransport!$J$2:$J$675,EIAwtransport!$E$2:$E$675,Program_data!$E1177,EIAwtransport!$H$2:$H$675,Program_data!$F1177,EIAwtransport!$I$2:$I$675,Program_data!P$2)</f>
        <v>133176583</v>
      </c>
      <c r="Q1177" s="5">
        <f>SUMIFS(EIAwtransport!$J$2:$J$675,EIAwtransport!$E$2:$E$675,Program_data!$E1177,EIAwtransport!$H$2:$H$675,Program_data!$F1177,EIAwtransport!$I$2:$I$675,Program_data!Q$2)</f>
        <v>134592</v>
      </c>
      <c r="R1177" s="8">
        <f>SUMIFS(EIAwtransport!$J$2:$J$675,EIAwtransport!$E$2:$E$675,Program_data!$E1177,EIAwtransport!$I$2:$I$675,Program_data!R$2)</f>
        <v>1976161463</v>
      </c>
      <c r="S1177" s="5">
        <f>SUMIFS(EIAwtransport!$J$2:$J$675,EIAwtransport!$E$2:$E$675,Program_data!$E1177,EIAwtransport!$I$2:$I$675,Program_data!S$2)</f>
        <v>279743809</v>
      </c>
      <c r="T1177" s="5">
        <f>SUMIFS(EIAwtransport!$J$2:$J$675,EIAwtransport!$E$2:$E$675,Program_data!$E1177,EIAwtransport!$I$2:$I$675,Program_data!T$2)</f>
        <v>1805555</v>
      </c>
      <c r="U1177" s="24">
        <f t="shared" si="362"/>
        <v>3.4452433799049602E-4</v>
      </c>
      <c r="V1177" s="24">
        <f t="shared" si="371"/>
        <v>3.7448297607662608E-4</v>
      </c>
      <c r="W1177" s="24">
        <f t="shared" si="363"/>
        <v>2.6512862937454315E-4</v>
      </c>
      <c r="X1177" s="25">
        <f t="shared" si="364"/>
        <v>1.8078350959320263E-4</v>
      </c>
      <c r="Y1177" s="8">
        <f t="shared" si="369"/>
        <v>3.9433278419108438E-2</v>
      </c>
      <c r="Z1177" s="27">
        <f t="shared" si="370"/>
        <v>2.0442431746021721E-2</v>
      </c>
      <c r="AA1177" s="27"/>
      <c r="AB1177" s="40"/>
      <c r="AC1177" s="56"/>
      <c r="AE1177" s="20">
        <f t="shared" si="359"/>
        <v>0</v>
      </c>
      <c r="AF1177" s="20">
        <f t="shared" si="360"/>
        <v>2667817975.0500002</v>
      </c>
      <c r="AG1177">
        <f t="shared" si="366"/>
        <v>105319858.60201566</v>
      </c>
      <c r="AH1177">
        <f t="shared" si="367"/>
        <v>114478107.17610398</v>
      </c>
      <c r="AI1177">
        <f t="shared" si="368"/>
        <v>29507376973.32</v>
      </c>
    </row>
    <row r="1178" spans="2:35" x14ac:dyDescent="0.25">
      <c r="B1178" s="4">
        <v>2024</v>
      </c>
      <c r="C1178" s="4" t="s">
        <v>199</v>
      </c>
      <c r="D1178" s="4" t="s">
        <v>635</v>
      </c>
      <c r="E1178" s="4" t="str">
        <f t="shared" si="373"/>
        <v>CMS-MI</v>
      </c>
      <c r="F1178" s="4" t="s">
        <v>146</v>
      </c>
      <c r="G1178" s="4"/>
      <c r="H1178" s="51" t="s">
        <v>638</v>
      </c>
      <c r="I1178" s="4"/>
      <c r="J1178" s="4" t="s">
        <v>21</v>
      </c>
      <c r="K1178" s="5">
        <v>5087017.389789205</v>
      </c>
      <c r="L1178" s="5">
        <v>5529366.7280317442</v>
      </c>
      <c r="M1178" s="8">
        <v>11115995.224211963</v>
      </c>
      <c r="N1178" s="46">
        <v>7164590.8276073709</v>
      </c>
      <c r="O1178" s="8">
        <f>SUMIFS(EIAwtransport!$J$2:$J$675,EIAwtransport!$E$2:$E$675,Program_data!$E1178,EIAwtransport!$H$2:$H$675,Program_data!$F1178,EIAwtransport!$I$2:$I$675,Program_data!O$2)</f>
        <v>562584804</v>
      </c>
      <c r="P1178" s="5">
        <f>SUMIFS(EIAwtransport!$J$2:$J$675,EIAwtransport!$E$2:$E$675,Program_data!$E1178,EIAwtransport!$H$2:$H$675,Program_data!$F1178,EIAwtransport!$I$2:$I$675,Program_data!P$2)</f>
        <v>133176583</v>
      </c>
      <c r="Q1178" s="5">
        <f>SUMIFS(EIAwtransport!$J$2:$J$675,EIAwtransport!$E$2:$E$675,Program_data!$E1178,EIAwtransport!$H$2:$H$675,Program_data!$F1178,EIAwtransport!$I$2:$I$675,Program_data!Q$2)</f>
        <v>134592</v>
      </c>
      <c r="R1178" s="8">
        <f>SUMIFS(EIAwtransport!$J$2:$J$675,EIAwtransport!$E$2:$E$675,Program_data!$E1178,EIAwtransport!$I$2:$I$675,Program_data!R$2)</f>
        <v>1976161463</v>
      </c>
      <c r="S1178" s="5">
        <f>SUMIFS(EIAwtransport!$J$2:$J$675,EIAwtransport!$E$2:$E$675,Program_data!$E1178,EIAwtransport!$I$2:$I$675,Program_data!S$2)</f>
        <v>279743809</v>
      </c>
      <c r="T1178" s="5">
        <f>SUMIFS(EIAwtransport!$J$2:$J$675,EIAwtransport!$E$2:$E$675,Program_data!$E1178,EIAwtransport!$I$2:$I$675,Program_data!T$2)</f>
        <v>1805555</v>
      </c>
      <c r="U1178" s="24">
        <f t="shared" si="362"/>
        <v>1.7552661713212305E-3</v>
      </c>
      <c r="V1178" s="24">
        <f t="shared" si="371"/>
        <v>1.9078980123056852E-3</v>
      </c>
      <c r="W1178" s="24">
        <f t="shared" si="363"/>
        <v>5.6250440221300695E-3</v>
      </c>
      <c r="X1178" s="25">
        <f t="shared" si="364"/>
        <v>3.8355540943877395E-3</v>
      </c>
      <c r="Y1178" s="8">
        <f t="shared" si="369"/>
        <v>0.8366275930580227</v>
      </c>
      <c r="Z1178" s="27">
        <f t="shared" si="370"/>
        <v>0.43371241635439312</v>
      </c>
      <c r="AA1178" s="27"/>
      <c r="AB1178" s="40"/>
      <c r="AC1178" s="56"/>
      <c r="AE1178" s="20">
        <f t="shared" si="359"/>
        <v>9672197.6172699519</v>
      </c>
      <c r="AF1178" s="20">
        <f t="shared" si="360"/>
        <v>2667817975.0500002</v>
      </c>
      <c r="AG1178">
        <f t="shared" si="366"/>
        <v>536578594.27496535</v>
      </c>
      <c r="AH1178">
        <f t="shared" si="367"/>
        <v>583237602.47278845</v>
      </c>
      <c r="AI1178">
        <f t="shared" si="368"/>
        <v>29507376973.32</v>
      </c>
    </row>
    <row r="1179" spans="2:35" x14ac:dyDescent="0.25">
      <c r="B1179" s="4">
        <v>2024</v>
      </c>
      <c r="C1179" s="4" t="s">
        <v>199</v>
      </c>
      <c r="D1179" s="4" t="s">
        <v>635</v>
      </c>
      <c r="E1179" s="4" t="str">
        <f t="shared" si="373"/>
        <v>CMS-MI</v>
      </c>
      <c r="F1179" s="4" t="s">
        <v>146</v>
      </c>
      <c r="G1179" s="4"/>
      <c r="H1179" s="51" t="s">
        <v>638</v>
      </c>
      <c r="I1179" s="4"/>
      <c r="J1179" t="s">
        <v>55</v>
      </c>
      <c r="K1179" s="5">
        <v>2520835.9272585255</v>
      </c>
      <c r="L1179" s="5">
        <v>2740039.0513679627</v>
      </c>
      <c r="M1179" s="8">
        <v>2936076.1023504045</v>
      </c>
      <c r="N1179" s="46">
        <v>1892388.7144390331</v>
      </c>
      <c r="O1179" s="8">
        <f>SUMIFS(EIAwtransport!$J$2:$J$675,EIAwtransport!$E$2:$E$675,Program_data!$E1179,EIAwtransport!$H$2:$H$675,Program_data!$F1179,EIAwtransport!$I$2:$I$675,Program_data!O$2)</f>
        <v>562584804</v>
      </c>
      <c r="P1179" s="5">
        <f>SUMIFS(EIAwtransport!$J$2:$J$675,EIAwtransport!$E$2:$E$675,Program_data!$E1179,EIAwtransport!$H$2:$H$675,Program_data!$F1179,EIAwtransport!$I$2:$I$675,Program_data!P$2)</f>
        <v>133176583</v>
      </c>
      <c r="Q1179" s="5">
        <f>SUMIFS(EIAwtransport!$J$2:$J$675,EIAwtransport!$E$2:$E$675,Program_data!$E1179,EIAwtransport!$H$2:$H$675,Program_data!$F1179,EIAwtransport!$I$2:$I$675,Program_data!Q$2)</f>
        <v>134592</v>
      </c>
      <c r="R1179" s="8">
        <f>SUMIFS(EIAwtransport!$J$2:$J$675,EIAwtransport!$E$2:$E$675,Program_data!$E1179,EIAwtransport!$I$2:$I$675,Program_data!R$2)</f>
        <v>1976161463</v>
      </c>
      <c r="S1179" s="5">
        <f>SUMIFS(EIAwtransport!$J$2:$J$675,EIAwtransport!$E$2:$E$675,Program_data!$E1179,EIAwtransport!$I$2:$I$675,Program_data!S$2)</f>
        <v>279743809</v>
      </c>
      <c r="T1179" s="5">
        <f>SUMIFS(EIAwtransport!$J$2:$J$675,EIAwtransport!$E$2:$E$675,Program_data!$E1179,EIAwtransport!$I$2:$I$675,Program_data!T$2)</f>
        <v>1805555</v>
      </c>
      <c r="U1179" s="24">
        <f t="shared" si="362"/>
        <v>8.6980988809857952E-4</v>
      </c>
      <c r="V1179" s="24">
        <f t="shared" si="371"/>
        <v>9.4544553054193422E-4</v>
      </c>
      <c r="W1179" s="24">
        <f t="shared" si="363"/>
        <v>1.4857470694186919E-3</v>
      </c>
      <c r="X1179" s="25">
        <f t="shared" si="364"/>
        <v>1.0130877612537334E-3</v>
      </c>
      <c r="Y1179" s="8">
        <f t="shared" si="369"/>
        <v>0.22097906961980898</v>
      </c>
      <c r="Z1179" s="27">
        <f t="shared" si="370"/>
        <v>0.11455678373962754</v>
      </c>
      <c r="AA1179" s="27"/>
      <c r="AB1179" s="40"/>
      <c r="AC1179" s="56"/>
      <c r="AE1179" s="20">
        <f t="shared" si="359"/>
        <v>2554724.7644926948</v>
      </c>
      <c r="AF1179" s="20">
        <f t="shared" si="360"/>
        <v>2667817975.0500002</v>
      </c>
      <c r="AG1179">
        <f t="shared" si="366"/>
        <v>265897773.60722929</v>
      </c>
      <c r="AH1179">
        <f t="shared" si="367"/>
        <v>289019319.13829273</v>
      </c>
      <c r="AI1179">
        <f t="shared" si="368"/>
        <v>29507376973.32</v>
      </c>
    </row>
    <row r="1180" spans="2:35" x14ac:dyDescent="0.25">
      <c r="B1180" s="4">
        <v>2024</v>
      </c>
      <c r="C1180" s="4" t="s">
        <v>199</v>
      </c>
      <c r="D1180" s="4" t="s">
        <v>635</v>
      </c>
      <c r="E1180" s="4" t="str">
        <f t="shared" si="373"/>
        <v>CMS-MI</v>
      </c>
      <c r="F1180" s="4" t="s">
        <v>146</v>
      </c>
      <c r="G1180" s="4"/>
      <c r="H1180" s="51" t="s">
        <v>638</v>
      </c>
      <c r="I1180" s="4"/>
      <c r="J1180" t="s">
        <v>48</v>
      </c>
      <c r="K1180" s="5">
        <v>260095.77735137104</v>
      </c>
      <c r="L1180" s="5">
        <v>282712.80146888155</v>
      </c>
      <c r="M1180" s="8">
        <v>369786.53685957694</v>
      </c>
      <c r="N1180" s="46">
        <v>238338.46423271019</v>
      </c>
      <c r="O1180" s="8">
        <f>SUMIFS(EIAwtransport!$J$2:$J$675,EIAwtransport!$E$2:$E$675,Program_data!$E1180,EIAwtransport!$H$2:$H$675,Program_data!$F1180,EIAwtransport!$I$2:$I$675,Program_data!O$2)</f>
        <v>562584804</v>
      </c>
      <c r="P1180" s="5">
        <f>SUMIFS(EIAwtransport!$J$2:$J$675,EIAwtransport!$E$2:$E$675,Program_data!$E1180,EIAwtransport!$H$2:$H$675,Program_data!$F1180,EIAwtransport!$I$2:$I$675,Program_data!P$2)</f>
        <v>133176583</v>
      </c>
      <c r="Q1180" s="5">
        <f>SUMIFS(EIAwtransport!$J$2:$J$675,EIAwtransport!$E$2:$E$675,Program_data!$E1180,EIAwtransport!$H$2:$H$675,Program_data!$F1180,EIAwtransport!$I$2:$I$675,Program_data!Q$2)</f>
        <v>134592</v>
      </c>
      <c r="R1180" s="8">
        <f>SUMIFS(EIAwtransport!$J$2:$J$675,EIAwtransport!$E$2:$E$675,Program_data!$E1180,EIAwtransport!$I$2:$I$675,Program_data!R$2)</f>
        <v>1976161463</v>
      </c>
      <c r="S1180" s="5">
        <f>SUMIFS(EIAwtransport!$J$2:$J$675,EIAwtransport!$E$2:$E$675,Program_data!$E1180,EIAwtransport!$I$2:$I$675,Program_data!S$2)</f>
        <v>279743809</v>
      </c>
      <c r="T1180" s="5">
        <f>SUMIFS(EIAwtransport!$J$2:$J$675,EIAwtransport!$E$2:$E$675,Program_data!$E1180,EIAwtransport!$I$2:$I$675,Program_data!T$2)</f>
        <v>1805555</v>
      </c>
      <c r="U1180" s="24">
        <f t="shared" si="362"/>
        <v>8.9745578657689272E-5</v>
      </c>
      <c r="V1180" s="24">
        <f t="shared" si="371"/>
        <v>9.7549542019227472E-5</v>
      </c>
      <c r="W1180" s="24">
        <f t="shared" si="363"/>
        <v>1.8712364540203409E-4</v>
      </c>
      <c r="X1180" s="25">
        <f t="shared" si="364"/>
        <v>1.2759417729974438E-4</v>
      </c>
      <c r="Y1180" s="8">
        <f t="shared" si="369"/>
        <v>2.7831391975073633E-2</v>
      </c>
      <c r="Z1180" s="27">
        <f t="shared" si="370"/>
        <v>1.4427949023166275E-2</v>
      </c>
      <c r="AA1180" s="27"/>
      <c r="AB1180" s="40"/>
      <c r="AC1180" s="56"/>
      <c r="AE1180" s="20">
        <f t="shared" si="359"/>
        <v>321756.92671415879</v>
      </c>
      <c r="AF1180" s="20">
        <f t="shared" si="360"/>
        <v>2667817975.0500002</v>
      </c>
      <c r="AG1180">
        <f t="shared" si="366"/>
        <v>27434902.595022619</v>
      </c>
      <c r="AH1180">
        <f t="shared" si="367"/>
        <v>29820546.298937626</v>
      </c>
      <c r="AI1180">
        <f t="shared" si="368"/>
        <v>29507376973.32</v>
      </c>
    </row>
    <row r="1181" spans="2:35" x14ac:dyDescent="0.25">
      <c r="B1181" s="4">
        <v>2024</v>
      </c>
      <c r="C1181" s="4" t="s">
        <v>199</v>
      </c>
      <c r="D1181" s="4" t="s">
        <v>635</v>
      </c>
      <c r="E1181" s="4" t="str">
        <f t="shared" si="373"/>
        <v>CMS-MI</v>
      </c>
      <c r="F1181" s="4" t="s">
        <v>146</v>
      </c>
      <c r="G1181" s="4"/>
      <c r="H1181" s="51" t="s">
        <v>638</v>
      </c>
      <c r="I1181" s="4"/>
      <c r="J1181" t="s">
        <v>42</v>
      </c>
      <c r="K1181" s="5">
        <v>6334.6090811059166</v>
      </c>
      <c r="L1181" s="5">
        <v>6885.4446533759965</v>
      </c>
      <c r="M1181" s="8">
        <v>11522.9482560829</v>
      </c>
      <c r="N1181" s="46">
        <v>7426.8842076062119</v>
      </c>
      <c r="O1181" s="8">
        <f>SUMIFS(EIAwtransport!$J$2:$J$675,EIAwtransport!$E$2:$E$675,Program_data!$E1181,EIAwtransport!$H$2:$H$675,Program_data!$F1181,EIAwtransport!$I$2:$I$675,Program_data!O$2)</f>
        <v>562584804</v>
      </c>
      <c r="P1181" s="5">
        <f>SUMIFS(EIAwtransport!$J$2:$J$675,EIAwtransport!$E$2:$E$675,Program_data!$E1181,EIAwtransport!$H$2:$H$675,Program_data!$F1181,EIAwtransport!$I$2:$I$675,Program_data!P$2)</f>
        <v>133176583</v>
      </c>
      <c r="Q1181" s="5">
        <f>SUMIFS(EIAwtransport!$J$2:$J$675,EIAwtransport!$E$2:$E$675,Program_data!$E1181,EIAwtransport!$H$2:$H$675,Program_data!$F1181,EIAwtransport!$I$2:$I$675,Program_data!Q$2)</f>
        <v>134592</v>
      </c>
      <c r="R1181" s="8">
        <f>SUMIFS(EIAwtransport!$J$2:$J$675,EIAwtransport!$E$2:$E$675,Program_data!$E1181,EIAwtransport!$I$2:$I$675,Program_data!R$2)</f>
        <v>1976161463</v>
      </c>
      <c r="S1181" s="5">
        <f>SUMIFS(EIAwtransport!$J$2:$J$675,EIAwtransport!$E$2:$E$675,Program_data!$E1181,EIAwtransport!$I$2:$I$675,Program_data!S$2)</f>
        <v>279743809</v>
      </c>
      <c r="T1181" s="5">
        <f>SUMIFS(EIAwtransport!$J$2:$J$675,EIAwtransport!$E$2:$E$675,Program_data!$E1181,EIAwtransport!$I$2:$I$675,Program_data!T$2)</f>
        <v>1805555</v>
      </c>
      <c r="U1181" s="24">
        <f t="shared" si="362"/>
        <v>2.1857454332528292E-6</v>
      </c>
      <c r="V1181" s="24">
        <f t="shared" si="371"/>
        <v>2.3758102535356835E-6</v>
      </c>
      <c r="W1181" s="24">
        <f t="shared" si="363"/>
        <v>5.8309750857047762E-6</v>
      </c>
      <c r="X1181" s="25">
        <f t="shared" si="364"/>
        <v>3.9759725037278474E-6</v>
      </c>
      <c r="Y1181" s="8">
        <f t="shared" si="369"/>
        <v>8.6725626180738193E-4</v>
      </c>
      <c r="Z1181" s="27">
        <f t="shared" si="370"/>
        <v>4.4959048927862855E-4</v>
      </c>
      <c r="AA1181" s="27"/>
      <c r="AB1181" s="40"/>
      <c r="AC1181" s="56"/>
      <c r="AE1181" s="20">
        <f t="shared" si="359"/>
        <v>10026.293680268387</v>
      </c>
      <c r="AF1181" s="20">
        <f t="shared" si="360"/>
        <v>2667817975.0500002</v>
      </c>
      <c r="AG1181">
        <f t="shared" si="366"/>
        <v>668174.56587505213</v>
      </c>
      <c r="AH1181">
        <f t="shared" si="367"/>
        <v>726276.70203810011</v>
      </c>
      <c r="AI1181">
        <f t="shared" si="368"/>
        <v>29507376973.32</v>
      </c>
    </row>
    <row r="1182" spans="2:35" x14ac:dyDescent="0.25">
      <c r="B1182" s="4">
        <v>2024</v>
      </c>
      <c r="C1182" s="4" t="s">
        <v>199</v>
      </c>
      <c r="D1182" s="4" t="s">
        <v>635</v>
      </c>
      <c r="E1182" s="4" t="str">
        <f t="shared" si="373"/>
        <v>CMS-MI</v>
      </c>
      <c r="F1182" s="4" t="s">
        <v>146</v>
      </c>
      <c r="G1182" s="4"/>
      <c r="H1182" s="51" t="s">
        <v>638</v>
      </c>
      <c r="I1182" s="4"/>
      <c r="J1182" t="s">
        <v>27</v>
      </c>
      <c r="K1182" s="5">
        <v>169933.13247228329</v>
      </c>
      <c r="L1182" s="5">
        <v>184709.92660030792</v>
      </c>
      <c r="M1182" s="8">
        <v>224847.28476129082</v>
      </c>
      <c r="N1182" s="46">
        <v>144920.78860418635</v>
      </c>
      <c r="O1182" s="8">
        <f>SUMIFS(EIAwtransport!$J$2:$J$675,EIAwtransport!$E$2:$E$675,Program_data!$E1182,EIAwtransport!$H$2:$H$675,Program_data!$F1182,EIAwtransport!$I$2:$I$675,Program_data!O$2)</f>
        <v>562584804</v>
      </c>
      <c r="P1182" s="5">
        <f>SUMIFS(EIAwtransport!$J$2:$J$675,EIAwtransport!$E$2:$E$675,Program_data!$E1182,EIAwtransport!$H$2:$H$675,Program_data!$F1182,EIAwtransport!$I$2:$I$675,Program_data!P$2)</f>
        <v>133176583</v>
      </c>
      <c r="Q1182" s="5">
        <f>SUMIFS(EIAwtransport!$J$2:$J$675,EIAwtransport!$E$2:$E$675,Program_data!$E1182,EIAwtransport!$H$2:$H$675,Program_data!$F1182,EIAwtransport!$I$2:$I$675,Program_data!Q$2)</f>
        <v>134592</v>
      </c>
      <c r="R1182" s="8">
        <f>SUMIFS(EIAwtransport!$J$2:$J$675,EIAwtransport!$E$2:$E$675,Program_data!$E1182,EIAwtransport!$I$2:$I$675,Program_data!R$2)</f>
        <v>1976161463</v>
      </c>
      <c r="S1182" s="5">
        <f>SUMIFS(EIAwtransport!$J$2:$J$675,EIAwtransport!$E$2:$E$675,Program_data!$E1182,EIAwtransport!$I$2:$I$675,Program_data!S$2)</f>
        <v>279743809</v>
      </c>
      <c r="T1182" s="5">
        <f>SUMIFS(EIAwtransport!$J$2:$J$675,EIAwtransport!$E$2:$E$675,Program_data!$E1182,EIAwtransport!$I$2:$I$675,Program_data!T$2)</f>
        <v>1805555</v>
      </c>
      <c r="U1182" s="24">
        <f t="shared" si="362"/>
        <v>5.8635120731837752E-5</v>
      </c>
      <c r="V1182" s="24">
        <f t="shared" si="371"/>
        <v>6.3733826882432339E-5</v>
      </c>
      <c r="W1182" s="24">
        <f t="shared" si="363"/>
        <v>1.1377981454002821E-4</v>
      </c>
      <c r="X1182" s="25">
        <f t="shared" si="364"/>
        <v>7.7583149891940811E-5</v>
      </c>
      <c r="Y1182" s="8">
        <f t="shared" si="369"/>
        <v>1.692277109347232E-2</v>
      </c>
      <c r="Z1182" s="27">
        <f t="shared" si="370"/>
        <v>8.77285903938998E-3</v>
      </c>
      <c r="AA1182" s="27"/>
      <c r="AB1182" s="40"/>
      <c r="AC1182" s="56"/>
      <c r="AE1182" s="20">
        <f t="shared" si="359"/>
        <v>195643.06461565159</v>
      </c>
      <c r="AF1182" s="20">
        <f t="shared" si="360"/>
        <v>2667817975.0500002</v>
      </c>
      <c r="AG1182">
        <f t="shared" si="366"/>
        <v>17924546.813176442</v>
      </c>
      <c r="AH1182">
        <f t="shared" si="367"/>
        <v>19483203.057800479</v>
      </c>
      <c r="AI1182">
        <f t="shared" si="368"/>
        <v>29507376973.32</v>
      </c>
    </row>
    <row r="1183" spans="2:35" x14ac:dyDescent="0.25">
      <c r="B1183" s="4">
        <v>2024</v>
      </c>
      <c r="C1183" s="4" t="s">
        <v>199</v>
      </c>
      <c r="D1183" s="4" t="s">
        <v>635</v>
      </c>
      <c r="E1183" s="4" t="str">
        <f t="shared" si="373"/>
        <v>CMS-MI</v>
      </c>
      <c r="F1183" s="4" t="s">
        <v>146</v>
      </c>
      <c r="G1183" s="4"/>
      <c r="H1183" s="51" t="s">
        <v>639</v>
      </c>
      <c r="I1183" s="4"/>
      <c r="J1183" s="4" t="s">
        <v>21</v>
      </c>
      <c r="K1183" s="5">
        <v>27790.35560217949</v>
      </c>
      <c r="L1183" s="5">
        <v>30206.908263238576</v>
      </c>
      <c r="M1183" s="8">
        <v>83836.096680071496</v>
      </c>
      <c r="N1183" s="46">
        <v>22609.47500983905</v>
      </c>
      <c r="O1183" s="8">
        <f>SUMIFS(EIAwtransport!$J$2:$J$675,EIAwtransport!$E$2:$E$675,Program_data!$E1183,EIAwtransport!$H$2:$H$675,Program_data!$F1183,EIAwtransport!$I$2:$I$675,Program_data!O$2)</f>
        <v>562584804</v>
      </c>
      <c r="P1183" s="5">
        <f>SUMIFS(EIAwtransport!$J$2:$J$675,EIAwtransport!$E$2:$E$675,Program_data!$E1183,EIAwtransport!$H$2:$H$675,Program_data!$F1183,EIAwtransport!$I$2:$I$675,Program_data!P$2)</f>
        <v>133176583</v>
      </c>
      <c r="Q1183" s="5">
        <f>SUMIFS(EIAwtransport!$J$2:$J$675,EIAwtransport!$E$2:$E$675,Program_data!$E1183,EIAwtransport!$H$2:$H$675,Program_data!$F1183,EIAwtransport!$I$2:$I$675,Program_data!Q$2)</f>
        <v>134592</v>
      </c>
      <c r="R1183" s="8">
        <f>SUMIFS(EIAwtransport!$J$2:$J$675,EIAwtransport!$E$2:$E$675,Program_data!$E1183,EIAwtransport!$I$2:$I$675,Program_data!R$2)</f>
        <v>1976161463</v>
      </c>
      <c r="S1183" s="5">
        <f>SUMIFS(EIAwtransport!$J$2:$J$675,EIAwtransport!$E$2:$E$675,Program_data!$E1183,EIAwtransport!$I$2:$I$675,Program_data!S$2)</f>
        <v>279743809</v>
      </c>
      <c r="T1183" s="5">
        <f>SUMIFS(EIAwtransport!$J$2:$J$675,EIAwtransport!$E$2:$E$675,Program_data!$E1183,EIAwtransport!$I$2:$I$675,Program_data!T$2)</f>
        <v>1805555</v>
      </c>
      <c r="U1183" s="24">
        <f t="shared" si="362"/>
        <v>9.5890120555523445E-6</v>
      </c>
      <c r="V1183" s="24">
        <f t="shared" si="371"/>
        <v>1.0422839190817766E-5</v>
      </c>
      <c r="W1183" s="24">
        <f t="shared" si="363"/>
        <v>4.2423707905324885E-5</v>
      </c>
      <c r="X1183" s="25">
        <f t="shared" si="364"/>
        <v>2.8927493885418659E-5</v>
      </c>
      <c r="Y1183" s="8">
        <f t="shared" si="369"/>
        <v>6.3097896645417321E-3</v>
      </c>
      <c r="Z1183" s="27">
        <f t="shared" si="370"/>
        <v>3.271030198864809E-3</v>
      </c>
      <c r="AA1183" s="27"/>
      <c r="AB1183" s="40"/>
      <c r="AC1183" s="56"/>
      <c r="AE1183" s="20">
        <f t="shared" si="359"/>
        <v>30522.791263282721</v>
      </c>
      <c r="AF1183" s="20">
        <f t="shared" si="360"/>
        <v>2667817975.0500002</v>
      </c>
      <c r="AG1183">
        <f t="shared" si="366"/>
        <v>2931326.7089178925</v>
      </c>
      <c r="AH1183">
        <f t="shared" si="367"/>
        <v>3186224.6836064053</v>
      </c>
      <c r="AI1183">
        <f t="shared" si="368"/>
        <v>29507376973.32</v>
      </c>
    </row>
    <row r="1184" spans="2:35" x14ac:dyDescent="0.25">
      <c r="B1184" s="4">
        <v>2024</v>
      </c>
      <c r="C1184" s="4" t="s">
        <v>199</v>
      </c>
      <c r="D1184" s="4" t="s">
        <v>635</v>
      </c>
      <c r="E1184" s="4" t="str">
        <f t="shared" si="373"/>
        <v>CMS-MI</v>
      </c>
      <c r="F1184" s="4" t="s">
        <v>146</v>
      </c>
      <c r="G1184" s="4"/>
      <c r="H1184" s="51" t="s">
        <v>639</v>
      </c>
      <c r="I1184" s="4"/>
      <c r="J1184" t="s">
        <v>42</v>
      </c>
      <c r="K1184" s="5">
        <v>32501.157824592003</v>
      </c>
      <c r="L1184" s="5">
        <v>35327.345461513047</v>
      </c>
      <c r="M1184" s="8">
        <v>8548.9033199285441</v>
      </c>
      <c r="N1184" s="46">
        <v>2305.5249901609523</v>
      </c>
      <c r="O1184" s="8">
        <f>SUMIFS(EIAwtransport!$J$2:$J$675,EIAwtransport!$E$2:$E$675,Program_data!$E1184,EIAwtransport!$H$2:$H$675,Program_data!$F1184,EIAwtransport!$I$2:$I$675,Program_data!O$2)</f>
        <v>562584804</v>
      </c>
      <c r="P1184" s="5">
        <f>SUMIFS(EIAwtransport!$J$2:$J$675,EIAwtransport!$E$2:$E$675,Program_data!$E1184,EIAwtransport!$H$2:$H$675,Program_data!$F1184,EIAwtransport!$I$2:$I$675,Program_data!P$2)</f>
        <v>133176583</v>
      </c>
      <c r="Q1184" s="5">
        <f>SUMIFS(EIAwtransport!$J$2:$J$675,EIAwtransport!$E$2:$E$675,Program_data!$E1184,EIAwtransport!$H$2:$H$675,Program_data!$F1184,EIAwtransport!$I$2:$I$675,Program_data!Q$2)</f>
        <v>134592</v>
      </c>
      <c r="R1184" s="8">
        <f>SUMIFS(EIAwtransport!$J$2:$J$675,EIAwtransport!$E$2:$E$675,Program_data!$E1184,EIAwtransport!$I$2:$I$675,Program_data!R$2)</f>
        <v>1976161463</v>
      </c>
      <c r="S1184" s="5">
        <f>SUMIFS(EIAwtransport!$J$2:$J$675,EIAwtransport!$E$2:$E$675,Program_data!$E1184,EIAwtransport!$I$2:$I$675,Program_data!S$2)</f>
        <v>279743809</v>
      </c>
      <c r="T1184" s="5">
        <f>SUMIFS(EIAwtransport!$J$2:$J$675,EIAwtransport!$E$2:$E$675,Program_data!$E1184,EIAwtransport!$I$2:$I$675,Program_data!T$2)</f>
        <v>1805555</v>
      </c>
      <c r="U1184" s="24">
        <f t="shared" si="362"/>
        <v>1.1214465862213734E-5</v>
      </c>
      <c r="V1184" s="24">
        <f t="shared" si="371"/>
        <v>1.218963680675406E-5</v>
      </c>
      <c r="W1184" s="24">
        <f t="shared" si="363"/>
        <v>4.3260145893901299E-6</v>
      </c>
      <c r="X1184" s="25">
        <f t="shared" si="364"/>
        <v>2.9497836648811092E-6</v>
      </c>
      <c r="Y1184" s="8">
        <f t="shared" si="369"/>
        <v>6.4341952866794211E-4</v>
      </c>
      <c r="Z1184" s="27">
        <f t="shared" si="370"/>
        <v>3.3355227681191755E-4</v>
      </c>
      <c r="AA1184" s="27"/>
      <c r="AB1184" s="40"/>
      <c r="AC1184" s="56"/>
      <c r="AE1184" s="20">
        <f t="shared" si="359"/>
        <v>3112.4587367172858</v>
      </c>
      <c r="AF1184" s="20">
        <f t="shared" si="360"/>
        <v>2667817975.0500002</v>
      </c>
      <c r="AG1184">
        <f t="shared" si="366"/>
        <v>3428222.1273379647</v>
      </c>
      <c r="AH1184">
        <f t="shared" si="367"/>
        <v>3726328.3992803963</v>
      </c>
      <c r="AI1184">
        <f t="shared" si="368"/>
        <v>29507376973.32</v>
      </c>
    </row>
    <row r="1185" spans="2:35" x14ac:dyDescent="0.25">
      <c r="B1185" s="4">
        <v>2024</v>
      </c>
      <c r="C1185" s="4" t="s">
        <v>199</v>
      </c>
      <c r="D1185" s="4" t="s">
        <v>635</v>
      </c>
      <c r="E1185" s="4" t="str">
        <f t="shared" si="373"/>
        <v>CMS-MI</v>
      </c>
      <c r="F1185" s="4" t="s">
        <v>135</v>
      </c>
      <c r="G1185" s="4"/>
      <c r="H1185" s="51" t="s">
        <v>640</v>
      </c>
      <c r="I1185" s="4"/>
      <c r="J1185" s="4" t="s">
        <v>157</v>
      </c>
      <c r="K1185" s="5">
        <v>2307655.3789736936</v>
      </c>
      <c r="L1185" s="5">
        <v>2508321.0641018404</v>
      </c>
      <c r="M1185" s="8">
        <v>739230.59210108407</v>
      </c>
      <c r="N1185" s="46">
        <v>18286.524424300504</v>
      </c>
      <c r="O1185" s="8">
        <f>SUMIFS(EIAwtransport!$J$2:$J$675,EIAwtransport!$E$2:$E$675,Program_data!$E1185,EIAwtransport!$H$2:$H$675,Program_data!$F1185,EIAwtransport!$I$2:$I$675,Program_data!O$2)</f>
        <v>1413576659</v>
      </c>
      <c r="P1185" s="5">
        <f>SUMIFS(EIAwtransport!$J$2:$J$675,EIAwtransport!$E$2:$E$675,Program_data!$E1185,EIAwtransport!$H$2:$H$675,Program_data!$F1185,EIAwtransport!$I$2:$I$675,Program_data!P$2)</f>
        <v>146567226</v>
      </c>
      <c r="Q1185" s="5">
        <f>SUMIFS(EIAwtransport!$J$2:$J$675,EIAwtransport!$E$2:$E$675,Program_data!$E1185,EIAwtransport!$H$2:$H$675,Program_data!$F1185,EIAwtransport!$I$2:$I$675,Program_data!Q$2)</f>
        <v>1670963</v>
      </c>
      <c r="R1185" s="8">
        <f>SUMIFS(EIAwtransport!$J$2:$J$675,EIAwtransport!$E$2:$E$675,Program_data!$E1185,EIAwtransport!$I$2:$I$675,Program_data!R$2)</f>
        <v>1976161463</v>
      </c>
      <c r="S1185" s="5">
        <f>SUMIFS(EIAwtransport!$J$2:$J$675,EIAwtransport!$E$2:$E$675,Program_data!$E1185,EIAwtransport!$I$2:$I$675,Program_data!S$2)</f>
        <v>279743809</v>
      </c>
      <c r="T1185" s="5">
        <f>SUMIFS(EIAwtransport!$J$2:$J$675,EIAwtransport!$E$2:$E$675,Program_data!$E1185,EIAwtransport!$I$2:$I$675,Program_data!T$2)</f>
        <v>1805555</v>
      </c>
      <c r="U1185" s="24">
        <f t="shared" si="362"/>
        <v>7.9625232457635549E-4</v>
      </c>
      <c r="V1185" s="24">
        <f t="shared" si="371"/>
        <v>8.6549165714821228E-4</v>
      </c>
      <c r="W1185" s="24">
        <f t="shared" si="363"/>
        <v>3.740739843083784E-4</v>
      </c>
      <c r="X1185" s="25">
        <f t="shared" si="364"/>
        <v>2.5507018193514841E-4</v>
      </c>
      <c r="Y1185" s="8">
        <f t="shared" si="369"/>
        <v>7.6899733839869297E-2</v>
      </c>
      <c r="Z1185" s="27">
        <f t="shared" si="370"/>
        <v>2.884253545241865E-2</v>
      </c>
      <c r="AA1185" s="27"/>
      <c r="AB1185" s="40"/>
      <c r="AC1185" s="56"/>
      <c r="AE1185" s="20">
        <f t="shared" si="359"/>
        <v>24686.80797280568</v>
      </c>
      <c r="AF1185" s="20">
        <f t="shared" si="360"/>
        <v>2667817975.0500002</v>
      </c>
      <c r="AG1185">
        <f t="shared" si="366"/>
        <v>243411489.37414521</v>
      </c>
      <c r="AH1185">
        <f t="shared" si="367"/>
        <v>264577705.84146214</v>
      </c>
      <c r="AI1185">
        <f t="shared" si="368"/>
        <v>29507376973.32</v>
      </c>
    </row>
    <row r="1186" spans="2:35" x14ac:dyDescent="0.25">
      <c r="B1186" s="4">
        <v>2024</v>
      </c>
      <c r="C1186" s="4" t="s">
        <v>199</v>
      </c>
      <c r="D1186" s="4" t="s">
        <v>635</v>
      </c>
      <c r="E1186" s="4" t="str">
        <f t="shared" si="373"/>
        <v>CMS-MI</v>
      </c>
      <c r="F1186" s="4" t="s">
        <v>135</v>
      </c>
      <c r="G1186" s="4"/>
      <c r="H1186" s="51" t="s">
        <v>640</v>
      </c>
      <c r="I1186" s="4"/>
      <c r="J1186" s="4" t="s">
        <v>21</v>
      </c>
      <c r="K1186" s="5">
        <v>170950.39316771476</v>
      </c>
      <c r="L1186" s="5">
        <v>185815.64474751602</v>
      </c>
      <c r="M1186" s="8">
        <v>3865445.2736768937</v>
      </c>
      <c r="N1186" s="46">
        <v>95620.446668721954</v>
      </c>
      <c r="O1186" s="8">
        <f>SUMIFS(EIAwtransport!$J$2:$J$675,EIAwtransport!$E$2:$E$675,Program_data!$E1186,EIAwtransport!$H$2:$H$675,Program_data!$F1186,EIAwtransport!$I$2:$I$675,Program_data!O$2)</f>
        <v>1413576659</v>
      </c>
      <c r="P1186" s="5">
        <f>SUMIFS(EIAwtransport!$J$2:$J$675,EIAwtransport!$E$2:$E$675,Program_data!$E1186,EIAwtransport!$H$2:$H$675,Program_data!$F1186,EIAwtransport!$I$2:$I$675,Program_data!P$2)</f>
        <v>146567226</v>
      </c>
      <c r="Q1186" s="5">
        <f>SUMIFS(EIAwtransport!$J$2:$J$675,EIAwtransport!$E$2:$E$675,Program_data!$E1186,EIAwtransport!$H$2:$H$675,Program_data!$F1186,EIAwtransport!$I$2:$I$675,Program_data!Q$2)</f>
        <v>1670963</v>
      </c>
      <c r="R1186" s="8">
        <f>SUMIFS(EIAwtransport!$J$2:$J$675,EIAwtransport!$E$2:$E$675,Program_data!$E1186,EIAwtransport!$I$2:$I$675,Program_data!R$2)</f>
        <v>1976161463</v>
      </c>
      <c r="S1186" s="5">
        <f>SUMIFS(EIAwtransport!$J$2:$J$675,EIAwtransport!$E$2:$E$675,Program_data!$E1186,EIAwtransport!$I$2:$I$675,Program_data!S$2)</f>
        <v>279743809</v>
      </c>
      <c r="T1186" s="5">
        <f>SUMIFS(EIAwtransport!$J$2:$J$675,EIAwtransport!$E$2:$E$675,Program_data!$E1186,EIAwtransport!$I$2:$I$675,Program_data!T$2)</f>
        <v>1805555</v>
      </c>
      <c r="U1186" s="24">
        <f t="shared" si="362"/>
        <v>5.8986124699248907E-5</v>
      </c>
      <c r="V1186" s="24">
        <f t="shared" si="371"/>
        <v>6.411535293396621E-5</v>
      </c>
      <c r="W1186" s="24">
        <f t="shared" si="363"/>
        <v>1.9560371690523618E-3</v>
      </c>
      <c r="X1186" s="25">
        <f t="shared" si="364"/>
        <v>1.3337649168641309E-3</v>
      </c>
      <c r="Y1186" s="8">
        <f t="shared" si="369"/>
        <v>0.40210959326435314</v>
      </c>
      <c r="Z1186" s="27">
        <f t="shared" si="370"/>
        <v>0.15081794982067601</v>
      </c>
      <c r="AA1186" s="27"/>
      <c r="AB1186" s="40"/>
      <c r="AC1186" s="56"/>
      <c r="AE1186" s="20">
        <f t="shared" si="359"/>
        <v>129087.60300277465</v>
      </c>
      <c r="AF1186" s="20">
        <f t="shared" si="360"/>
        <v>2667817975.0500002</v>
      </c>
      <c r="AG1186">
        <f t="shared" si="366"/>
        <v>18031847.471330553</v>
      </c>
      <c r="AH1186">
        <f t="shared" si="367"/>
        <v>19599834.207967989</v>
      </c>
      <c r="AI1186">
        <f t="shared" si="368"/>
        <v>29507376973.32</v>
      </c>
    </row>
    <row r="1187" spans="2:35" x14ac:dyDescent="0.25">
      <c r="B1187" s="4">
        <v>2024</v>
      </c>
      <c r="C1187" s="4" t="s">
        <v>199</v>
      </c>
      <c r="D1187" s="4" t="s">
        <v>635</v>
      </c>
      <c r="E1187" s="4" t="str">
        <f t="shared" si="373"/>
        <v>CMS-MI</v>
      </c>
      <c r="F1187" s="4" t="s">
        <v>135</v>
      </c>
      <c r="G1187" s="4"/>
      <c r="H1187" s="51" t="s">
        <v>640</v>
      </c>
      <c r="I1187" s="4"/>
      <c r="J1187" t="s">
        <v>42</v>
      </c>
      <c r="K1187" s="5">
        <v>580788.96898900543</v>
      </c>
      <c r="L1187" s="5">
        <v>631292.3575967449</v>
      </c>
      <c r="M1187" s="8">
        <v>395324.13422202249</v>
      </c>
      <c r="N1187" s="46">
        <v>9779.2279069775577</v>
      </c>
      <c r="O1187" s="8">
        <f>SUMIFS(EIAwtransport!$J$2:$J$675,EIAwtransport!$E$2:$E$675,Program_data!$E1187,EIAwtransport!$H$2:$H$675,Program_data!$F1187,EIAwtransport!$I$2:$I$675,Program_data!O$2)</f>
        <v>1413576659</v>
      </c>
      <c r="P1187" s="5">
        <f>SUMIFS(EIAwtransport!$J$2:$J$675,EIAwtransport!$E$2:$E$675,Program_data!$E1187,EIAwtransport!$H$2:$H$675,Program_data!$F1187,EIAwtransport!$I$2:$I$675,Program_data!P$2)</f>
        <v>146567226</v>
      </c>
      <c r="Q1187" s="5">
        <f>SUMIFS(EIAwtransport!$J$2:$J$675,EIAwtransport!$E$2:$E$675,Program_data!$E1187,EIAwtransport!$H$2:$H$675,Program_data!$F1187,EIAwtransport!$I$2:$I$675,Program_data!Q$2)</f>
        <v>1670963</v>
      </c>
      <c r="R1187" s="8">
        <f>SUMIFS(EIAwtransport!$J$2:$J$675,EIAwtransport!$E$2:$E$675,Program_data!$E1187,EIAwtransport!$I$2:$I$675,Program_data!R$2)</f>
        <v>1976161463</v>
      </c>
      <c r="S1187" s="5">
        <f>SUMIFS(EIAwtransport!$J$2:$J$675,EIAwtransport!$E$2:$E$675,Program_data!$E1187,EIAwtransport!$I$2:$I$675,Program_data!S$2)</f>
        <v>279743809</v>
      </c>
      <c r="T1187" s="5">
        <f>SUMIFS(EIAwtransport!$J$2:$J$675,EIAwtransport!$E$2:$E$675,Program_data!$E1187,EIAwtransport!$I$2:$I$675,Program_data!T$2)</f>
        <v>1805555</v>
      </c>
      <c r="U1187" s="24">
        <f t="shared" si="362"/>
        <v>2.004001857727441E-4</v>
      </c>
      <c r="V1187" s="24">
        <f t="shared" si="371"/>
        <v>2.1782628888341747E-4</v>
      </c>
      <c r="W1187" s="24">
        <f t="shared" si="363"/>
        <v>2.0004647475610777E-4</v>
      </c>
      <c r="X1187" s="25">
        <f t="shared" si="364"/>
        <v>1.3640587918955854E-4</v>
      </c>
      <c r="Y1187" s="8">
        <f t="shared" si="369"/>
        <v>4.1124273030617872E-2</v>
      </c>
      <c r="Z1187" s="27">
        <f t="shared" si="370"/>
        <v>1.5424348611016677E-2</v>
      </c>
      <c r="AA1187" s="27"/>
      <c r="AB1187" s="40"/>
      <c r="AC1187" s="56"/>
      <c r="AE1187" s="20">
        <f t="shared" si="359"/>
        <v>13201.957674419704</v>
      </c>
      <c r="AF1187" s="20">
        <f t="shared" si="360"/>
        <v>2667817975.0500002</v>
      </c>
      <c r="AG1187">
        <f t="shared" si="366"/>
        <v>61261620.448960297</v>
      </c>
      <c r="AH1187">
        <f t="shared" si="367"/>
        <v>66588717.879304655</v>
      </c>
      <c r="AI1187">
        <f t="shared" si="368"/>
        <v>29507376973.32</v>
      </c>
    </row>
    <row r="1188" spans="2:35" x14ac:dyDescent="0.25">
      <c r="B1188" s="4">
        <v>2024</v>
      </c>
      <c r="C1188" s="4" t="s">
        <v>199</v>
      </c>
      <c r="D1188" s="4" t="s">
        <v>635</v>
      </c>
      <c r="E1188" s="4" t="str">
        <f t="shared" si="373"/>
        <v>CMS-MI</v>
      </c>
      <c r="F1188" s="4" t="s">
        <v>135</v>
      </c>
      <c r="G1188" s="4"/>
      <c r="H1188" s="51" t="s">
        <v>641</v>
      </c>
      <c r="I1188" s="4"/>
      <c r="J1188" s="4" t="s">
        <v>21</v>
      </c>
      <c r="K1188" s="5">
        <v>212558.22111796701</v>
      </c>
      <c r="L1188" s="5">
        <v>231041.88910105929</v>
      </c>
      <c r="M1188" s="8">
        <v>5268357.7632448915</v>
      </c>
      <c r="N1188" s="46">
        <v>1361000.0859016678</v>
      </c>
      <c r="O1188" s="8">
        <f>SUMIFS(EIAwtransport!$J$2:$J$675,EIAwtransport!$E$2:$E$675,Program_data!$E1188,EIAwtransport!$H$2:$H$675,Program_data!$F1188,EIAwtransport!$I$2:$I$675,Program_data!O$2)</f>
        <v>1413576659</v>
      </c>
      <c r="P1188" s="5">
        <f>SUMIFS(EIAwtransport!$J$2:$J$675,EIAwtransport!$E$2:$E$675,Program_data!$E1188,EIAwtransport!$H$2:$H$675,Program_data!$F1188,EIAwtransport!$I$2:$I$675,Program_data!P$2)</f>
        <v>146567226</v>
      </c>
      <c r="Q1188" s="5">
        <f>SUMIFS(EIAwtransport!$J$2:$J$675,EIAwtransport!$E$2:$E$675,Program_data!$E1188,EIAwtransport!$H$2:$H$675,Program_data!$F1188,EIAwtransport!$I$2:$I$675,Program_data!Q$2)</f>
        <v>1670963</v>
      </c>
      <c r="R1188" s="8">
        <f>SUMIFS(EIAwtransport!$J$2:$J$675,EIAwtransport!$E$2:$E$675,Program_data!$E1188,EIAwtransport!$I$2:$I$675,Program_data!R$2)</f>
        <v>1976161463</v>
      </c>
      <c r="S1188" s="5">
        <f>SUMIFS(EIAwtransport!$J$2:$J$675,EIAwtransport!$E$2:$E$675,Program_data!$E1188,EIAwtransport!$I$2:$I$675,Program_data!S$2)</f>
        <v>279743809</v>
      </c>
      <c r="T1188" s="5">
        <f>SUMIFS(EIAwtransport!$J$2:$J$675,EIAwtransport!$E$2:$E$675,Program_data!$E1188,EIAwtransport!$I$2:$I$675,Program_data!T$2)</f>
        <v>1805555</v>
      </c>
      <c r="U1188" s="24">
        <f t="shared" si="362"/>
        <v>7.3342830656225814E-5</v>
      </c>
      <c r="V1188" s="24">
        <f t="shared" si="371"/>
        <v>7.9720586941820032E-5</v>
      </c>
      <c r="W1188" s="24">
        <f t="shared" si="363"/>
        <v>2.6659551164645353E-3</v>
      </c>
      <c r="X1188" s="25">
        <f t="shared" si="364"/>
        <v>1.8178373399711405E-3</v>
      </c>
      <c r="Y1188" s="8">
        <f t="shared" si="369"/>
        <v>0.54804997803898003</v>
      </c>
      <c r="Z1188" s="27">
        <f t="shared" si="370"/>
        <v>0.2055553398169396</v>
      </c>
      <c r="AA1188" s="27"/>
      <c r="AB1188" s="40"/>
      <c r="AC1188" s="56"/>
      <c r="AE1188" s="20">
        <f t="shared" si="359"/>
        <v>1837350.1159672516</v>
      </c>
      <c r="AF1188" s="20">
        <f t="shared" si="360"/>
        <v>2667817975.0500002</v>
      </c>
      <c r="AG1188">
        <f t="shared" si="366"/>
        <v>22420641.16352316</v>
      </c>
      <c r="AH1188">
        <f t="shared" si="367"/>
        <v>24370298.462379735</v>
      </c>
      <c r="AI1188">
        <f t="shared" si="368"/>
        <v>29507376973.32</v>
      </c>
    </row>
    <row r="1189" spans="2:35" x14ac:dyDescent="0.25">
      <c r="B1189" s="4">
        <v>2024</v>
      </c>
      <c r="C1189" s="4" t="s">
        <v>199</v>
      </c>
      <c r="D1189" s="4" t="s">
        <v>635</v>
      </c>
      <c r="E1189" s="4" t="str">
        <f t="shared" si="373"/>
        <v>CMS-MI</v>
      </c>
      <c r="F1189" s="4" t="s">
        <v>135</v>
      </c>
      <c r="G1189" s="4"/>
      <c r="H1189" s="51" t="s">
        <v>641</v>
      </c>
      <c r="I1189" s="4"/>
      <c r="J1189" t="s">
        <v>55</v>
      </c>
      <c r="K1189" s="5">
        <v>10360.57091399899</v>
      </c>
      <c r="L1189" s="5">
        <v>11261.506911122147</v>
      </c>
      <c r="M1189" s="8">
        <v>206759.81845629914</v>
      </c>
      <c r="N1189" s="46">
        <v>53413.253868832959</v>
      </c>
      <c r="O1189" s="8">
        <f>SUMIFS(EIAwtransport!$J$2:$J$675,EIAwtransport!$E$2:$E$675,Program_data!$E1189,EIAwtransport!$H$2:$H$675,Program_data!$F1189,EIAwtransport!$I$2:$I$675,Program_data!O$2)</f>
        <v>1413576659</v>
      </c>
      <c r="P1189" s="5">
        <f>SUMIFS(EIAwtransport!$J$2:$J$675,EIAwtransport!$E$2:$E$675,Program_data!$E1189,EIAwtransport!$H$2:$H$675,Program_data!$F1189,EIAwtransport!$I$2:$I$675,Program_data!P$2)</f>
        <v>146567226</v>
      </c>
      <c r="Q1189" s="5">
        <f>SUMIFS(EIAwtransport!$J$2:$J$675,EIAwtransport!$E$2:$E$675,Program_data!$E1189,EIAwtransport!$H$2:$H$675,Program_data!$F1189,EIAwtransport!$I$2:$I$675,Program_data!Q$2)</f>
        <v>1670963</v>
      </c>
      <c r="R1189" s="8">
        <f>SUMIFS(EIAwtransport!$J$2:$J$675,EIAwtransport!$E$2:$E$675,Program_data!$E1189,EIAwtransport!$I$2:$I$675,Program_data!R$2)</f>
        <v>1976161463</v>
      </c>
      <c r="S1189" s="5">
        <f>SUMIFS(EIAwtransport!$J$2:$J$675,EIAwtransport!$E$2:$E$675,Program_data!$E1189,EIAwtransport!$I$2:$I$675,Program_data!S$2)</f>
        <v>279743809</v>
      </c>
      <c r="T1189" s="5">
        <f>SUMIFS(EIAwtransport!$J$2:$J$675,EIAwtransport!$E$2:$E$675,Program_data!$E1189,EIAwtransport!$I$2:$I$675,Program_data!T$2)</f>
        <v>1805555</v>
      </c>
      <c r="U1189" s="24">
        <f t="shared" si="362"/>
        <v>3.5748962992380651E-6</v>
      </c>
      <c r="V1189" s="24">
        <f t="shared" si="371"/>
        <v>3.8857626393944859E-6</v>
      </c>
      <c r="W1189" s="24">
        <f t="shared" si="363"/>
        <v>1.0462698637105197E-4</v>
      </c>
      <c r="X1189" s="25">
        <f t="shared" si="364"/>
        <v>7.1342102280468026E-5</v>
      </c>
      <c r="Y1189" s="8">
        <f t="shared" si="369"/>
        <v>2.1508545747380172E-2</v>
      </c>
      <c r="Z1189" s="27">
        <f t="shared" si="370"/>
        <v>8.0671409674912264E-3</v>
      </c>
      <c r="AA1189" s="27"/>
      <c r="AB1189" s="40"/>
      <c r="AC1189" s="56"/>
      <c r="AE1189" s="20">
        <f t="shared" ref="AE1189:AE1252" si="374">N1189*1.35</f>
        <v>72107.892722924502</v>
      </c>
      <c r="AF1189" s="20">
        <f t="shared" ref="AF1189:AF1252" si="375">R1189*1.35</f>
        <v>2667817975.0500002</v>
      </c>
      <c r="AG1189">
        <f t="shared" si="366"/>
        <v>1092833.0200086136</v>
      </c>
      <c r="AH1189">
        <f t="shared" si="367"/>
        <v>1187863.7489851641</v>
      </c>
      <c r="AI1189">
        <f t="shared" si="368"/>
        <v>29507376973.32</v>
      </c>
    </row>
    <row r="1190" spans="2:35" x14ac:dyDescent="0.25">
      <c r="B1190" s="4">
        <v>2024</v>
      </c>
      <c r="C1190" s="4" t="s">
        <v>199</v>
      </c>
      <c r="D1190" s="4" t="s">
        <v>635</v>
      </c>
      <c r="E1190" s="4" t="str">
        <f t="shared" si="373"/>
        <v>CMS-MI</v>
      </c>
      <c r="F1190" s="4" t="s">
        <v>135</v>
      </c>
      <c r="G1190" s="4"/>
      <c r="H1190" s="51" t="s">
        <v>641</v>
      </c>
      <c r="I1190" s="4"/>
      <c r="J1190" t="s">
        <v>48</v>
      </c>
      <c r="K1190" s="5">
        <v>730333.99420538044</v>
      </c>
      <c r="L1190" s="5">
        <v>793842.4814078866</v>
      </c>
      <c r="M1190" s="8">
        <v>4758484.3999278704</v>
      </c>
      <c r="N1190" s="46">
        <v>1229282.0586798361</v>
      </c>
      <c r="O1190" s="8">
        <f>SUMIFS(EIAwtransport!$J$2:$J$675,EIAwtransport!$E$2:$E$675,Program_data!$E1190,EIAwtransport!$H$2:$H$675,Program_data!$F1190,EIAwtransport!$I$2:$I$675,Program_data!O$2)</f>
        <v>1413576659</v>
      </c>
      <c r="P1190" s="5">
        <f>SUMIFS(EIAwtransport!$J$2:$J$675,EIAwtransport!$E$2:$E$675,Program_data!$E1190,EIAwtransport!$H$2:$H$675,Program_data!$F1190,EIAwtransport!$I$2:$I$675,Program_data!P$2)</f>
        <v>146567226</v>
      </c>
      <c r="Q1190" s="5">
        <f>SUMIFS(EIAwtransport!$J$2:$J$675,EIAwtransport!$E$2:$E$675,Program_data!$E1190,EIAwtransport!$H$2:$H$675,Program_data!$F1190,EIAwtransport!$I$2:$I$675,Program_data!Q$2)</f>
        <v>1670963</v>
      </c>
      <c r="R1190" s="8">
        <f>SUMIFS(EIAwtransport!$J$2:$J$675,EIAwtransport!$E$2:$E$675,Program_data!$E1190,EIAwtransport!$I$2:$I$675,Program_data!R$2)</f>
        <v>1976161463</v>
      </c>
      <c r="S1190" s="5">
        <f>SUMIFS(EIAwtransport!$J$2:$J$675,EIAwtransport!$E$2:$E$675,Program_data!$E1190,EIAwtransport!$I$2:$I$675,Program_data!S$2)</f>
        <v>279743809</v>
      </c>
      <c r="T1190" s="5">
        <f>SUMIFS(EIAwtransport!$J$2:$J$675,EIAwtransport!$E$2:$E$675,Program_data!$E1190,EIAwtransport!$I$2:$I$675,Program_data!T$2)</f>
        <v>1805555</v>
      </c>
      <c r="U1190" s="24">
        <f t="shared" si="362"/>
        <v>2.5200042688427695E-4</v>
      </c>
      <c r="V1190" s="24">
        <f t="shared" si="371"/>
        <v>2.7391391579864561E-4</v>
      </c>
      <c r="W1190" s="24">
        <f t="shared" si="363"/>
        <v>2.4079431205505045E-3</v>
      </c>
      <c r="X1190" s="25">
        <f t="shared" si="364"/>
        <v>1.6419064559752374E-3</v>
      </c>
      <c r="Y1190" s="8">
        <f t="shared" si="369"/>
        <v>0.49500952442399165</v>
      </c>
      <c r="Z1190" s="27">
        <f t="shared" si="370"/>
        <v>0.18566162774001274</v>
      </c>
      <c r="AA1190" s="27"/>
      <c r="AB1190" s="40"/>
      <c r="AC1190" s="56"/>
      <c r="AE1190" s="20">
        <f t="shared" si="374"/>
        <v>1659530.7792177789</v>
      </c>
      <c r="AF1190" s="20">
        <f t="shared" si="375"/>
        <v>2667817975.0500002</v>
      </c>
      <c r="AG1190">
        <f t="shared" si="366"/>
        <v>77035629.708783537</v>
      </c>
      <c r="AH1190">
        <f t="shared" si="367"/>
        <v>83734504.938903883</v>
      </c>
      <c r="AI1190">
        <f t="shared" si="368"/>
        <v>29507376973.32</v>
      </c>
    </row>
    <row r="1191" spans="2:35" x14ac:dyDescent="0.25">
      <c r="B1191" s="4">
        <v>2024</v>
      </c>
      <c r="C1191" s="4" t="s">
        <v>199</v>
      </c>
      <c r="D1191" s="4" t="s">
        <v>635</v>
      </c>
      <c r="E1191" s="4" t="str">
        <f t="shared" si="373"/>
        <v>CMS-MI</v>
      </c>
      <c r="F1191" s="4" t="s">
        <v>135</v>
      </c>
      <c r="G1191" s="4"/>
      <c r="H1191" s="51" t="s">
        <v>641</v>
      </c>
      <c r="I1191" s="4"/>
      <c r="J1191" t="s">
        <v>27</v>
      </c>
      <c r="K1191" s="5">
        <v>281088.2137626537</v>
      </c>
      <c r="L1191" s="5">
        <v>305531.12257993204</v>
      </c>
      <c r="M1191" s="8">
        <v>1423465.2808073789</v>
      </c>
      <c r="N1191" s="46">
        <v>367730.60154966358</v>
      </c>
      <c r="O1191" s="8">
        <f>SUMIFS(EIAwtransport!$J$2:$J$675,EIAwtransport!$E$2:$E$675,Program_data!$E1191,EIAwtransport!$H$2:$H$675,Program_data!$F1191,EIAwtransport!$I$2:$I$675,Program_data!O$2)</f>
        <v>1413576659</v>
      </c>
      <c r="P1191" s="5">
        <f>SUMIFS(EIAwtransport!$J$2:$J$675,EIAwtransport!$E$2:$E$675,Program_data!$E1191,EIAwtransport!$H$2:$H$675,Program_data!$F1191,EIAwtransport!$I$2:$I$675,Program_data!P$2)</f>
        <v>146567226</v>
      </c>
      <c r="Q1191" s="5">
        <f>SUMIFS(EIAwtransport!$J$2:$J$675,EIAwtransport!$E$2:$E$675,Program_data!$E1191,EIAwtransport!$H$2:$H$675,Program_data!$F1191,EIAwtransport!$I$2:$I$675,Program_data!Q$2)</f>
        <v>1670963</v>
      </c>
      <c r="R1191" s="8">
        <f>SUMIFS(EIAwtransport!$J$2:$J$675,EIAwtransport!$E$2:$E$675,Program_data!$E1191,EIAwtransport!$I$2:$I$675,Program_data!R$2)</f>
        <v>1976161463</v>
      </c>
      <c r="S1191" s="5">
        <f>SUMIFS(EIAwtransport!$J$2:$J$675,EIAwtransport!$E$2:$E$675,Program_data!$E1191,EIAwtransport!$I$2:$I$675,Program_data!S$2)</f>
        <v>279743809</v>
      </c>
      <c r="T1191" s="5">
        <f>SUMIFS(EIAwtransport!$J$2:$J$675,EIAwtransport!$E$2:$E$675,Program_data!$E1191,EIAwtransport!$I$2:$I$675,Program_data!T$2)</f>
        <v>1805555</v>
      </c>
      <c r="U1191" s="24">
        <f t="shared" si="362"/>
        <v>9.6988980962603235E-5</v>
      </c>
      <c r="V1191" s="24">
        <f t="shared" si="371"/>
        <v>1.0542296254516588E-4</v>
      </c>
      <c r="W1191" s="24">
        <f t="shared" si="363"/>
        <v>7.203183077188561E-4</v>
      </c>
      <c r="X1191" s="25">
        <f t="shared" si="364"/>
        <v>4.9116412663865561E-4</v>
      </c>
      <c r="Y1191" s="8">
        <f t="shared" si="369"/>
        <v>0.14807842423465867</v>
      </c>
      <c r="Z1191" s="27">
        <f t="shared" si="370"/>
        <v>5.5539297569221477E-2</v>
      </c>
      <c r="AA1191" s="27"/>
      <c r="AB1191" s="40"/>
      <c r="AC1191" s="56"/>
      <c r="AE1191" s="20">
        <f t="shared" si="374"/>
        <v>496436.31209204585</v>
      </c>
      <c r="AF1191" s="20">
        <f t="shared" si="375"/>
        <v>2667817975.0500002</v>
      </c>
      <c r="AG1191">
        <f t="shared" si="366"/>
        <v>29649184.787684713</v>
      </c>
      <c r="AH1191">
        <f t="shared" si="367"/>
        <v>32227422.809731234</v>
      </c>
      <c r="AI1191">
        <f t="shared" si="368"/>
        <v>29507376973.32</v>
      </c>
    </row>
    <row r="1192" spans="2:35" x14ac:dyDescent="0.25">
      <c r="B1192" s="4">
        <v>2024</v>
      </c>
      <c r="C1192" s="4" t="s">
        <v>199</v>
      </c>
      <c r="D1192" s="4" t="s">
        <v>635</v>
      </c>
      <c r="E1192" s="4" t="str">
        <f t="shared" si="373"/>
        <v>CMS-MI</v>
      </c>
      <c r="F1192" s="4" t="s">
        <v>135</v>
      </c>
      <c r="G1192" s="4"/>
      <c r="H1192" s="51" t="s">
        <v>182</v>
      </c>
      <c r="I1192" s="4"/>
      <c r="J1192" s="4" t="s">
        <v>21</v>
      </c>
      <c r="K1192" s="5">
        <v>341590.6330987637</v>
      </c>
      <c r="L1192" s="5">
        <v>371294.16641169967</v>
      </c>
      <c r="M1192" s="8">
        <v>1076671.0666258228</v>
      </c>
      <c r="N1192" s="46">
        <v>439990.39333703247</v>
      </c>
      <c r="O1192" s="8">
        <f>SUMIFS(EIAwtransport!$J$2:$J$675,EIAwtransport!$E$2:$E$675,Program_data!$E1192,EIAwtransport!$H$2:$H$675,Program_data!$F1192,EIAwtransport!$I$2:$I$675,Program_data!O$2)</f>
        <v>1413576659</v>
      </c>
      <c r="P1192" s="5">
        <f>SUMIFS(EIAwtransport!$J$2:$J$675,EIAwtransport!$E$2:$E$675,Program_data!$E1192,EIAwtransport!$H$2:$H$675,Program_data!$F1192,EIAwtransport!$I$2:$I$675,Program_data!P$2)</f>
        <v>146567226</v>
      </c>
      <c r="Q1192" s="5">
        <f>SUMIFS(EIAwtransport!$J$2:$J$675,EIAwtransport!$E$2:$E$675,Program_data!$E1192,EIAwtransport!$H$2:$H$675,Program_data!$F1192,EIAwtransport!$I$2:$I$675,Program_data!Q$2)</f>
        <v>1670963</v>
      </c>
      <c r="R1192" s="8">
        <f>SUMIFS(EIAwtransport!$J$2:$J$675,EIAwtransport!$E$2:$E$675,Program_data!$E1192,EIAwtransport!$I$2:$I$675,Program_data!R$2)</f>
        <v>1976161463</v>
      </c>
      <c r="S1192" s="5">
        <f>SUMIFS(EIAwtransport!$J$2:$J$675,EIAwtransport!$E$2:$E$675,Program_data!$E1192,EIAwtransport!$I$2:$I$675,Program_data!S$2)</f>
        <v>279743809</v>
      </c>
      <c r="T1192" s="5">
        <f>SUMIFS(EIAwtransport!$J$2:$J$675,EIAwtransport!$E$2:$E$675,Program_data!$E1192,EIAwtransport!$I$2:$I$675,Program_data!T$2)</f>
        <v>1805555</v>
      </c>
      <c r="U1192" s="24">
        <f t="shared" si="362"/>
        <v>1.1786523158382747E-4</v>
      </c>
      <c r="V1192" s="24">
        <f t="shared" si="371"/>
        <v>1.2811438215633422E-4</v>
      </c>
      <c r="W1192" s="24">
        <f t="shared" si="363"/>
        <v>5.4482950243920573E-4</v>
      </c>
      <c r="X1192" s="25">
        <f t="shared" si="364"/>
        <v>3.7150340879156394E-4</v>
      </c>
      <c r="Y1192" s="8">
        <f t="shared" si="369"/>
        <v>0.11200255960902154</v>
      </c>
      <c r="Z1192" s="27">
        <f t="shared" si="370"/>
        <v>4.2008439236105519E-2</v>
      </c>
      <c r="AA1192" s="27"/>
      <c r="AB1192" s="40"/>
      <c r="AC1192" s="56"/>
      <c r="AE1192" s="20">
        <f t="shared" si="374"/>
        <v>593987.03100499383</v>
      </c>
      <c r="AF1192" s="20">
        <f t="shared" si="375"/>
        <v>2667817975.0500002</v>
      </c>
      <c r="AG1192">
        <f t="shared" si="366"/>
        <v>36030979.979257599</v>
      </c>
      <c r="AH1192">
        <f t="shared" si="367"/>
        <v>39164108.673106082</v>
      </c>
      <c r="AI1192">
        <f t="shared" si="368"/>
        <v>29507376973.32</v>
      </c>
    </row>
    <row r="1193" spans="2:35" x14ac:dyDescent="0.25">
      <c r="B1193" s="4">
        <v>2024</v>
      </c>
      <c r="C1193" s="4" t="s">
        <v>199</v>
      </c>
      <c r="D1193" s="4" t="s">
        <v>635</v>
      </c>
      <c r="E1193" s="4" t="str">
        <f t="shared" si="373"/>
        <v>CMS-MI</v>
      </c>
      <c r="F1193" s="4" t="s">
        <v>135</v>
      </c>
      <c r="G1193" s="4"/>
      <c r="H1193" s="51" t="s">
        <v>182</v>
      </c>
      <c r="I1193" s="4"/>
      <c r="J1193" t="s">
        <v>55</v>
      </c>
      <c r="K1193" s="5">
        <v>120964.88716936008</v>
      </c>
      <c r="L1193" s="5">
        <v>131483.573010174</v>
      </c>
      <c r="M1193" s="8">
        <v>179234.74157934685</v>
      </c>
      <c r="N1193" s="46">
        <v>73245.735760599826</v>
      </c>
      <c r="O1193" s="8">
        <f>SUMIFS(EIAwtransport!$J$2:$J$675,EIAwtransport!$E$2:$E$675,Program_data!$E1193,EIAwtransport!$H$2:$H$675,Program_data!$F1193,EIAwtransport!$I$2:$I$675,Program_data!O$2)</f>
        <v>1413576659</v>
      </c>
      <c r="P1193" s="5">
        <f>SUMIFS(EIAwtransport!$J$2:$J$675,EIAwtransport!$E$2:$E$675,Program_data!$E1193,EIAwtransport!$H$2:$H$675,Program_data!$F1193,EIAwtransport!$I$2:$I$675,Program_data!P$2)</f>
        <v>146567226</v>
      </c>
      <c r="Q1193" s="5">
        <f>SUMIFS(EIAwtransport!$J$2:$J$675,EIAwtransport!$E$2:$E$675,Program_data!$E1193,EIAwtransport!$H$2:$H$675,Program_data!$F1193,EIAwtransport!$I$2:$I$675,Program_data!Q$2)</f>
        <v>1670963</v>
      </c>
      <c r="R1193" s="8">
        <f>SUMIFS(EIAwtransport!$J$2:$J$675,EIAwtransport!$E$2:$E$675,Program_data!$E1193,EIAwtransport!$I$2:$I$675,Program_data!R$2)</f>
        <v>1976161463</v>
      </c>
      <c r="S1193" s="5">
        <f>SUMIFS(EIAwtransport!$J$2:$J$675,EIAwtransport!$E$2:$E$675,Program_data!$E1193,EIAwtransport!$I$2:$I$675,Program_data!S$2)</f>
        <v>279743809</v>
      </c>
      <c r="T1193" s="5">
        <f>SUMIFS(EIAwtransport!$J$2:$J$675,EIAwtransport!$E$2:$E$675,Program_data!$E1193,EIAwtransport!$I$2:$I$675,Program_data!T$2)</f>
        <v>1805555</v>
      </c>
      <c r="U1193" s="24">
        <f t="shared" ref="U1193:U1216" si="376">IFERROR(K1193/10.36/S1193,"")</f>
        <v>4.1738716048475246E-5</v>
      </c>
      <c r="V1193" s="24">
        <f t="shared" si="371"/>
        <v>4.5368169617907871E-5</v>
      </c>
      <c r="W1193" s="24">
        <f t="shared" ref="W1193:W1216" si="377">IFERROR(M1193/R1193,"")</f>
        <v>9.0698429726107283E-5</v>
      </c>
      <c r="X1193" s="25">
        <f t="shared" ref="X1193:X1216" si="378">IFERROR(M1193/S1193/10.36,"")</f>
        <v>6.18446241703858E-5</v>
      </c>
      <c r="Y1193" s="8">
        <f t="shared" si="369"/>
        <v>1.8645202281380686E-2</v>
      </c>
      <c r="Z1193" s="27">
        <f t="shared" si="370"/>
        <v>6.9931959574537003E-3</v>
      </c>
      <c r="AA1193" s="27"/>
      <c r="AB1193" s="40"/>
      <c r="AC1193" s="56"/>
      <c r="AE1193" s="20">
        <f t="shared" si="374"/>
        <v>98881.743276809764</v>
      </c>
      <c r="AF1193" s="20">
        <f t="shared" si="375"/>
        <v>2667817975.0500002</v>
      </c>
      <c r="AG1193">
        <f t="shared" si="366"/>
        <v>12759376.298624102</v>
      </c>
      <c r="AH1193">
        <f t="shared" si="367"/>
        <v>13868887.281113155</v>
      </c>
      <c r="AI1193">
        <f t="shared" si="368"/>
        <v>29507376973.32</v>
      </c>
    </row>
    <row r="1194" spans="2:35" x14ac:dyDescent="0.25">
      <c r="B1194" s="4">
        <v>2024</v>
      </c>
      <c r="C1194" s="4" t="s">
        <v>199</v>
      </c>
      <c r="D1194" s="4" t="s">
        <v>635</v>
      </c>
      <c r="E1194" s="4" t="str">
        <f t="shared" si="373"/>
        <v>CMS-MI</v>
      </c>
      <c r="F1194" s="4" t="s">
        <v>135</v>
      </c>
      <c r="G1194" s="4"/>
      <c r="H1194" s="51" t="s">
        <v>182</v>
      </c>
      <c r="J1194" t="s">
        <v>48</v>
      </c>
      <c r="K1194" s="5">
        <v>768415.10960142722</v>
      </c>
      <c r="L1194" s="5">
        <v>835233.81478416</v>
      </c>
      <c r="M1194" s="8">
        <v>682757.94971557672</v>
      </c>
      <c r="N1194" s="46">
        <v>279014.59244259913</v>
      </c>
      <c r="O1194" s="8">
        <f>SUMIFS(EIAwtransport!$J$2:$J$675,EIAwtransport!$E$2:$E$675,Program_data!$E1194,EIAwtransport!$H$2:$H$675,Program_data!$F1194,EIAwtransport!$I$2:$I$675,Program_data!O$2)</f>
        <v>1413576659</v>
      </c>
      <c r="P1194" s="5">
        <f>SUMIFS(EIAwtransport!$J$2:$J$675,EIAwtransport!$E$2:$E$675,Program_data!$E1194,EIAwtransport!$H$2:$H$675,Program_data!$F1194,EIAwtransport!$I$2:$I$675,Program_data!P$2)</f>
        <v>146567226</v>
      </c>
      <c r="Q1194" s="5">
        <f>SUMIFS(EIAwtransport!$J$2:$J$675,EIAwtransport!$E$2:$E$675,Program_data!$E1194,EIAwtransport!$H$2:$H$675,Program_data!$F1194,EIAwtransport!$I$2:$I$675,Program_data!Q$2)</f>
        <v>1670963</v>
      </c>
      <c r="R1194" s="8">
        <f>SUMIFS(EIAwtransport!$J$2:$J$675,EIAwtransport!$E$2:$E$675,Program_data!$E1194,EIAwtransport!$I$2:$I$675,Program_data!R$2)</f>
        <v>1976161463</v>
      </c>
      <c r="S1194" s="5">
        <f>SUMIFS(EIAwtransport!$J$2:$J$675,EIAwtransport!$E$2:$E$675,Program_data!$E1194,EIAwtransport!$I$2:$I$675,Program_data!S$2)</f>
        <v>279743809</v>
      </c>
      <c r="T1194" s="5">
        <f>SUMIFS(EIAwtransport!$J$2:$J$675,EIAwtransport!$E$2:$E$675,Program_data!$E1194,EIAwtransport!$I$2:$I$675,Program_data!T$2)</f>
        <v>1805555</v>
      </c>
      <c r="U1194" s="24">
        <f t="shared" si="376"/>
        <v>2.6514024703803329E-4</v>
      </c>
      <c r="V1194" s="24">
        <f t="shared" si="371"/>
        <v>2.8819592069351442E-4</v>
      </c>
      <c r="W1194" s="24">
        <f t="shared" si="377"/>
        <v>3.4549704692605712E-4</v>
      </c>
      <c r="X1194" s="25">
        <f t="shared" si="378"/>
        <v>2.3558439857939106E-4</v>
      </c>
      <c r="Y1194" s="8">
        <f t="shared" si="369"/>
        <v>7.1025070081249031E-2</v>
      </c>
      <c r="Z1194" s="27">
        <f t="shared" si="370"/>
        <v>2.6639144240663944E-2</v>
      </c>
      <c r="AA1194" s="27"/>
      <c r="AB1194" s="40"/>
      <c r="AC1194" s="56"/>
      <c r="AE1194" s="20">
        <f t="shared" si="374"/>
        <v>376669.69979750883</v>
      </c>
      <c r="AF1194" s="20">
        <f t="shared" si="375"/>
        <v>2667817975.0500002</v>
      </c>
      <c r="AG1194">
        <f t="shared" si="366"/>
        <v>81052425.760758549</v>
      </c>
      <c r="AH1194">
        <f t="shared" si="367"/>
        <v>88100462.783433199</v>
      </c>
      <c r="AI1194">
        <f t="shared" si="368"/>
        <v>29507376973.32</v>
      </c>
    </row>
    <row r="1195" spans="2:35" x14ac:dyDescent="0.25">
      <c r="B1195" s="4">
        <v>2024</v>
      </c>
      <c r="C1195" s="4" t="s">
        <v>199</v>
      </c>
      <c r="D1195" s="4" t="s">
        <v>635</v>
      </c>
      <c r="E1195" s="4" t="str">
        <f t="shared" si="373"/>
        <v>CMS-MI</v>
      </c>
      <c r="F1195" s="4" t="s">
        <v>135</v>
      </c>
      <c r="G1195" s="4"/>
      <c r="H1195" s="51" t="s">
        <v>182</v>
      </c>
      <c r="I1195" s="4" t="s">
        <v>162</v>
      </c>
      <c r="J1195" t="s">
        <v>42</v>
      </c>
      <c r="K1195" s="5">
        <v>534453.29351619398</v>
      </c>
      <c r="L1195" s="5">
        <v>580927.49295238475</v>
      </c>
      <c r="M1195" s="8">
        <v>441023.00784379721</v>
      </c>
      <c r="N1195" s="46">
        <v>180227.64120521367</v>
      </c>
      <c r="O1195" s="8">
        <f>SUMIFS(EIAwtransport!$J$2:$J$675,EIAwtransport!$E$2:$E$675,Program_data!$E1195,EIAwtransport!$H$2:$H$675,Program_data!$F1195,EIAwtransport!$I$2:$I$675,Program_data!O$2)</f>
        <v>1413576659</v>
      </c>
      <c r="P1195" s="5">
        <f>SUMIFS(EIAwtransport!$J$2:$J$675,EIAwtransport!$E$2:$E$675,Program_data!$E1195,EIAwtransport!$H$2:$H$675,Program_data!$F1195,EIAwtransport!$I$2:$I$675,Program_data!P$2)</f>
        <v>146567226</v>
      </c>
      <c r="Q1195" s="5">
        <f>SUMIFS(EIAwtransport!$J$2:$J$675,EIAwtransport!$E$2:$E$675,Program_data!$E1195,EIAwtransport!$H$2:$H$675,Program_data!$F1195,EIAwtransport!$I$2:$I$675,Program_data!Q$2)</f>
        <v>1670963</v>
      </c>
      <c r="R1195" s="8">
        <f>SUMIFS(EIAwtransport!$J$2:$J$675,EIAwtransport!$E$2:$E$675,Program_data!$E1195,EIAwtransport!$I$2:$I$675,Program_data!R$2)</f>
        <v>1976161463</v>
      </c>
      <c r="S1195" s="5">
        <f>SUMIFS(EIAwtransport!$J$2:$J$675,EIAwtransport!$E$2:$E$675,Program_data!$E1195,EIAwtransport!$I$2:$I$675,Program_data!S$2)</f>
        <v>279743809</v>
      </c>
      <c r="T1195" s="5">
        <f>SUMIFS(EIAwtransport!$J$2:$J$675,EIAwtransport!$E$2:$E$675,Program_data!$E1195,EIAwtransport!$I$2:$I$675,Program_data!T$2)</f>
        <v>1805555</v>
      </c>
      <c r="U1195" s="24">
        <f t="shared" si="376"/>
        <v>1.8441214455904676E-4</v>
      </c>
      <c r="V1195" s="24">
        <f t="shared" si="371"/>
        <v>2.0044798321635518E-4</v>
      </c>
      <c r="W1195" s="24">
        <f t="shared" si="377"/>
        <v>2.2317154549420399E-4</v>
      </c>
      <c r="X1195" s="25">
        <f t="shared" si="378"/>
        <v>1.5217419307360231E-4</v>
      </c>
      <c r="Y1195" s="8">
        <f t="shared" si="369"/>
        <v>4.5878176962418027E-2</v>
      </c>
      <c r="Z1195" s="27">
        <f t="shared" si="370"/>
        <v>1.7207380044855662E-2</v>
      </c>
      <c r="AA1195" s="27"/>
      <c r="AB1195" s="40"/>
      <c r="AC1195" s="56"/>
      <c r="AE1195" s="20">
        <f t="shared" si="374"/>
        <v>243307.31562703848</v>
      </c>
      <c r="AF1195" s="20">
        <f t="shared" si="375"/>
        <v>2667817975.0500002</v>
      </c>
      <c r="AG1195">
        <f t="shared" si="366"/>
        <v>56374133.400088146</v>
      </c>
      <c r="AH1195">
        <f t="shared" si="367"/>
        <v>61276231.956617549</v>
      </c>
      <c r="AI1195">
        <f t="shared" si="368"/>
        <v>29507376973.32</v>
      </c>
    </row>
    <row r="1196" spans="2:35" x14ac:dyDescent="0.25">
      <c r="B1196" s="4">
        <v>2024</v>
      </c>
      <c r="C1196" s="4" t="s">
        <v>199</v>
      </c>
      <c r="D1196" s="4" t="s">
        <v>635</v>
      </c>
      <c r="E1196" s="4" t="str">
        <f t="shared" si="373"/>
        <v>CMS-MI</v>
      </c>
      <c r="F1196" s="4" t="s">
        <v>135</v>
      </c>
      <c r="G1196" s="4"/>
      <c r="H1196" s="51" t="s">
        <v>182</v>
      </c>
      <c r="I1196" s="4"/>
      <c r="J1196" t="s">
        <v>27</v>
      </c>
      <c r="K1196" s="5">
        <v>146758.92868248964</v>
      </c>
      <c r="L1196" s="5">
        <v>159520.57465488004</v>
      </c>
      <c r="M1196" s="8">
        <v>422454.32244430424</v>
      </c>
      <c r="N1196" s="46">
        <v>172639.39680455506</v>
      </c>
      <c r="O1196" s="8">
        <f>SUMIFS(EIAwtransport!$J$2:$J$675,EIAwtransport!$E$2:$E$675,Program_data!$E1196,EIAwtransport!$H$2:$H$675,Program_data!$F1196,EIAwtransport!$I$2:$I$675,Program_data!O$2)</f>
        <v>1413576659</v>
      </c>
      <c r="P1196" s="5">
        <f>SUMIFS(EIAwtransport!$J$2:$J$675,EIAwtransport!$E$2:$E$675,Program_data!$E1196,EIAwtransport!$H$2:$H$675,Program_data!$F1196,EIAwtransport!$I$2:$I$675,Program_data!P$2)</f>
        <v>146567226</v>
      </c>
      <c r="Q1196" s="5">
        <f>SUMIFS(EIAwtransport!$J$2:$J$675,EIAwtransport!$E$2:$E$675,Program_data!$E1196,EIAwtransport!$H$2:$H$675,Program_data!$F1196,EIAwtransport!$I$2:$I$675,Program_data!Q$2)</f>
        <v>1670963</v>
      </c>
      <c r="R1196" s="8">
        <f>SUMIFS(EIAwtransport!$J$2:$J$675,EIAwtransport!$E$2:$E$675,Program_data!$E1196,EIAwtransport!$I$2:$I$675,Program_data!R$2)</f>
        <v>1976161463</v>
      </c>
      <c r="S1196" s="5">
        <f>SUMIFS(EIAwtransport!$J$2:$J$675,EIAwtransport!$E$2:$E$675,Program_data!$E1196,EIAwtransport!$I$2:$I$675,Program_data!S$2)</f>
        <v>279743809</v>
      </c>
      <c r="T1196" s="5">
        <f>SUMIFS(EIAwtransport!$J$2:$J$675,EIAwtransport!$E$2:$E$675,Program_data!$E1196,EIAwtransport!$I$2:$I$675,Program_data!T$2)</f>
        <v>1805555</v>
      </c>
      <c r="U1196" s="24">
        <f t="shared" si="376"/>
        <v>5.0638903529754506E-5</v>
      </c>
      <c r="V1196" s="24">
        <f t="shared" si="371"/>
        <v>5.5042286445385328E-5</v>
      </c>
      <c r="W1196" s="24">
        <f t="shared" si="377"/>
        <v>2.1377520529267818E-4</v>
      </c>
      <c r="X1196" s="25">
        <f t="shared" si="378"/>
        <v>1.4576710168188466E-4</v>
      </c>
      <c r="Y1196" s="8">
        <f t="shared" si="369"/>
        <v>4.3946537525096127E-2</v>
      </c>
      <c r="Z1196" s="27">
        <f t="shared" si="370"/>
        <v>1.648288626353438E-2</v>
      </c>
      <c r="AA1196" s="27"/>
      <c r="AB1196" s="40"/>
      <c r="AC1196" s="56"/>
      <c r="AE1196" s="20">
        <f t="shared" si="374"/>
        <v>233063.18568614934</v>
      </c>
      <c r="AF1196" s="20">
        <f t="shared" si="375"/>
        <v>2667817975.0500002</v>
      </c>
      <c r="AG1196">
        <f t="shared" si="366"/>
        <v>15480131.797429008</v>
      </c>
      <c r="AH1196">
        <f t="shared" si="367"/>
        <v>16826230.214596748</v>
      </c>
      <c r="AI1196">
        <f t="shared" si="368"/>
        <v>29507376973.32</v>
      </c>
    </row>
    <row r="1197" spans="2:35" x14ac:dyDescent="0.25">
      <c r="B1197" s="4">
        <v>2024</v>
      </c>
      <c r="C1197" s="4" t="s">
        <v>199</v>
      </c>
      <c r="D1197" s="4" t="s">
        <v>635</v>
      </c>
      <c r="E1197" s="4" t="str">
        <f t="shared" si="373"/>
        <v>CMS-MI</v>
      </c>
      <c r="F1197" s="4" t="s">
        <v>135</v>
      </c>
      <c r="G1197" s="4"/>
      <c r="H1197" s="51" t="s">
        <v>642</v>
      </c>
      <c r="I1197" s="4"/>
      <c r="J1197" s="4" t="s">
        <v>32</v>
      </c>
      <c r="K1197" s="5">
        <v>475718.54939787614</v>
      </c>
      <c r="L1197" s="5">
        <v>517085.37978030008</v>
      </c>
      <c r="M1197" s="8">
        <v>593520.99809174135</v>
      </c>
      <c r="N1197" s="46">
        <v>448941.44693148794</v>
      </c>
      <c r="O1197" s="8">
        <f>SUMIFS(EIAwtransport!$J$2:$J$675,EIAwtransport!$E$2:$E$675,Program_data!$E1197,EIAwtransport!$H$2:$H$675,Program_data!$F1197,EIAwtransport!$I$2:$I$675,Program_data!O$2)</f>
        <v>1413576659</v>
      </c>
      <c r="P1197" s="5">
        <f>SUMIFS(EIAwtransport!$J$2:$J$675,EIAwtransport!$E$2:$E$675,Program_data!$E1197,EIAwtransport!$H$2:$H$675,Program_data!$F1197,EIAwtransport!$I$2:$I$675,Program_data!P$2)</f>
        <v>146567226</v>
      </c>
      <c r="Q1197" s="5">
        <f>SUMIFS(EIAwtransport!$J$2:$J$675,EIAwtransport!$E$2:$E$675,Program_data!$E1197,EIAwtransport!$H$2:$H$675,Program_data!$F1197,EIAwtransport!$I$2:$I$675,Program_data!Q$2)</f>
        <v>1670963</v>
      </c>
      <c r="R1197" s="8">
        <f>SUMIFS(EIAwtransport!$J$2:$J$675,EIAwtransport!$E$2:$E$675,Program_data!$E1197,EIAwtransport!$I$2:$I$675,Program_data!R$2)</f>
        <v>1976161463</v>
      </c>
      <c r="S1197" s="5">
        <f>SUMIFS(EIAwtransport!$J$2:$J$675,EIAwtransport!$E$2:$E$675,Program_data!$E1197,EIAwtransport!$I$2:$I$675,Program_data!S$2)</f>
        <v>279743809</v>
      </c>
      <c r="T1197" s="5">
        <f>SUMIFS(EIAwtransport!$J$2:$J$675,EIAwtransport!$E$2:$E$675,Program_data!$E1197,EIAwtransport!$I$2:$I$675,Program_data!T$2)</f>
        <v>1805555</v>
      </c>
      <c r="U1197" s="24">
        <f t="shared" si="376"/>
        <v>1.6414582708212464E-4</v>
      </c>
      <c r="V1197" s="24">
        <f t="shared" si="371"/>
        <v>1.7841937726317892E-4</v>
      </c>
      <c r="W1197" s="24">
        <f t="shared" si="377"/>
        <v>3.0034033615386892E-4</v>
      </c>
      <c r="X1197" s="25">
        <f t="shared" si="378"/>
        <v>2.047933494409414E-4</v>
      </c>
      <c r="Y1197" s="8">
        <f t="shared" si="369"/>
        <v>6.1742042698616217E-2</v>
      </c>
      <c r="Z1197" s="27">
        <f t="shared" si="370"/>
        <v>2.3157389063891864E-2</v>
      </c>
      <c r="AA1197" s="27"/>
      <c r="AB1197" s="27"/>
      <c r="AC1197" s="56">
        <f t="shared" ref="AC1197:AC1213" si="379">IFERROR(K1197/SUMIFS($M$3:$M$1234,$E$3:$E$1234,E1197,$B$3:$B$1234,B1197),"")</f>
        <v>5.5355454082472557E-3</v>
      </c>
      <c r="AE1197" s="20">
        <f t="shared" si="374"/>
        <v>606070.95335750876</v>
      </c>
      <c r="AF1197" s="20">
        <f t="shared" si="375"/>
        <v>2667817975.0500002</v>
      </c>
      <c r="AG1197">
        <f t="shared" si="366"/>
        <v>50178792.590487979</v>
      </c>
      <c r="AH1197">
        <f t="shared" si="367"/>
        <v>54542165.859226055</v>
      </c>
      <c r="AI1197">
        <f t="shared" si="368"/>
        <v>29507376973.32</v>
      </c>
    </row>
    <row r="1198" spans="2:35" x14ac:dyDescent="0.25">
      <c r="B1198" s="4">
        <v>2024</v>
      </c>
      <c r="C1198" s="4" t="s">
        <v>199</v>
      </c>
      <c r="D1198" s="4" t="s">
        <v>635</v>
      </c>
      <c r="E1198" s="4" t="str">
        <f t="shared" si="373"/>
        <v>CMS-MI</v>
      </c>
      <c r="F1198" s="4" t="s">
        <v>135</v>
      </c>
      <c r="G1198" s="4"/>
      <c r="H1198" s="51" t="s">
        <v>642</v>
      </c>
      <c r="I1198" s="4"/>
      <c r="J1198" s="4" t="s">
        <v>32</v>
      </c>
      <c r="K1198" s="5">
        <v>222413.58812681277</v>
      </c>
      <c r="L1198" s="5">
        <v>241753.90013783998</v>
      </c>
      <c r="M1198" s="8">
        <v>548567.62690825853</v>
      </c>
      <c r="N1198" s="46">
        <v>414938.553068512</v>
      </c>
      <c r="O1198" s="8">
        <f>SUMIFS(EIAwtransport!$J$2:$J$675,EIAwtransport!$E$2:$E$675,Program_data!$E1198,EIAwtransport!$H$2:$H$675,Program_data!$F1198,EIAwtransport!$I$2:$I$675,Program_data!O$2)</f>
        <v>1413576659</v>
      </c>
      <c r="P1198" s="5">
        <f>SUMIFS(EIAwtransport!$J$2:$J$675,EIAwtransport!$E$2:$E$675,Program_data!$E1198,EIAwtransport!$H$2:$H$675,Program_data!$F1198,EIAwtransport!$I$2:$I$675,Program_data!P$2)</f>
        <v>146567226</v>
      </c>
      <c r="Q1198" s="5">
        <f>SUMIFS(EIAwtransport!$J$2:$J$675,EIAwtransport!$E$2:$E$675,Program_data!$E1198,EIAwtransport!$H$2:$H$675,Program_data!$F1198,EIAwtransport!$I$2:$I$675,Program_data!Q$2)</f>
        <v>1670963</v>
      </c>
      <c r="R1198" s="8">
        <f>SUMIFS(EIAwtransport!$J$2:$J$675,EIAwtransport!$E$2:$E$675,Program_data!$E1198,EIAwtransport!$I$2:$I$675,Program_data!R$2)</f>
        <v>1976161463</v>
      </c>
      <c r="S1198" s="5">
        <f>SUMIFS(EIAwtransport!$J$2:$J$675,EIAwtransport!$E$2:$E$675,Program_data!$E1198,EIAwtransport!$I$2:$I$675,Program_data!S$2)</f>
        <v>279743809</v>
      </c>
      <c r="T1198" s="5">
        <f>SUMIFS(EIAwtransport!$J$2:$J$675,EIAwtransport!$E$2:$E$675,Program_data!$E1198,EIAwtransport!$I$2:$I$675,Program_data!T$2)</f>
        <v>1805555</v>
      </c>
      <c r="U1198" s="24">
        <f t="shared" si="376"/>
        <v>7.6743407259581805E-5</v>
      </c>
      <c r="V1198" s="24">
        <f t="shared" si="371"/>
        <v>8.3416747021284582E-5</v>
      </c>
      <c r="W1198" s="24">
        <f t="shared" si="377"/>
        <v>2.7759251315197746E-4</v>
      </c>
      <c r="X1198" s="25">
        <f t="shared" si="378"/>
        <v>1.8928226982804398E-4</v>
      </c>
      <c r="Y1198" s="8">
        <f t="shared" si="369"/>
        <v>5.7065690940243677E-2</v>
      </c>
      <c r="Z1198" s="27">
        <f t="shared" si="370"/>
        <v>2.1403444873919757E-2</v>
      </c>
      <c r="AA1198" s="27"/>
      <c r="AB1198" s="27"/>
      <c r="AC1198" s="56">
        <f t="shared" si="379"/>
        <v>2.5880439559178379E-3</v>
      </c>
      <c r="AE1198" s="20">
        <f t="shared" si="374"/>
        <v>560167.04664249124</v>
      </c>
      <c r="AF1198" s="20">
        <f t="shared" si="375"/>
        <v>2667817975.0500002</v>
      </c>
      <c r="AG1198">
        <f t="shared" si="366"/>
        <v>23460185.275616214</v>
      </c>
      <c r="AH1198">
        <f t="shared" si="367"/>
        <v>25500201.386539362</v>
      </c>
      <c r="AI1198">
        <f t="shared" si="368"/>
        <v>29507376973.32</v>
      </c>
    </row>
    <row r="1199" spans="2:35" x14ac:dyDescent="0.25">
      <c r="B1199" s="4">
        <v>2024</v>
      </c>
      <c r="C1199" s="4" t="s">
        <v>199</v>
      </c>
      <c r="D1199" s="4" t="s">
        <v>635</v>
      </c>
      <c r="E1199" s="4" t="str">
        <f t="shared" si="373"/>
        <v>CMS-MI</v>
      </c>
      <c r="F1199" s="4" t="s">
        <v>135</v>
      </c>
      <c r="G1199" s="4"/>
      <c r="H1199" s="51" t="s">
        <v>643</v>
      </c>
      <c r="I1199" s="4"/>
      <c r="J1199" s="4" t="s">
        <v>21</v>
      </c>
      <c r="K1199" s="5">
        <v>867918.60294308339</v>
      </c>
      <c r="L1199" s="5">
        <v>943389.78580769931</v>
      </c>
      <c r="M1199" s="8">
        <v>3206043.8249215866</v>
      </c>
      <c r="N1199" s="46">
        <v>1406578.2649801031</v>
      </c>
      <c r="O1199" s="8">
        <f>SUMIFS(EIAwtransport!$J$2:$J$675,EIAwtransport!$E$2:$E$675,Program_data!$E1199,EIAwtransport!$H$2:$H$675,Program_data!$F1199,EIAwtransport!$I$2:$I$675,Program_data!O$2)</f>
        <v>1413576659</v>
      </c>
      <c r="P1199" s="5">
        <f>SUMIFS(EIAwtransport!$J$2:$J$675,EIAwtransport!$E$2:$E$675,Program_data!$E1199,EIAwtransport!$H$2:$H$675,Program_data!$F1199,EIAwtransport!$I$2:$I$675,Program_data!P$2)</f>
        <v>146567226</v>
      </c>
      <c r="Q1199" s="5">
        <f>SUMIFS(EIAwtransport!$J$2:$J$675,EIAwtransport!$E$2:$E$675,Program_data!$E1199,EIAwtransport!$H$2:$H$675,Program_data!$F1199,EIAwtransport!$I$2:$I$675,Program_data!Q$2)</f>
        <v>1670963</v>
      </c>
      <c r="R1199" s="8">
        <f>SUMIFS(EIAwtransport!$J$2:$J$675,EIAwtransport!$E$2:$E$675,Program_data!$E1199,EIAwtransport!$I$2:$I$675,Program_data!R$2)</f>
        <v>1976161463</v>
      </c>
      <c r="S1199" s="5">
        <f>SUMIFS(EIAwtransport!$J$2:$J$675,EIAwtransport!$E$2:$E$675,Program_data!$E1199,EIAwtransport!$I$2:$I$675,Program_data!S$2)</f>
        <v>279743809</v>
      </c>
      <c r="T1199" s="5">
        <f>SUMIFS(EIAwtransport!$J$2:$J$675,EIAwtransport!$E$2:$E$675,Program_data!$E1199,EIAwtransport!$I$2:$I$675,Program_data!T$2)</f>
        <v>1805555</v>
      </c>
      <c r="U1199" s="24">
        <f t="shared" si="376"/>
        <v>2.9947374787124618E-4</v>
      </c>
      <c r="V1199" s="24">
        <f t="shared" si="371"/>
        <v>3.2551494333831106E-4</v>
      </c>
      <c r="W1199" s="24">
        <f t="shared" si="377"/>
        <v>1.6223592479404536E-3</v>
      </c>
      <c r="X1199" s="25">
        <f t="shared" si="378"/>
        <v>1.1062396367965586E-3</v>
      </c>
      <c r="Y1199" s="8">
        <f t="shared" si="369"/>
        <v>0.33351422336930769</v>
      </c>
      <c r="Z1199" s="27">
        <f t="shared" si="370"/>
        <v>0.12509010540200172</v>
      </c>
      <c r="AA1199" s="27"/>
      <c r="AB1199" s="27"/>
      <c r="AC1199" s="56">
        <f t="shared" si="379"/>
        <v>1.0099254786963763E-2</v>
      </c>
      <c r="AE1199" s="20">
        <f t="shared" si="374"/>
        <v>1898880.6577231393</v>
      </c>
      <c r="AF1199" s="20">
        <f t="shared" si="375"/>
        <v>2667817975.0500002</v>
      </c>
      <c r="AG1199">
        <f t="shared" si="366"/>
        <v>91548054.238436446</v>
      </c>
      <c r="AH1199">
        <f t="shared" si="367"/>
        <v>99508754.606996134</v>
      </c>
      <c r="AI1199">
        <f t="shared" si="368"/>
        <v>29507376973.32</v>
      </c>
    </row>
    <row r="1200" spans="2:35" x14ac:dyDescent="0.25">
      <c r="B1200" s="4">
        <v>2024</v>
      </c>
      <c r="C1200" s="4" t="s">
        <v>199</v>
      </c>
      <c r="D1200" s="4" t="s">
        <v>635</v>
      </c>
      <c r="E1200" s="4" t="str">
        <f t="shared" si="373"/>
        <v>CMS-MI</v>
      </c>
      <c r="F1200" s="4" t="s">
        <v>135</v>
      </c>
      <c r="G1200" s="4"/>
      <c r="H1200" s="51" t="s">
        <v>643</v>
      </c>
      <c r="I1200" s="4"/>
      <c r="J1200" t="s">
        <v>42</v>
      </c>
      <c r="K1200" s="5">
        <v>441781.38828743994</v>
      </c>
      <c r="L1200" s="5">
        <v>480197.16118199995</v>
      </c>
      <c r="M1200" s="8">
        <v>289052.11620136531</v>
      </c>
      <c r="N1200" s="46">
        <v>126814.99265072822</v>
      </c>
      <c r="O1200" s="8">
        <f>SUMIFS(EIAwtransport!$J$2:$J$675,EIAwtransport!$E$2:$E$675,Program_data!$E1200,EIAwtransport!$H$2:$H$675,Program_data!$F1200,EIAwtransport!$I$2:$I$675,Program_data!O$2)</f>
        <v>1413576659</v>
      </c>
      <c r="P1200" s="5">
        <f>SUMIFS(EIAwtransport!$J$2:$J$675,EIAwtransport!$E$2:$E$675,Program_data!$E1200,EIAwtransport!$H$2:$H$675,Program_data!$F1200,EIAwtransport!$I$2:$I$675,Program_data!P$2)</f>
        <v>146567226</v>
      </c>
      <c r="Q1200" s="5">
        <f>SUMIFS(EIAwtransport!$J$2:$J$675,EIAwtransport!$E$2:$E$675,Program_data!$E1200,EIAwtransport!$H$2:$H$675,Program_data!$F1200,EIAwtransport!$I$2:$I$675,Program_data!Q$2)</f>
        <v>1670963</v>
      </c>
      <c r="R1200" s="8">
        <f>SUMIFS(EIAwtransport!$J$2:$J$675,EIAwtransport!$E$2:$E$675,Program_data!$E1200,EIAwtransport!$I$2:$I$675,Program_data!R$2)</f>
        <v>1976161463</v>
      </c>
      <c r="S1200" s="5">
        <f>SUMIFS(EIAwtransport!$J$2:$J$675,EIAwtransport!$E$2:$E$675,Program_data!$E1200,EIAwtransport!$I$2:$I$675,Program_data!S$2)</f>
        <v>279743809</v>
      </c>
      <c r="T1200" s="5">
        <f>SUMIFS(EIAwtransport!$J$2:$J$675,EIAwtransport!$E$2:$E$675,Program_data!$E1200,EIAwtransport!$I$2:$I$675,Program_data!T$2)</f>
        <v>1805555</v>
      </c>
      <c r="U1200" s="24">
        <f t="shared" si="376"/>
        <v>1.5243587087725787E-4</v>
      </c>
      <c r="V1200" s="24">
        <f t="shared" si="371"/>
        <v>1.6569116399701942E-4</v>
      </c>
      <c r="W1200" s="24">
        <f t="shared" si="377"/>
        <v>1.4626948334604039E-4</v>
      </c>
      <c r="X1200" s="25">
        <f t="shared" si="378"/>
        <v>9.9736911128997345E-5</v>
      </c>
      <c r="Y1200" s="8">
        <f t="shared" si="369"/>
        <v>3.0069143565282067E-2</v>
      </c>
      <c r="Z1200" s="27">
        <f t="shared" si="370"/>
        <v>1.1277936814598839E-2</v>
      </c>
      <c r="AA1200" s="27"/>
      <c r="AB1200" s="27"/>
      <c r="AC1200" s="56">
        <f t="shared" si="379"/>
        <v>5.1406465828985268E-3</v>
      </c>
      <c r="AE1200" s="20">
        <f t="shared" si="374"/>
        <v>171200.2400784831</v>
      </c>
      <c r="AF1200" s="20">
        <f t="shared" si="375"/>
        <v>2667817975.0500002</v>
      </c>
      <c r="AG1200">
        <f t="shared" si="366"/>
        <v>46599100.836559169</v>
      </c>
      <c r="AH1200">
        <f t="shared" si="367"/>
        <v>50651196.561477356</v>
      </c>
      <c r="AI1200">
        <f t="shared" si="368"/>
        <v>29507376973.32</v>
      </c>
    </row>
    <row r="1201" spans="2:35" x14ac:dyDescent="0.25">
      <c r="B1201" s="4">
        <v>2024</v>
      </c>
      <c r="C1201" s="4" t="s">
        <v>199</v>
      </c>
      <c r="D1201" s="4" t="s">
        <v>635</v>
      </c>
      <c r="E1201" s="4" t="str">
        <f t="shared" si="373"/>
        <v>CMS-MI</v>
      </c>
      <c r="F1201" s="4" t="s">
        <v>135</v>
      </c>
      <c r="G1201" s="4"/>
      <c r="H1201" s="51" t="s">
        <v>643</v>
      </c>
      <c r="I1201" s="4"/>
      <c r="J1201" t="s">
        <v>27</v>
      </c>
      <c r="K1201" s="5">
        <v>33762.790045991984</v>
      </c>
      <c r="L1201" s="5">
        <v>36698.684832599982</v>
      </c>
      <c r="M1201" s="8">
        <v>104813.03487704828</v>
      </c>
      <c r="N1201" s="46">
        <v>45984.317369168653</v>
      </c>
      <c r="O1201" s="8">
        <f>SUMIFS(EIAwtransport!$J$2:$J$675,EIAwtransport!$E$2:$E$675,Program_data!$E1201,EIAwtransport!$H$2:$H$675,Program_data!$F1201,EIAwtransport!$I$2:$I$675,Program_data!O$2)</f>
        <v>1413576659</v>
      </c>
      <c r="P1201" s="5">
        <f>SUMIFS(EIAwtransport!$J$2:$J$675,EIAwtransport!$E$2:$E$675,Program_data!$E1201,EIAwtransport!$H$2:$H$675,Program_data!$F1201,EIAwtransport!$I$2:$I$675,Program_data!P$2)</f>
        <v>146567226</v>
      </c>
      <c r="Q1201" s="5">
        <f>SUMIFS(EIAwtransport!$J$2:$J$675,EIAwtransport!$E$2:$E$675,Program_data!$E1201,EIAwtransport!$H$2:$H$675,Program_data!$F1201,EIAwtransport!$I$2:$I$675,Program_data!Q$2)</f>
        <v>1670963</v>
      </c>
      <c r="R1201" s="8">
        <f>SUMIFS(EIAwtransport!$J$2:$J$675,EIAwtransport!$E$2:$E$675,Program_data!$E1201,EIAwtransport!$I$2:$I$675,Program_data!R$2)</f>
        <v>1976161463</v>
      </c>
      <c r="S1201" s="5">
        <f>SUMIFS(EIAwtransport!$J$2:$J$675,EIAwtransport!$E$2:$E$675,Program_data!$E1201,EIAwtransport!$I$2:$I$675,Program_data!S$2)</f>
        <v>279743809</v>
      </c>
      <c r="T1201" s="5">
        <f>SUMIFS(EIAwtransport!$J$2:$J$675,EIAwtransport!$E$2:$E$675,Program_data!$E1201,EIAwtransport!$I$2:$I$675,Program_data!T$2)</f>
        <v>1805555</v>
      </c>
      <c r="U1201" s="24">
        <f t="shared" si="376"/>
        <v>1.1649789783715801E-5</v>
      </c>
      <c r="V1201" s="24">
        <f t="shared" si="371"/>
        <v>1.2662814982299786E-5</v>
      </c>
      <c r="W1201" s="24">
        <f t="shared" si="377"/>
        <v>5.3038699944048186E-5</v>
      </c>
      <c r="X1201" s="25">
        <f t="shared" si="378"/>
        <v>3.6165548559451386E-5</v>
      </c>
      <c r="Y1201" s="8">
        <f t="shared" si="369"/>
        <v>1.090335623433154E-2</v>
      </c>
      <c r="Z1201" s="27">
        <f t="shared" si="370"/>
        <v>4.0894866995757062E-3</v>
      </c>
      <c r="AA1201" s="27"/>
      <c r="AB1201" s="27"/>
      <c r="AC1201" s="56">
        <f t="shared" si="379"/>
        <v>3.9286981271859875E-4</v>
      </c>
      <c r="AE1201" s="20">
        <f t="shared" si="374"/>
        <v>62078.828448377688</v>
      </c>
      <c r="AF1201" s="20">
        <f t="shared" si="375"/>
        <v>2667817975.0500002</v>
      </c>
      <c r="AG1201">
        <f t="shared" si="366"/>
        <v>3561299.0940512344</v>
      </c>
      <c r="AH1201">
        <f t="shared" si="367"/>
        <v>3870977.2761426461</v>
      </c>
      <c r="AI1201">
        <f t="shared" si="368"/>
        <v>29507376973.32</v>
      </c>
    </row>
    <row r="1202" spans="2:35" x14ac:dyDescent="0.25">
      <c r="B1202" s="4">
        <v>2024</v>
      </c>
      <c r="C1202" s="4" t="s">
        <v>199</v>
      </c>
      <c r="D1202" s="4" t="s">
        <v>635</v>
      </c>
      <c r="E1202" s="4" t="str">
        <f t="shared" si="373"/>
        <v>CMS-MI</v>
      </c>
      <c r="F1202" s="4" t="s">
        <v>135</v>
      </c>
      <c r="G1202" s="4"/>
      <c r="H1202" s="51" t="s">
        <v>644</v>
      </c>
      <c r="I1202" s="4"/>
      <c r="J1202" s="4" t="s">
        <v>21</v>
      </c>
      <c r="K1202" s="5">
        <v>0</v>
      </c>
      <c r="L1202" s="5">
        <v>0</v>
      </c>
      <c r="M1202" s="8">
        <v>292033.68207225023</v>
      </c>
      <c r="N1202" s="46">
        <v>0</v>
      </c>
      <c r="O1202" s="8">
        <f>SUMIFS(EIAwtransport!$J$2:$J$675,EIAwtransport!$E$2:$E$675,Program_data!$E1202,EIAwtransport!$H$2:$H$675,Program_data!$F1202,EIAwtransport!$I$2:$I$675,Program_data!O$2)</f>
        <v>1413576659</v>
      </c>
      <c r="P1202" s="5">
        <f>SUMIFS(EIAwtransport!$J$2:$J$675,EIAwtransport!$E$2:$E$675,Program_data!$E1202,EIAwtransport!$H$2:$H$675,Program_data!$F1202,EIAwtransport!$I$2:$I$675,Program_data!P$2)</f>
        <v>146567226</v>
      </c>
      <c r="Q1202" s="5">
        <f>SUMIFS(EIAwtransport!$J$2:$J$675,EIAwtransport!$E$2:$E$675,Program_data!$E1202,EIAwtransport!$H$2:$H$675,Program_data!$F1202,EIAwtransport!$I$2:$I$675,Program_data!Q$2)</f>
        <v>1670963</v>
      </c>
      <c r="R1202" s="8">
        <f>SUMIFS(EIAwtransport!$J$2:$J$675,EIAwtransport!$E$2:$E$675,Program_data!$E1202,EIAwtransport!$I$2:$I$675,Program_data!R$2)</f>
        <v>1976161463</v>
      </c>
      <c r="S1202" s="5">
        <f>SUMIFS(EIAwtransport!$J$2:$J$675,EIAwtransport!$E$2:$E$675,Program_data!$E1202,EIAwtransport!$I$2:$I$675,Program_data!S$2)</f>
        <v>279743809</v>
      </c>
      <c r="T1202" s="5">
        <f>SUMIFS(EIAwtransport!$J$2:$J$675,EIAwtransport!$E$2:$E$675,Program_data!$E1202,EIAwtransport!$I$2:$I$675,Program_data!T$2)</f>
        <v>1805555</v>
      </c>
      <c r="U1202" s="24">
        <f t="shared" si="376"/>
        <v>0</v>
      </c>
      <c r="V1202" s="24">
        <f t="shared" si="371"/>
        <v>0</v>
      </c>
      <c r="W1202" s="24">
        <f t="shared" si="377"/>
        <v>1.4777824967243086E-4</v>
      </c>
      <c r="X1202" s="25">
        <f t="shared" si="378"/>
        <v>1.0076569505280207E-4</v>
      </c>
      <c r="Y1202" s="8">
        <f t="shared" si="369"/>
        <v>3.0379306083374576E-2</v>
      </c>
      <c r="Z1202" s="27">
        <f t="shared" si="370"/>
        <v>1.1394268471126063E-2</v>
      </c>
      <c r="AA1202" s="27"/>
      <c r="AB1202" s="27"/>
      <c r="AC1202" s="56">
        <f t="shared" si="379"/>
        <v>0</v>
      </c>
      <c r="AE1202" s="20">
        <f t="shared" si="374"/>
        <v>0</v>
      </c>
      <c r="AF1202" s="20">
        <f t="shared" si="375"/>
        <v>2667817975.0500002</v>
      </c>
      <c r="AG1202">
        <f t="shared" si="366"/>
        <v>0</v>
      </c>
      <c r="AH1202">
        <f t="shared" si="367"/>
        <v>0</v>
      </c>
      <c r="AI1202">
        <f t="shared" si="368"/>
        <v>29507376973.32</v>
      </c>
    </row>
    <row r="1203" spans="2:35" x14ac:dyDescent="0.25">
      <c r="B1203" s="4">
        <v>2024</v>
      </c>
      <c r="C1203" s="4" t="s">
        <v>199</v>
      </c>
      <c r="D1203" s="4" t="s">
        <v>635</v>
      </c>
      <c r="E1203" s="4" t="str">
        <f t="shared" si="373"/>
        <v>CMS-MI</v>
      </c>
      <c r="F1203" s="4" t="s">
        <v>135</v>
      </c>
      <c r="G1203" s="4"/>
      <c r="H1203" s="51" t="s">
        <v>644</v>
      </c>
      <c r="I1203" s="4"/>
      <c r="J1203" t="s">
        <v>42</v>
      </c>
      <c r="K1203" s="5">
        <v>1096452.8779358712</v>
      </c>
      <c r="L1203" s="5">
        <v>1191796.6064520339</v>
      </c>
      <c r="M1203" s="8">
        <v>634797.2289509254</v>
      </c>
      <c r="N1203" s="46">
        <v>0</v>
      </c>
      <c r="O1203" s="8">
        <f>SUMIFS(EIAwtransport!$J$2:$J$675,EIAwtransport!$E$2:$E$675,Program_data!$E1203,EIAwtransport!$H$2:$H$675,Program_data!$F1203,EIAwtransport!$I$2:$I$675,Program_data!O$2)</f>
        <v>1413576659</v>
      </c>
      <c r="P1203" s="5">
        <f>SUMIFS(EIAwtransport!$J$2:$J$675,EIAwtransport!$E$2:$E$675,Program_data!$E1203,EIAwtransport!$H$2:$H$675,Program_data!$F1203,EIAwtransport!$I$2:$I$675,Program_data!P$2)</f>
        <v>146567226</v>
      </c>
      <c r="Q1203" s="5">
        <f>SUMIFS(EIAwtransport!$J$2:$J$675,EIAwtransport!$E$2:$E$675,Program_data!$E1203,EIAwtransport!$H$2:$H$675,Program_data!$F1203,EIAwtransport!$I$2:$I$675,Program_data!Q$2)</f>
        <v>1670963</v>
      </c>
      <c r="R1203" s="8">
        <f>SUMIFS(EIAwtransport!$J$2:$J$675,EIAwtransport!$E$2:$E$675,Program_data!$E1203,EIAwtransport!$I$2:$I$675,Program_data!R$2)</f>
        <v>1976161463</v>
      </c>
      <c r="S1203" s="5">
        <f>SUMIFS(EIAwtransport!$J$2:$J$675,EIAwtransport!$E$2:$E$675,Program_data!$E1203,EIAwtransport!$I$2:$I$675,Program_data!S$2)</f>
        <v>279743809</v>
      </c>
      <c r="T1203" s="5">
        <f>SUMIFS(EIAwtransport!$J$2:$J$675,EIAwtransport!$E$2:$E$675,Program_data!$E1203,EIAwtransport!$I$2:$I$675,Program_data!T$2)</f>
        <v>1805555</v>
      </c>
      <c r="U1203" s="24">
        <f t="shared" si="376"/>
        <v>3.7832908708975165E-4</v>
      </c>
      <c r="V1203" s="24">
        <f t="shared" si="371"/>
        <v>4.1122726857581698E-4</v>
      </c>
      <c r="W1203" s="24">
        <f t="shared" si="377"/>
        <v>3.212274102275242E-4</v>
      </c>
      <c r="X1203" s="25">
        <f t="shared" si="378"/>
        <v>2.1903563841997974E-4</v>
      </c>
      <c r="Y1203" s="8">
        <f t="shared" si="369"/>
        <v>6.6035873609973053E-2</v>
      </c>
      <c r="Z1203" s="27">
        <f t="shared" si="370"/>
        <v>2.4767862391997093E-2</v>
      </c>
      <c r="AA1203" s="27"/>
      <c r="AB1203" s="27"/>
      <c r="AC1203" s="56">
        <f t="shared" si="379"/>
        <v>1.2758520140742063E-2</v>
      </c>
      <c r="AE1203" s="20">
        <f t="shared" si="374"/>
        <v>0</v>
      </c>
      <c r="AF1203" s="20">
        <f t="shared" si="375"/>
        <v>2667817975.0500002</v>
      </c>
      <c r="AG1203">
        <f t="shared" si="366"/>
        <v>115653849.5646757</v>
      </c>
      <c r="AH1203">
        <f t="shared" si="367"/>
        <v>125710706.04856053</v>
      </c>
      <c r="AI1203">
        <f t="shared" si="368"/>
        <v>29507376973.32</v>
      </c>
    </row>
    <row r="1204" spans="2:35" x14ac:dyDescent="0.25">
      <c r="B1204" s="4">
        <v>2024</v>
      </c>
      <c r="C1204" s="4" t="s">
        <v>199</v>
      </c>
      <c r="D1204" s="4" t="s">
        <v>635</v>
      </c>
      <c r="E1204" s="4" t="str">
        <f t="shared" si="373"/>
        <v>CMS-MI</v>
      </c>
      <c r="F1204" s="4" t="s">
        <v>135</v>
      </c>
      <c r="G1204" s="4"/>
      <c r="H1204" s="51" t="s">
        <v>644</v>
      </c>
      <c r="I1204" s="4"/>
      <c r="J1204" t="s">
        <v>27</v>
      </c>
      <c r="K1204" s="5">
        <v>268948.44329903042</v>
      </c>
      <c r="L1204" s="5">
        <v>292335.26445546781</v>
      </c>
      <c r="M1204" s="8">
        <v>146301.41266432445</v>
      </c>
      <c r="N1204" s="46">
        <v>0</v>
      </c>
      <c r="O1204" s="8">
        <f>SUMIFS(EIAwtransport!$J$2:$J$675,EIAwtransport!$E$2:$E$675,Program_data!$E1204,EIAwtransport!$H$2:$H$675,Program_data!$F1204,EIAwtransport!$I$2:$I$675,Program_data!O$2)</f>
        <v>1413576659</v>
      </c>
      <c r="P1204" s="5">
        <f>SUMIFS(EIAwtransport!$J$2:$J$675,EIAwtransport!$E$2:$E$675,Program_data!$E1204,EIAwtransport!$H$2:$H$675,Program_data!$F1204,EIAwtransport!$I$2:$I$675,Program_data!P$2)</f>
        <v>146567226</v>
      </c>
      <c r="Q1204" s="5">
        <f>SUMIFS(EIAwtransport!$J$2:$J$675,EIAwtransport!$E$2:$E$675,Program_data!$E1204,EIAwtransport!$H$2:$H$675,Program_data!$F1204,EIAwtransport!$I$2:$I$675,Program_data!Q$2)</f>
        <v>1670963</v>
      </c>
      <c r="R1204" s="8">
        <f>SUMIFS(EIAwtransport!$J$2:$J$675,EIAwtransport!$E$2:$E$675,Program_data!$E1204,EIAwtransport!$I$2:$I$675,Program_data!R$2)</f>
        <v>1976161463</v>
      </c>
      <c r="S1204" s="5">
        <f>SUMIFS(EIAwtransport!$J$2:$J$675,EIAwtransport!$E$2:$E$675,Program_data!$E1204,EIAwtransport!$I$2:$I$675,Program_data!S$2)</f>
        <v>279743809</v>
      </c>
      <c r="T1204" s="5">
        <f>SUMIFS(EIAwtransport!$J$2:$J$675,EIAwtransport!$E$2:$E$675,Program_data!$E1204,EIAwtransport!$I$2:$I$675,Program_data!T$2)</f>
        <v>1805555</v>
      </c>
      <c r="U1204" s="24">
        <f t="shared" si="376"/>
        <v>9.2800175069158937E-5</v>
      </c>
      <c r="V1204" s="24">
        <f t="shared" si="371"/>
        <v>1.0086975550995536E-4</v>
      </c>
      <c r="W1204" s="24">
        <f t="shared" si="377"/>
        <v>7.403312705138226E-5</v>
      </c>
      <c r="X1204" s="25">
        <f t="shared" si="378"/>
        <v>5.0481038453229533E-5</v>
      </c>
      <c r="Y1204" s="8">
        <f t="shared" si="369"/>
        <v>1.5219256094781598E-2</v>
      </c>
      <c r="Z1204" s="27">
        <f t="shared" si="370"/>
        <v>5.7082373573261111E-3</v>
      </c>
      <c r="AA1204" s="27"/>
      <c r="AB1204" s="27"/>
      <c r="AC1204" s="56">
        <f t="shared" si="379"/>
        <v>3.1295317835378944E-3</v>
      </c>
      <c r="AE1204" s="20">
        <f t="shared" si="374"/>
        <v>0</v>
      </c>
      <c r="AF1204" s="20">
        <f t="shared" si="375"/>
        <v>2667817975.0500002</v>
      </c>
      <c r="AG1204">
        <f t="shared" si="366"/>
        <v>28368681.79918173</v>
      </c>
      <c r="AH1204">
        <f t="shared" si="367"/>
        <v>30835523.694762748</v>
      </c>
      <c r="AI1204">
        <f t="shared" si="368"/>
        <v>29507376973.32</v>
      </c>
    </row>
    <row r="1205" spans="2:35" x14ac:dyDescent="0.25">
      <c r="B1205" s="4">
        <v>2024</v>
      </c>
      <c r="C1205" s="4" t="s">
        <v>199</v>
      </c>
      <c r="D1205" s="4" t="s">
        <v>635</v>
      </c>
      <c r="E1205" s="4" t="str">
        <f t="shared" si="373"/>
        <v>CMS-MI</v>
      </c>
      <c r="F1205" s="4" t="s">
        <v>143</v>
      </c>
      <c r="G1205" s="4">
        <v>1</v>
      </c>
      <c r="H1205" s="51" t="s">
        <v>645</v>
      </c>
      <c r="I1205" s="4"/>
      <c r="J1205" s="4" t="s">
        <v>157</v>
      </c>
      <c r="K1205" s="5">
        <v>0</v>
      </c>
      <c r="L1205" s="5">
        <v>0</v>
      </c>
      <c r="M1205" s="8">
        <v>0</v>
      </c>
      <c r="N1205" s="46">
        <v>0</v>
      </c>
      <c r="O1205" s="8">
        <f>SUMIFS(EIAwtransport!$J$2:$J$675,EIAwtransport!$E$2:$E$675,Program_data!$E1205,EIAwtransport!$H$2:$H$675,Program_data!$F1205,EIAwtransport!$I$2:$I$675,Program_data!O$2)</f>
        <v>0</v>
      </c>
      <c r="P1205" s="5">
        <f>SUMIFS(EIAwtransport!$J$2:$J$675,EIAwtransport!$E$2:$E$675,Program_data!$E1205,EIAwtransport!$H$2:$H$675,Program_data!$F1205,EIAwtransport!$I$2:$I$675,Program_data!P$2)</f>
        <v>0</v>
      </c>
      <c r="Q1205" s="5">
        <f>SUMIFS(EIAwtransport!$J$2:$J$675,EIAwtransport!$E$2:$E$675,Program_data!$E1205,EIAwtransport!$H$2:$H$675,Program_data!$F1205,EIAwtransport!$I$2:$I$675,Program_data!Q$2)</f>
        <v>0</v>
      </c>
      <c r="R1205" s="8">
        <f>SUMIFS(EIAwtransport!$J$2:$J$675,EIAwtransport!$E$2:$E$675,Program_data!$E1205,EIAwtransport!$I$2:$I$675,Program_data!R$2)</f>
        <v>1976161463</v>
      </c>
      <c r="S1205" s="5">
        <f>SUMIFS(EIAwtransport!$J$2:$J$675,EIAwtransport!$E$2:$E$675,Program_data!$E1205,EIAwtransport!$I$2:$I$675,Program_data!S$2)</f>
        <v>279743809</v>
      </c>
      <c r="T1205" s="5">
        <f>SUMIFS(EIAwtransport!$J$2:$J$675,EIAwtransport!$E$2:$E$675,Program_data!$E1205,EIAwtransport!$I$2:$I$675,Program_data!T$2)</f>
        <v>1805555</v>
      </c>
      <c r="U1205" s="24">
        <f t="shared" si="376"/>
        <v>0</v>
      </c>
      <c r="V1205" s="24">
        <f t="shared" si="371"/>
        <v>0</v>
      </c>
      <c r="W1205" s="24">
        <f t="shared" si="377"/>
        <v>0</v>
      </c>
      <c r="X1205" s="25">
        <f t="shared" si="378"/>
        <v>0</v>
      </c>
      <c r="Y1205" s="8">
        <f t="shared" si="369"/>
        <v>0</v>
      </c>
      <c r="Z1205" s="27">
        <f t="shared" si="370"/>
        <v>0</v>
      </c>
      <c r="AA1205" s="27"/>
      <c r="AB1205" s="27"/>
      <c r="AC1205" s="56">
        <f t="shared" si="379"/>
        <v>0</v>
      </c>
      <c r="AE1205" s="20">
        <f t="shared" si="374"/>
        <v>0</v>
      </c>
      <c r="AF1205" s="20">
        <f t="shared" si="375"/>
        <v>2667817975.0500002</v>
      </c>
      <c r="AG1205">
        <f t="shared" si="366"/>
        <v>0</v>
      </c>
      <c r="AH1205">
        <f t="shared" si="367"/>
        <v>0</v>
      </c>
      <c r="AI1205">
        <f t="shared" si="368"/>
        <v>29507376973.32</v>
      </c>
    </row>
    <row r="1206" spans="2:35" x14ac:dyDescent="0.25">
      <c r="B1206" s="4">
        <v>2024</v>
      </c>
      <c r="C1206" s="4" t="s">
        <v>199</v>
      </c>
      <c r="D1206" s="4" t="s">
        <v>635</v>
      </c>
      <c r="E1206" s="4" t="str">
        <f t="shared" si="373"/>
        <v>CMS-MI</v>
      </c>
      <c r="F1206" s="4" t="s">
        <v>143</v>
      </c>
      <c r="G1206" s="4">
        <v>1</v>
      </c>
      <c r="H1206" s="51" t="s">
        <v>645</v>
      </c>
      <c r="I1206" s="4"/>
      <c r="J1206" s="4" t="s">
        <v>21</v>
      </c>
      <c r="K1206" s="5">
        <v>232528.51948127008</v>
      </c>
      <c r="L1206" s="5">
        <v>232528.51948127008</v>
      </c>
      <c r="M1206" s="8">
        <v>8399002.2552273348</v>
      </c>
      <c r="N1206" s="46">
        <v>8399002.2552273348</v>
      </c>
      <c r="O1206" s="8">
        <f>SUMIFS(EIAwtransport!$J$2:$J$675,EIAwtransport!$E$2:$E$675,Program_data!$E1206,EIAwtransport!$H$2:$H$675,Program_data!$F1206,EIAwtransport!$I$2:$I$675,Program_data!O$2)</f>
        <v>0</v>
      </c>
      <c r="P1206" s="5">
        <f>SUMIFS(EIAwtransport!$J$2:$J$675,EIAwtransport!$E$2:$E$675,Program_data!$E1206,EIAwtransport!$H$2:$H$675,Program_data!$F1206,EIAwtransport!$I$2:$I$675,Program_data!P$2)</f>
        <v>0</v>
      </c>
      <c r="Q1206" s="5">
        <f>SUMIFS(EIAwtransport!$J$2:$J$675,EIAwtransport!$E$2:$E$675,Program_data!$E1206,EIAwtransport!$H$2:$H$675,Program_data!$F1206,EIAwtransport!$I$2:$I$675,Program_data!Q$2)</f>
        <v>0</v>
      </c>
      <c r="R1206" s="8">
        <f>SUMIFS(EIAwtransport!$J$2:$J$675,EIAwtransport!$E$2:$E$675,Program_data!$E1206,EIAwtransport!$I$2:$I$675,Program_data!R$2)</f>
        <v>1976161463</v>
      </c>
      <c r="S1206" s="5">
        <f>SUMIFS(EIAwtransport!$J$2:$J$675,EIAwtransport!$E$2:$E$675,Program_data!$E1206,EIAwtransport!$I$2:$I$675,Program_data!S$2)</f>
        <v>279743809</v>
      </c>
      <c r="T1206" s="5">
        <f>SUMIFS(EIAwtransport!$J$2:$J$675,EIAwtransport!$E$2:$E$675,Program_data!$E1206,EIAwtransport!$I$2:$I$675,Program_data!T$2)</f>
        <v>1805555</v>
      </c>
      <c r="U1206" s="24">
        <f t="shared" si="376"/>
        <v>8.0233546072032593E-5</v>
      </c>
      <c r="V1206" s="24">
        <f t="shared" si="371"/>
        <v>8.0233546072032593E-5</v>
      </c>
      <c r="W1206" s="24">
        <f t="shared" si="377"/>
        <v>4.2501599249268095E-3</v>
      </c>
      <c r="X1206" s="25">
        <f t="shared" si="378"/>
        <v>2.8980605729877723E-3</v>
      </c>
      <c r="Y1206" s="8">
        <f t="shared" si="369"/>
        <v>3.0762307472428398</v>
      </c>
      <c r="Z1206" s="27">
        <f t="shared" si="370"/>
        <v>0.32770359195066018</v>
      </c>
      <c r="AA1206" s="27"/>
      <c r="AB1206" s="27"/>
      <c r="AC1206" s="56">
        <f t="shared" si="379"/>
        <v>2.7057430910152015E-3</v>
      </c>
      <c r="AE1206" s="20">
        <f t="shared" si="374"/>
        <v>11338653.044556903</v>
      </c>
      <c r="AF1206" s="20">
        <f t="shared" si="375"/>
        <v>2667817975.0500002</v>
      </c>
      <c r="AG1206">
        <f t="shared" si="366"/>
        <v>24527108.23488437</v>
      </c>
      <c r="AH1206">
        <f t="shared" si="367"/>
        <v>24527108.23488437</v>
      </c>
      <c r="AI1206">
        <f t="shared" si="368"/>
        <v>29507376973.32</v>
      </c>
    </row>
    <row r="1207" spans="2:35" x14ac:dyDescent="0.25">
      <c r="B1207" s="4">
        <v>2024</v>
      </c>
      <c r="C1207" s="4" t="s">
        <v>199</v>
      </c>
      <c r="D1207" s="4" t="s">
        <v>635</v>
      </c>
      <c r="E1207" s="4" t="str">
        <f t="shared" si="373"/>
        <v>CMS-MI</v>
      </c>
      <c r="F1207" s="4" t="s">
        <v>143</v>
      </c>
      <c r="G1207" s="4">
        <v>1</v>
      </c>
      <c r="H1207" s="51" t="s">
        <v>645</v>
      </c>
      <c r="I1207" s="4"/>
      <c r="J1207" t="s">
        <v>55</v>
      </c>
      <c r="K1207" s="5">
        <v>7622.4452390376937</v>
      </c>
      <c r="L1207" s="5">
        <v>7622.4452390376937</v>
      </c>
      <c r="M1207" s="8">
        <v>212698.24403118747</v>
      </c>
      <c r="N1207" s="46">
        <v>212698.24403118747</v>
      </c>
      <c r="O1207" s="8">
        <f>SUMIFS(EIAwtransport!$J$2:$J$675,EIAwtransport!$E$2:$E$675,Program_data!$E1207,EIAwtransport!$H$2:$H$675,Program_data!$F1207,EIAwtransport!$I$2:$I$675,Program_data!O$2)</f>
        <v>0</v>
      </c>
      <c r="P1207" s="5">
        <f>SUMIFS(EIAwtransport!$J$2:$J$675,EIAwtransport!$E$2:$E$675,Program_data!$E1207,EIAwtransport!$H$2:$H$675,Program_data!$F1207,EIAwtransport!$I$2:$I$675,Program_data!P$2)</f>
        <v>0</v>
      </c>
      <c r="Q1207" s="5">
        <f>SUMIFS(EIAwtransport!$J$2:$J$675,EIAwtransport!$E$2:$E$675,Program_data!$E1207,EIAwtransport!$H$2:$H$675,Program_data!$F1207,EIAwtransport!$I$2:$I$675,Program_data!Q$2)</f>
        <v>0</v>
      </c>
      <c r="R1207" s="8">
        <f>SUMIFS(EIAwtransport!$J$2:$J$675,EIAwtransport!$E$2:$E$675,Program_data!$E1207,EIAwtransport!$I$2:$I$675,Program_data!R$2)</f>
        <v>1976161463</v>
      </c>
      <c r="S1207" s="5">
        <f>SUMIFS(EIAwtransport!$J$2:$J$675,EIAwtransport!$E$2:$E$675,Program_data!$E1207,EIAwtransport!$I$2:$I$675,Program_data!S$2)</f>
        <v>279743809</v>
      </c>
      <c r="T1207" s="5">
        <f>SUMIFS(EIAwtransport!$J$2:$J$675,EIAwtransport!$E$2:$E$675,Program_data!$E1207,EIAwtransport!$I$2:$I$675,Program_data!T$2)</f>
        <v>1805555</v>
      </c>
      <c r="U1207" s="24">
        <f t="shared" si="376"/>
        <v>2.6301109757727504E-6</v>
      </c>
      <c r="V1207" s="24">
        <f t="shared" si="371"/>
        <v>2.6301109757727504E-6</v>
      </c>
      <c r="W1207" s="24">
        <f t="shared" si="377"/>
        <v>1.0763201692451355E-4</v>
      </c>
      <c r="X1207" s="25">
        <f t="shared" si="378"/>
        <v>7.3391145309774876E-5</v>
      </c>
      <c r="Y1207" s="8">
        <f t="shared" si="369"/>
        <v>7.7903167339438889E-2</v>
      </c>
      <c r="Z1207" s="27">
        <f t="shared" si="370"/>
        <v>8.2988403208532763E-3</v>
      </c>
      <c r="AA1207" s="27"/>
      <c r="AB1207" s="27"/>
      <c r="AC1207" s="56">
        <f t="shared" si="379"/>
        <v>8.8696124622378747E-5</v>
      </c>
      <c r="AE1207" s="20">
        <f t="shared" si="374"/>
        <v>287142.62944210309</v>
      </c>
      <c r="AF1207" s="20">
        <f t="shared" si="375"/>
        <v>2667817975.0500002</v>
      </c>
      <c r="AG1207">
        <f t="shared" si="366"/>
        <v>804015.523813696</v>
      </c>
      <c r="AH1207">
        <f t="shared" si="367"/>
        <v>804015.523813696</v>
      </c>
      <c r="AI1207">
        <f t="shared" si="368"/>
        <v>29507376973.32</v>
      </c>
    </row>
    <row r="1208" spans="2:35" x14ac:dyDescent="0.25">
      <c r="B1208" s="4">
        <v>2024</v>
      </c>
      <c r="C1208" s="4" t="s">
        <v>199</v>
      </c>
      <c r="D1208" s="4" t="s">
        <v>635</v>
      </c>
      <c r="E1208" s="4" t="str">
        <f t="shared" si="373"/>
        <v>CMS-MI</v>
      </c>
      <c r="F1208" s="4" t="s">
        <v>143</v>
      </c>
      <c r="G1208" s="4">
        <v>1</v>
      </c>
      <c r="H1208" s="51" t="s">
        <v>645</v>
      </c>
      <c r="I1208" s="4"/>
      <c r="J1208" t="s">
        <v>48</v>
      </c>
      <c r="K1208" s="5">
        <v>196204.66176795145</v>
      </c>
      <c r="L1208" s="5">
        <v>196204.66176795145</v>
      </c>
      <c r="M1208" s="8">
        <v>4016513.6767661748</v>
      </c>
      <c r="N1208" s="46">
        <v>4016513.6767661748</v>
      </c>
      <c r="O1208" s="8">
        <f>SUMIFS(EIAwtransport!$J$2:$J$675,EIAwtransport!$E$2:$E$675,Program_data!$E1208,EIAwtransport!$H$2:$H$675,Program_data!$F1208,EIAwtransport!$I$2:$I$675,Program_data!O$2)</f>
        <v>0</v>
      </c>
      <c r="P1208" s="5">
        <f>SUMIFS(EIAwtransport!$J$2:$J$675,EIAwtransport!$E$2:$E$675,Program_data!$E1208,EIAwtransport!$H$2:$H$675,Program_data!$F1208,EIAwtransport!$I$2:$I$675,Program_data!P$2)</f>
        <v>0</v>
      </c>
      <c r="Q1208" s="5">
        <f>SUMIFS(EIAwtransport!$J$2:$J$675,EIAwtransport!$E$2:$E$675,Program_data!$E1208,EIAwtransport!$H$2:$H$675,Program_data!$F1208,EIAwtransport!$I$2:$I$675,Program_data!Q$2)</f>
        <v>0</v>
      </c>
      <c r="R1208" s="8">
        <f>SUMIFS(EIAwtransport!$J$2:$J$675,EIAwtransport!$E$2:$E$675,Program_data!$E1208,EIAwtransport!$I$2:$I$675,Program_data!R$2)</f>
        <v>1976161463</v>
      </c>
      <c r="S1208" s="5">
        <f>SUMIFS(EIAwtransport!$J$2:$J$675,EIAwtransport!$E$2:$E$675,Program_data!$E1208,EIAwtransport!$I$2:$I$675,Program_data!S$2)</f>
        <v>279743809</v>
      </c>
      <c r="T1208" s="5">
        <f>SUMIFS(EIAwtransport!$J$2:$J$675,EIAwtransport!$E$2:$E$675,Program_data!$E1208,EIAwtransport!$I$2:$I$675,Program_data!T$2)</f>
        <v>1805555</v>
      </c>
      <c r="U1208" s="24">
        <f t="shared" si="376"/>
        <v>6.7700064510901943E-5</v>
      </c>
      <c r="V1208" s="24">
        <f t="shared" si="371"/>
        <v>6.7700064510901943E-5</v>
      </c>
      <c r="W1208" s="24">
        <f t="shared" si="377"/>
        <v>2.032482543541117E-3</v>
      </c>
      <c r="X1208" s="25">
        <f t="shared" si="378"/>
        <v>1.3858907967619237E-3</v>
      </c>
      <c r="Y1208" s="8">
        <f t="shared" si="369"/>
        <v>1.4710941244836069</v>
      </c>
      <c r="Z1208" s="27">
        <f t="shared" si="370"/>
        <v>0.15671218068503809</v>
      </c>
      <c r="AA1208" s="27"/>
      <c r="AB1208" s="27"/>
      <c r="AC1208" s="56">
        <f t="shared" si="379"/>
        <v>2.283072240720867E-3</v>
      </c>
      <c r="AE1208" s="20">
        <f t="shared" si="374"/>
        <v>5422293.4636343364</v>
      </c>
      <c r="AF1208" s="20">
        <f t="shared" si="375"/>
        <v>2667817975.0500002</v>
      </c>
      <c r="AG1208">
        <f t="shared" si="366"/>
        <v>20695667.723283518</v>
      </c>
      <c r="AH1208">
        <f t="shared" si="367"/>
        <v>20695667.723283518</v>
      </c>
      <c r="AI1208">
        <f t="shared" si="368"/>
        <v>29507376973.32</v>
      </c>
    </row>
    <row r="1209" spans="2:35" x14ac:dyDescent="0.25">
      <c r="B1209" s="4">
        <v>2024</v>
      </c>
      <c r="C1209" s="4" t="s">
        <v>199</v>
      </c>
      <c r="D1209" s="4" t="s">
        <v>635</v>
      </c>
      <c r="E1209" s="4" t="str">
        <f t="shared" si="373"/>
        <v>CMS-MI</v>
      </c>
      <c r="F1209" s="4" t="s">
        <v>143</v>
      </c>
      <c r="G1209" s="4">
        <v>1</v>
      </c>
      <c r="H1209" s="51" t="s">
        <v>645</v>
      </c>
      <c r="I1209" s="4"/>
      <c r="J1209" t="s">
        <v>42</v>
      </c>
      <c r="K1209" s="5">
        <v>861061.62486782914</v>
      </c>
      <c r="L1209" s="5">
        <v>861061.62486782914</v>
      </c>
      <c r="M1209" s="8">
        <v>1026658.5247557255</v>
      </c>
      <c r="N1209" s="46">
        <v>1026658.5247557255</v>
      </c>
      <c r="O1209" s="8">
        <f>SUMIFS(EIAwtransport!$J$2:$J$675,EIAwtransport!$E$2:$E$675,Program_data!$E1209,EIAwtransport!$H$2:$H$675,Program_data!$F1209,EIAwtransport!$I$2:$I$675,Program_data!O$2)</f>
        <v>0</v>
      </c>
      <c r="P1209" s="5">
        <f>SUMIFS(EIAwtransport!$J$2:$J$675,EIAwtransport!$E$2:$E$675,Program_data!$E1209,EIAwtransport!$H$2:$H$675,Program_data!$F1209,EIAwtransport!$I$2:$I$675,Program_data!P$2)</f>
        <v>0</v>
      </c>
      <c r="Q1209" s="5">
        <f>SUMIFS(EIAwtransport!$J$2:$J$675,EIAwtransport!$E$2:$E$675,Program_data!$E1209,EIAwtransport!$H$2:$H$675,Program_data!$F1209,EIAwtransport!$I$2:$I$675,Program_data!Q$2)</f>
        <v>0</v>
      </c>
      <c r="R1209" s="8">
        <f>SUMIFS(EIAwtransport!$J$2:$J$675,EIAwtransport!$E$2:$E$675,Program_data!$E1209,EIAwtransport!$I$2:$I$675,Program_data!R$2)</f>
        <v>1976161463</v>
      </c>
      <c r="S1209" s="5">
        <f>SUMIFS(EIAwtransport!$J$2:$J$675,EIAwtransport!$E$2:$E$675,Program_data!$E1209,EIAwtransport!$I$2:$I$675,Program_data!S$2)</f>
        <v>279743809</v>
      </c>
      <c r="T1209" s="5">
        <f>SUMIFS(EIAwtransport!$J$2:$J$675,EIAwtransport!$E$2:$E$675,Program_data!$E1209,EIAwtransport!$I$2:$I$675,Program_data!T$2)</f>
        <v>1805555</v>
      </c>
      <c r="U1209" s="24">
        <f t="shared" si="376"/>
        <v>2.971077599591263E-4</v>
      </c>
      <c r="V1209" s="24">
        <f t="shared" si="371"/>
        <v>2.971077599591263E-4</v>
      </c>
      <c r="W1209" s="24">
        <f t="shared" si="377"/>
        <v>5.1952157957637767E-4</v>
      </c>
      <c r="X1209" s="25">
        <f t="shared" si="378"/>
        <v>3.5424667146202905E-4</v>
      </c>
      <c r="Y1209" s="8">
        <f t="shared" si="369"/>
        <v>0.37602544026070789</v>
      </c>
      <c r="Z1209" s="27">
        <f t="shared" si="370"/>
        <v>4.0057101551535503E-2</v>
      </c>
      <c r="AA1209" s="27"/>
      <c r="AB1209" s="27"/>
      <c r="AC1209" s="56">
        <f t="shared" si="379"/>
        <v>1.001946577401279E-2</v>
      </c>
      <c r="AE1209" s="20">
        <f t="shared" si="374"/>
        <v>1385989.0084202297</v>
      </c>
      <c r="AF1209" s="20">
        <f t="shared" si="375"/>
        <v>2667817975.0500002</v>
      </c>
      <c r="AG1209">
        <f t="shared" si="366"/>
        <v>90824780.191058621</v>
      </c>
      <c r="AH1209">
        <f t="shared" si="367"/>
        <v>90824780.191058621</v>
      </c>
      <c r="AI1209">
        <f t="shared" si="368"/>
        <v>29507376973.32</v>
      </c>
    </row>
    <row r="1210" spans="2:35" x14ac:dyDescent="0.25">
      <c r="B1210" s="4">
        <v>2024</v>
      </c>
      <c r="C1210" s="4" t="s">
        <v>199</v>
      </c>
      <c r="D1210" s="4" t="s">
        <v>635</v>
      </c>
      <c r="E1210" s="4" t="str">
        <f t="shared" si="373"/>
        <v>CMS-MI</v>
      </c>
      <c r="F1210" s="4" t="s">
        <v>143</v>
      </c>
      <c r="G1210" s="4">
        <v>1</v>
      </c>
      <c r="H1210" s="51" t="s">
        <v>645</v>
      </c>
      <c r="I1210" s="4"/>
      <c r="J1210" t="s">
        <v>27</v>
      </c>
      <c r="K1210" s="5">
        <v>461855.31079415051</v>
      </c>
      <c r="L1210" s="5">
        <v>461855.31079415051</v>
      </c>
      <c r="M1210" s="8">
        <v>7345127.2815872142</v>
      </c>
      <c r="N1210" s="46">
        <v>7345127.2815872142</v>
      </c>
      <c r="O1210" s="8">
        <f>SUMIFS(EIAwtransport!$J$2:$J$675,EIAwtransport!$E$2:$E$675,Program_data!$E1210,EIAwtransport!$H$2:$H$675,Program_data!$F1210,EIAwtransport!$I$2:$I$675,Program_data!O$2)</f>
        <v>0</v>
      </c>
      <c r="P1210" s="5">
        <f>SUMIFS(EIAwtransport!$J$2:$J$675,EIAwtransport!$E$2:$E$675,Program_data!$E1210,EIAwtransport!$H$2:$H$675,Program_data!$F1210,EIAwtransport!$I$2:$I$675,Program_data!P$2)</f>
        <v>0</v>
      </c>
      <c r="Q1210" s="5">
        <f>SUMIFS(EIAwtransport!$J$2:$J$675,EIAwtransport!$E$2:$E$675,Program_data!$E1210,EIAwtransport!$H$2:$H$675,Program_data!$F1210,EIAwtransport!$I$2:$I$675,Program_data!Q$2)</f>
        <v>0</v>
      </c>
      <c r="R1210" s="8">
        <f>SUMIFS(EIAwtransport!$J$2:$J$675,EIAwtransport!$E$2:$E$675,Program_data!$E1210,EIAwtransport!$I$2:$I$675,Program_data!R$2)</f>
        <v>1976161463</v>
      </c>
      <c r="S1210" s="5">
        <f>SUMIFS(EIAwtransport!$J$2:$J$675,EIAwtransport!$E$2:$E$675,Program_data!$E1210,EIAwtransport!$I$2:$I$675,Program_data!S$2)</f>
        <v>279743809</v>
      </c>
      <c r="T1210" s="5">
        <f>SUMIFS(EIAwtransport!$J$2:$J$675,EIAwtransport!$E$2:$E$675,Program_data!$E1210,EIAwtransport!$I$2:$I$675,Program_data!T$2)</f>
        <v>1805555</v>
      </c>
      <c r="U1210" s="24">
        <f t="shared" si="376"/>
        <v>1.5936234161676778E-4</v>
      </c>
      <c r="V1210" s="24">
        <f t="shared" si="371"/>
        <v>1.5936234161676778E-4</v>
      </c>
      <c r="W1210" s="24">
        <f t="shared" si="377"/>
        <v>3.7168659641994115E-3</v>
      </c>
      <c r="X1210" s="25">
        <f t="shared" si="378"/>
        <v>2.5344229149476039E-3</v>
      </c>
      <c r="Y1210" s="8">
        <f t="shared" si="369"/>
        <v>2.6902369709411658</v>
      </c>
      <c r="Z1210" s="27">
        <f t="shared" si="370"/>
        <v>0.28658458711721918</v>
      </c>
      <c r="AA1210" s="27"/>
      <c r="AB1210" s="27"/>
      <c r="AC1210" s="56">
        <f t="shared" si="379"/>
        <v>5.3742303052448162E-3</v>
      </c>
      <c r="AE1210" s="20">
        <f t="shared" si="374"/>
        <v>9915921.8301427402</v>
      </c>
      <c r="AF1210" s="20">
        <f t="shared" si="375"/>
        <v>2667817975.0500002</v>
      </c>
      <c r="AG1210">
        <f t="shared" si="366"/>
        <v>48716498.182567</v>
      </c>
      <c r="AH1210">
        <f t="shared" si="367"/>
        <v>48716498.182567</v>
      </c>
      <c r="AI1210">
        <f t="shared" si="368"/>
        <v>29507376973.32</v>
      </c>
    </row>
    <row r="1211" spans="2:35" x14ac:dyDescent="0.25">
      <c r="B1211" s="4">
        <v>2024</v>
      </c>
      <c r="C1211" s="4" t="s">
        <v>199</v>
      </c>
      <c r="D1211" s="4" t="s">
        <v>635</v>
      </c>
      <c r="E1211" s="4" t="str">
        <f t="shared" si="361"/>
        <v>CMS-MI</v>
      </c>
      <c r="F1211" s="4" t="s">
        <v>143</v>
      </c>
      <c r="G1211" s="4">
        <v>1</v>
      </c>
      <c r="H1211" s="51" t="s">
        <v>646</v>
      </c>
      <c r="I1211" s="4"/>
      <c r="J1211" s="4" t="s">
        <v>21</v>
      </c>
      <c r="K1211" s="5">
        <v>425972.46080388007</v>
      </c>
      <c r="L1211" s="5">
        <v>425972.46080388007</v>
      </c>
      <c r="M1211" s="8">
        <v>9773103.8836548999</v>
      </c>
      <c r="N1211" s="46">
        <v>9461130.2931451611</v>
      </c>
      <c r="O1211" s="8">
        <f>SUMIFS(EIAwtransport!$J$2:$J$675,EIAwtransport!$E$2:$E$675,Program_data!$E1211,EIAwtransport!$H$2:$H$675,Program_data!$F1211,EIAwtransport!$I$2:$I$675,Program_data!O$2)</f>
        <v>0</v>
      </c>
      <c r="P1211" s="5">
        <f>SUMIFS(EIAwtransport!$J$2:$J$675,EIAwtransport!$E$2:$E$675,Program_data!$E1211,EIAwtransport!$H$2:$H$675,Program_data!$F1211,EIAwtransport!$I$2:$I$675,Program_data!P$2)</f>
        <v>0</v>
      </c>
      <c r="Q1211" s="5">
        <f>SUMIFS(EIAwtransport!$J$2:$J$675,EIAwtransport!$E$2:$E$675,Program_data!$E1211,EIAwtransport!$H$2:$H$675,Program_data!$F1211,EIAwtransport!$I$2:$I$675,Program_data!Q$2)</f>
        <v>0</v>
      </c>
      <c r="R1211" s="8">
        <f>SUMIFS(EIAwtransport!$J$2:$J$675,EIAwtransport!$E$2:$E$675,Program_data!$E1211,EIAwtransport!$I$2:$I$675,Program_data!R$2)</f>
        <v>1976161463</v>
      </c>
      <c r="S1211" s="5">
        <f>SUMIFS(EIAwtransport!$J$2:$J$675,EIAwtransport!$E$2:$E$675,Program_data!$E1211,EIAwtransport!$I$2:$I$675,Program_data!S$2)</f>
        <v>279743809</v>
      </c>
      <c r="T1211" s="5">
        <f>SUMIFS(EIAwtransport!$J$2:$J$675,EIAwtransport!$E$2:$E$675,Program_data!$E1211,EIAwtransport!$I$2:$I$675,Program_data!T$2)</f>
        <v>1805555</v>
      </c>
      <c r="U1211" s="24">
        <f t="shared" si="376"/>
        <v>1.4698102897471959E-4</v>
      </c>
      <c r="V1211" s="24">
        <f t="shared" si="371"/>
        <v>1.4698102897471959E-4</v>
      </c>
      <c r="W1211" s="24">
        <f t="shared" si="377"/>
        <v>4.9454986683215669E-3</v>
      </c>
      <c r="X1211" s="25">
        <f t="shared" si="378"/>
        <v>3.3721918604446574E-3</v>
      </c>
      <c r="Y1211" s="8">
        <f t="shared" si="369"/>
        <v>3.5795112025581739</v>
      </c>
      <c r="Z1211" s="27">
        <f t="shared" si="370"/>
        <v>0.38131686953499588</v>
      </c>
      <c r="AA1211" s="27"/>
      <c r="AB1211" s="27"/>
      <c r="AC1211" s="56">
        <f t="shared" si="379"/>
        <v>4.9566910990274486E-3</v>
      </c>
      <c r="AE1211" s="20">
        <f t="shared" si="374"/>
        <v>12772525.895745968</v>
      </c>
      <c r="AF1211" s="20">
        <f t="shared" si="375"/>
        <v>2667817975.0500002</v>
      </c>
      <c r="AG1211">
        <f t="shared" si="366"/>
        <v>44931575.165593274</v>
      </c>
      <c r="AH1211">
        <f t="shared" si="367"/>
        <v>44931575.165593274</v>
      </c>
      <c r="AI1211">
        <f t="shared" si="368"/>
        <v>29507376973.32</v>
      </c>
    </row>
    <row r="1212" spans="2:35" x14ac:dyDescent="0.25">
      <c r="B1212" s="4">
        <v>2024</v>
      </c>
      <c r="C1212" s="4" t="s">
        <v>199</v>
      </c>
      <c r="D1212" s="4" t="s">
        <v>635</v>
      </c>
      <c r="E1212" s="4" t="str">
        <f t="shared" si="361"/>
        <v>CMS-MI</v>
      </c>
      <c r="F1212" s="4" t="s">
        <v>143</v>
      </c>
      <c r="G1212" s="4">
        <v>1</v>
      </c>
      <c r="H1212" s="51" t="s">
        <v>646</v>
      </c>
      <c r="I1212" s="4"/>
      <c r="J1212" t="s">
        <v>55</v>
      </c>
      <c r="K1212" s="5">
        <v>39035.650800000003</v>
      </c>
      <c r="L1212" s="5">
        <v>39035.650800000003</v>
      </c>
      <c r="M1212" s="8">
        <v>190960.45557077174</v>
      </c>
      <c r="N1212" s="46">
        <v>184864.68296065702</v>
      </c>
      <c r="O1212" s="8">
        <f>SUMIFS(EIAwtransport!$J$2:$J$675,EIAwtransport!$E$2:$E$675,Program_data!$E1212,EIAwtransport!$H$2:$H$675,Program_data!$F1212,EIAwtransport!$I$2:$I$675,Program_data!O$2)</f>
        <v>0</v>
      </c>
      <c r="P1212" s="5">
        <f>SUMIFS(EIAwtransport!$J$2:$J$675,EIAwtransport!$E$2:$E$675,Program_data!$E1212,EIAwtransport!$H$2:$H$675,Program_data!$F1212,EIAwtransport!$I$2:$I$675,Program_data!P$2)</f>
        <v>0</v>
      </c>
      <c r="Q1212" s="5">
        <f>SUMIFS(EIAwtransport!$J$2:$J$675,EIAwtransport!$E$2:$E$675,Program_data!$E1212,EIAwtransport!$H$2:$H$675,Program_data!$F1212,EIAwtransport!$I$2:$I$675,Program_data!Q$2)</f>
        <v>0</v>
      </c>
      <c r="R1212" s="8">
        <f>SUMIFS(EIAwtransport!$J$2:$J$675,EIAwtransport!$E$2:$E$675,Program_data!$E1212,EIAwtransport!$I$2:$I$675,Program_data!R$2)</f>
        <v>1976161463</v>
      </c>
      <c r="S1212" s="5">
        <f>SUMIFS(EIAwtransport!$J$2:$J$675,EIAwtransport!$E$2:$E$675,Program_data!$E1212,EIAwtransport!$I$2:$I$675,Program_data!S$2)</f>
        <v>279743809</v>
      </c>
      <c r="T1212" s="5">
        <f>SUMIFS(EIAwtransport!$J$2:$J$675,EIAwtransport!$E$2:$E$675,Program_data!$E1212,EIAwtransport!$I$2:$I$675,Program_data!T$2)</f>
        <v>1805555</v>
      </c>
      <c r="U1212" s="24">
        <f t="shared" si="376"/>
        <v>1.3469180872524553E-5</v>
      </c>
      <c r="V1212" s="24">
        <f t="shared" si="371"/>
        <v>1.3469180872524553E-5</v>
      </c>
      <c r="W1212" s="24">
        <f t="shared" si="377"/>
        <v>9.6632010666211301E-5</v>
      </c>
      <c r="X1212" s="25">
        <f t="shared" si="378"/>
        <v>6.5890560625222441E-5</v>
      </c>
      <c r="Y1212" s="8">
        <f t="shared" si="369"/>
        <v>6.9941453411171653E-2</v>
      </c>
      <c r="Z1212" s="27">
        <f t="shared" si="370"/>
        <v>7.4506977506916452E-3</v>
      </c>
      <c r="AA1212" s="27"/>
      <c r="AB1212" s="27"/>
      <c r="AC1212" s="56">
        <f t="shared" si="379"/>
        <v>4.5422575558044456E-4</v>
      </c>
      <c r="AE1212" s="20">
        <f t="shared" si="374"/>
        <v>249567.32199688701</v>
      </c>
      <c r="AF1212" s="20">
        <f t="shared" si="375"/>
        <v>2667817975.0500002</v>
      </c>
      <c r="AG1212">
        <f t="shared" si="366"/>
        <v>4117480.4463840006</v>
      </c>
      <c r="AH1212">
        <f t="shared" si="367"/>
        <v>4117480.4463840006</v>
      </c>
      <c r="AI1212">
        <f t="shared" si="368"/>
        <v>29507376973.32</v>
      </c>
    </row>
    <row r="1213" spans="2:35" x14ac:dyDescent="0.25">
      <c r="B1213" s="4">
        <v>2024</v>
      </c>
      <c r="C1213" s="4" t="s">
        <v>199</v>
      </c>
      <c r="D1213" s="4" t="s">
        <v>635</v>
      </c>
      <c r="E1213" s="4" t="str">
        <f t="shared" si="361"/>
        <v>CMS-MI</v>
      </c>
      <c r="F1213" s="4" t="s">
        <v>143</v>
      </c>
      <c r="G1213" s="4">
        <v>1</v>
      </c>
      <c r="H1213" s="51" t="s">
        <v>646</v>
      </c>
      <c r="I1213" s="4"/>
      <c r="J1213" t="s">
        <v>48</v>
      </c>
      <c r="K1213" s="5">
        <v>163473.92723880004</v>
      </c>
      <c r="L1213" s="5">
        <v>163473.92723880004</v>
      </c>
      <c r="M1213" s="8">
        <v>215235.16511850012</v>
      </c>
      <c r="N1213" s="46">
        <v>208364.50375386688</v>
      </c>
      <c r="O1213" s="8">
        <f>SUMIFS(EIAwtransport!$J$2:$J$675,EIAwtransport!$E$2:$E$675,Program_data!$E1213,EIAwtransport!$H$2:$H$675,Program_data!$F1213,EIAwtransport!$I$2:$I$675,Program_data!O$2)</f>
        <v>0</v>
      </c>
      <c r="P1213" s="5">
        <f>SUMIFS(EIAwtransport!$J$2:$J$675,EIAwtransport!$E$2:$E$675,Program_data!$E1213,EIAwtransport!$H$2:$H$675,Program_data!$F1213,EIAwtransport!$I$2:$I$675,Program_data!P$2)</f>
        <v>0</v>
      </c>
      <c r="Q1213" s="5">
        <f>SUMIFS(EIAwtransport!$J$2:$J$675,EIAwtransport!$E$2:$E$675,Program_data!$E1213,EIAwtransport!$H$2:$H$675,Program_data!$F1213,EIAwtransport!$I$2:$I$675,Program_data!Q$2)</f>
        <v>0</v>
      </c>
      <c r="R1213" s="8">
        <f>SUMIFS(EIAwtransport!$J$2:$J$675,EIAwtransport!$E$2:$E$675,Program_data!$E1213,EIAwtransport!$I$2:$I$675,Program_data!R$2)</f>
        <v>1976161463</v>
      </c>
      <c r="S1213" s="5">
        <f>SUMIFS(EIAwtransport!$J$2:$J$675,EIAwtransport!$E$2:$E$675,Program_data!$E1213,EIAwtransport!$I$2:$I$675,Program_data!S$2)</f>
        <v>279743809</v>
      </c>
      <c r="T1213" s="5">
        <f>SUMIFS(EIAwtransport!$J$2:$J$675,EIAwtransport!$E$2:$E$675,Program_data!$E1213,EIAwtransport!$I$2:$I$675,Program_data!T$2)</f>
        <v>1805555</v>
      </c>
      <c r="U1213" s="24">
        <f t="shared" si="376"/>
        <v>5.6406383621028696E-5</v>
      </c>
      <c r="V1213" s="24">
        <f t="shared" si="371"/>
        <v>5.6406383621028696E-5</v>
      </c>
      <c r="W1213" s="24">
        <f t="shared" si="377"/>
        <v>1.0891577897271248E-4</v>
      </c>
      <c r="X1213" s="25">
        <f t="shared" si="378"/>
        <v>7.4266505353326023E-5</v>
      </c>
      <c r="Y1213" s="8">
        <f t="shared" si="369"/>
        <v>7.8832343736226121E-2</v>
      </c>
      <c r="Z1213" s="27">
        <f t="shared" si="370"/>
        <v>8.3978232866323745E-3</v>
      </c>
      <c r="AA1213" s="27"/>
      <c r="AB1213" s="27"/>
      <c r="AC1213" s="56">
        <f t="shared" si="379"/>
        <v>1.9022116090286001E-3</v>
      </c>
      <c r="AE1213" s="20">
        <f t="shared" si="374"/>
        <v>281292.08006772032</v>
      </c>
      <c r="AF1213" s="20">
        <f t="shared" si="375"/>
        <v>2667817975.0500002</v>
      </c>
      <c r="AG1213">
        <f t="shared" si="366"/>
        <v>17243229.84514863</v>
      </c>
      <c r="AH1213">
        <f t="shared" si="367"/>
        <v>17243229.84514863</v>
      </c>
      <c r="AI1213">
        <f t="shared" si="368"/>
        <v>29507376973.32</v>
      </c>
    </row>
    <row r="1214" spans="2:35" x14ac:dyDescent="0.25">
      <c r="B1214" s="4">
        <v>2024</v>
      </c>
      <c r="C1214" s="4" t="s">
        <v>199</v>
      </c>
      <c r="D1214" s="4" t="s">
        <v>635</v>
      </c>
      <c r="E1214" s="4" t="str">
        <f t="shared" ref="E1214:E1215" si="380">D1214&amp;"-"&amp;C1214</f>
        <v>CMS-MI</v>
      </c>
      <c r="F1214" s="4" t="s">
        <v>143</v>
      </c>
      <c r="G1214" s="4">
        <v>1</v>
      </c>
      <c r="H1214" s="51" t="s">
        <v>646</v>
      </c>
      <c r="I1214" s="4"/>
      <c r="J1214" t="s">
        <v>42</v>
      </c>
      <c r="K1214" s="5">
        <v>295885.15173206612</v>
      </c>
      <c r="L1214" s="5">
        <v>295885.15173206612</v>
      </c>
      <c r="M1214" s="8">
        <v>198997.36776598659</v>
      </c>
      <c r="N1214" s="46">
        <v>192645.04366680546</v>
      </c>
      <c r="O1214" s="8">
        <f>SUMIFS(EIAwtransport!$J$2:$J$675,EIAwtransport!$E$2:$E$675,Program_data!$E1214,EIAwtransport!$H$2:$H$675,Program_data!$F1214,EIAwtransport!$I$2:$I$675,Program_data!O$2)</f>
        <v>0</v>
      </c>
      <c r="P1214" s="5">
        <f>SUMIFS(EIAwtransport!$J$2:$J$675,EIAwtransport!$E$2:$E$675,Program_data!$E1214,EIAwtransport!$H$2:$H$675,Program_data!$F1214,EIAwtransport!$I$2:$I$675,Program_data!P$2)</f>
        <v>0</v>
      </c>
      <c r="Q1214" s="5">
        <f>SUMIFS(EIAwtransport!$J$2:$J$675,EIAwtransport!$E$2:$E$675,Program_data!$E1214,EIAwtransport!$H$2:$H$675,Program_data!$F1214,EIAwtransport!$I$2:$I$675,Program_data!Q$2)</f>
        <v>0</v>
      </c>
      <c r="R1214" s="8">
        <f>SUMIFS(EIAwtransport!$J$2:$J$675,EIAwtransport!$E$2:$E$675,Program_data!$E1214,EIAwtransport!$I$2:$I$675,Program_data!R$2)</f>
        <v>1976161463</v>
      </c>
      <c r="S1214" s="5">
        <f>SUMIFS(EIAwtransport!$J$2:$J$675,EIAwtransport!$E$2:$E$675,Program_data!$E1214,EIAwtransport!$I$2:$I$675,Program_data!S$2)</f>
        <v>279743809</v>
      </c>
      <c r="T1214" s="5">
        <f>SUMIFS(EIAwtransport!$J$2:$J$675,EIAwtransport!$E$2:$E$675,Program_data!$E1214,EIAwtransport!$I$2:$I$675,Program_data!T$2)</f>
        <v>1805555</v>
      </c>
      <c r="U1214" s="24">
        <f t="shared" si="376"/>
        <v>1.0209463770932109E-4</v>
      </c>
      <c r="V1214" s="24">
        <f t="shared" si="371"/>
        <v>1.0209463770932109E-4</v>
      </c>
      <c r="W1214" s="24">
        <f t="shared" si="377"/>
        <v>1.0069894160565695E-4</v>
      </c>
      <c r="X1214" s="25">
        <f t="shared" si="378"/>
        <v>6.8663682676359022E-5</v>
      </c>
      <c r="Y1214" s="8">
        <f t="shared" si="369"/>
        <v>7.2885064527887761E-2</v>
      </c>
      <c r="Z1214" s="27">
        <f t="shared" si="370"/>
        <v>7.7642736868005812E-3</v>
      </c>
      <c r="AA1214" s="27"/>
      <c r="AB1214" s="27"/>
      <c r="AC1214" s="56"/>
      <c r="AE1214" s="20">
        <f t="shared" si="374"/>
        <v>260070.80895018738</v>
      </c>
      <c r="AF1214" s="20">
        <f t="shared" si="375"/>
        <v>2667817975.0500002</v>
      </c>
      <c r="AG1214">
        <f t="shared" si="366"/>
        <v>31209965.804698337</v>
      </c>
      <c r="AH1214">
        <f t="shared" si="367"/>
        <v>31209965.804698337</v>
      </c>
      <c r="AI1214">
        <f t="shared" si="368"/>
        <v>29507376973.32</v>
      </c>
    </row>
    <row r="1215" spans="2:35" x14ac:dyDescent="0.25">
      <c r="B1215" s="4">
        <v>2024</v>
      </c>
      <c r="C1215" s="4" t="s">
        <v>199</v>
      </c>
      <c r="D1215" s="4" t="s">
        <v>635</v>
      </c>
      <c r="E1215" s="4" t="str">
        <f t="shared" si="380"/>
        <v>CMS-MI</v>
      </c>
      <c r="F1215" s="4" t="s">
        <v>143</v>
      </c>
      <c r="G1215" s="4">
        <v>1</v>
      </c>
      <c r="H1215" s="51" t="s">
        <v>646</v>
      </c>
      <c r="I1215" s="4"/>
      <c r="J1215" t="s">
        <v>27</v>
      </c>
      <c r="K1215" s="5">
        <v>46650.31500000001</v>
      </c>
      <c r="L1215" s="5">
        <v>46650.31500000001</v>
      </c>
      <c r="M1215" s="8">
        <v>122227.49404740048</v>
      </c>
      <c r="N1215" s="46">
        <v>118325.79090058865</v>
      </c>
      <c r="O1215" s="8">
        <f>SUMIFS(EIAwtransport!$J$2:$J$675,EIAwtransport!$E$2:$E$675,Program_data!$E1215,EIAwtransport!$H$2:$H$675,Program_data!$F1215,EIAwtransport!$I$2:$I$675,Program_data!O$2)</f>
        <v>0</v>
      </c>
      <c r="P1215" s="5">
        <f>SUMIFS(EIAwtransport!$J$2:$J$675,EIAwtransport!$E$2:$E$675,Program_data!$E1215,EIAwtransport!$H$2:$H$675,Program_data!$F1215,EIAwtransport!$I$2:$I$675,Program_data!P$2)</f>
        <v>0</v>
      </c>
      <c r="Q1215" s="5">
        <f>SUMIFS(EIAwtransport!$J$2:$J$675,EIAwtransport!$E$2:$E$675,Program_data!$E1215,EIAwtransport!$H$2:$H$675,Program_data!$F1215,EIAwtransport!$I$2:$I$675,Program_data!Q$2)</f>
        <v>0</v>
      </c>
      <c r="R1215" s="8">
        <f>SUMIFS(EIAwtransport!$J$2:$J$675,EIAwtransport!$E$2:$E$675,Program_data!$E1215,EIAwtransport!$I$2:$I$675,Program_data!R$2)</f>
        <v>1976161463</v>
      </c>
      <c r="S1215" s="5">
        <f>SUMIFS(EIAwtransport!$J$2:$J$675,EIAwtransport!$E$2:$E$675,Program_data!$E1215,EIAwtransport!$I$2:$I$675,Program_data!S$2)</f>
        <v>279743809</v>
      </c>
      <c r="T1215" s="5">
        <f>SUMIFS(EIAwtransport!$J$2:$J$675,EIAwtransport!$E$2:$E$675,Program_data!$E1215,EIAwtransport!$I$2:$I$675,Program_data!T$2)</f>
        <v>1805555</v>
      </c>
      <c r="U1215" s="24">
        <f t="shared" si="376"/>
        <v>1.6096607014817473E-5</v>
      </c>
      <c r="V1215" s="24">
        <f t="shared" si="371"/>
        <v>1.6096607014817473E-5</v>
      </c>
      <c r="W1215" s="24">
        <f t="shared" si="377"/>
        <v>6.1850965285927388E-5</v>
      </c>
      <c r="X1215" s="25">
        <f t="shared" si="378"/>
        <v>4.2174376273492412E-5</v>
      </c>
      <c r="Y1215" s="8">
        <f t="shared" si="369"/>
        <v>4.476721923881391E-2</v>
      </c>
      <c r="Z1215" s="27">
        <f t="shared" si="370"/>
        <v>4.7689460744616656E-3</v>
      </c>
      <c r="AA1215" s="27"/>
      <c r="AB1215" s="27"/>
      <c r="AC1215" s="56"/>
      <c r="AE1215" s="20">
        <f t="shared" si="374"/>
        <v>159739.81771579469</v>
      </c>
      <c r="AF1215" s="20">
        <f t="shared" si="375"/>
        <v>2667817975.0500002</v>
      </c>
      <c r="AG1215">
        <f t="shared" si="366"/>
        <v>4920675.2262000013</v>
      </c>
      <c r="AH1215">
        <f t="shared" si="367"/>
        <v>4920675.2262000013</v>
      </c>
      <c r="AI1215">
        <f t="shared" si="368"/>
        <v>29507376973.32</v>
      </c>
    </row>
    <row r="1216" spans="2:35" x14ac:dyDescent="0.25">
      <c r="B1216" s="4">
        <v>2024</v>
      </c>
      <c r="C1216" s="4" t="s">
        <v>199</v>
      </c>
      <c r="D1216" s="4" t="s">
        <v>635</v>
      </c>
      <c r="E1216" s="4" t="str">
        <f t="shared" si="361"/>
        <v>CMS-MI</v>
      </c>
      <c r="F1216" s="4" t="s">
        <v>306</v>
      </c>
      <c r="G1216" s="4"/>
      <c r="H1216" s="4" t="s">
        <v>155</v>
      </c>
      <c r="I1216" s="4"/>
      <c r="J1216" s="4" t="s">
        <v>155</v>
      </c>
      <c r="K1216" s="5"/>
      <c r="L1216" s="5">
        <f t="shared" ref="L1216:L1218" si="381">K1216/0.92</f>
        <v>0</v>
      </c>
      <c r="M1216" s="8">
        <v>6042959.9999999981</v>
      </c>
      <c r="N1216" s="46">
        <v>0</v>
      </c>
      <c r="O1216" s="8">
        <f>SUMIFS(EIAwtransport!$J$2:$J$675,EIAwtransport!$E$2:$E$675,Program_data!$E1216,EIAwtransport!$H$2:$H$675,Program_data!$F1216,EIAwtransport!$I$2:$I$675,Program_data!O$2)</f>
        <v>0</v>
      </c>
      <c r="P1216" s="5">
        <f>SUMIFS(EIAwtransport!$J$2:$J$675,EIAwtransport!$E$2:$E$675,Program_data!$E1216,EIAwtransport!$H$2:$H$675,Program_data!$F1216,EIAwtransport!$I$2:$I$675,Program_data!P$2)</f>
        <v>0</v>
      </c>
      <c r="Q1216" s="5">
        <f>SUMIFS(EIAwtransport!$J$2:$J$675,EIAwtransport!$E$2:$E$675,Program_data!$E1216,EIAwtransport!$H$2:$H$675,Program_data!$F1216,EIAwtransport!$I$2:$I$675,Program_data!Q$2)</f>
        <v>0</v>
      </c>
      <c r="R1216" s="8">
        <f>SUMIFS(EIAwtransport!$J$2:$J$675,EIAwtransport!$E$2:$E$675,Program_data!$E1216,EIAwtransport!$I$2:$I$675,Program_data!R$2)</f>
        <v>1976161463</v>
      </c>
      <c r="S1216" s="5">
        <f>SUMIFS(EIAwtransport!$J$2:$J$675,EIAwtransport!$E$2:$E$675,Program_data!$E1216,EIAwtransport!$I$2:$I$675,Program_data!S$2)</f>
        <v>279743809</v>
      </c>
      <c r="T1216" s="5">
        <f>SUMIFS(EIAwtransport!$J$2:$J$675,EIAwtransport!$E$2:$E$675,Program_data!$E1216,EIAwtransport!$I$2:$I$675,Program_data!T$2)</f>
        <v>1805555</v>
      </c>
      <c r="U1216" s="24">
        <f t="shared" si="376"/>
        <v>0</v>
      </c>
      <c r="V1216" s="24">
        <f t="shared" si="371"/>
        <v>0</v>
      </c>
      <c r="W1216" s="24">
        <f t="shared" si="377"/>
        <v>3.0579282680809963E-3</v>
      </c>
      <c r="X1216" s="25">
        <f t="shared" si="378"/>
        <v>2.0851124440694848E-3</v>
      </c>
      <c r="Y1216" s="8" t="str">
        <f t="shared" si="369"/>
        <v/>
      </c>
      <c r="Z1216" s="27">
        <f t="shared" si="370"/>
        <v>0.23577796955366581</v>
      </c>
      <c r="AA1216" s="27"/>
      <c r="AB1216" s="27"/>
      <c r="AC1216" s="56">
        <f t="shared" ref="AC1216:AC1235" si="382">IFERROR(K1216/SUMIFS($M$3:$M$1234,$E$3:$E$1234,E1216,$B$3:$B$1234,B1216),"")</f>
        <v>0</v>
      </c>
      <c r="AE1216" s="20">
        <f t="shared" si="374"/>
        <v>0</v>
      </c>
      <c r="AF1216" s="20">
        <f t="shared" si="375"/>
        <v>2667817975.0500002</v>
      </c>
      <c r="AG1216">
        <f t="shared" si="366"/>
        <v>0</v>
      </c>
      <c r="AH1216">
        <f t="shared" si="367"/>
        <v>0</v>
      </c>
      <c r="AI1216">
        <f t="shared" si="368"/>
        <v>29507376973.32</v>
      </c>
    </row>
    <row r="1217" spans="2:35" ht="15" customHeight="1" x14ac:dyDescent="0.25">
      <c r="B1217" s="4">
        <v>2025</v>
      </c>
      <c r="C1217" s="4" t="s">
        <v>199</v>
      </c>
      <c r="D1217" s="4" t="s">
        <v>635</v>
      </c>
      <c r="E1217" s="4" t="str">
        <f t="shared" ref="E1217:E1234" si="383">D1217&amp;"-"&amp;C1217</f>
        <v>CMS-MI</v>
      </c>
      <c r="F1217" s="4" t="s">
        <v>135</v>
      </c>
      <c r="G1217" s="4"/>
      <c r="H1217" s="4" t="s">
        <v>640</v>
      </c>
      <c r="I1217" s="4"/>
      <c r="J1217" s="4" t="s">
        <v>36</v>
      </c>
      <c r="K1217" s="5">
        <v>3324010.9168744623</v>
      </c>
      <c r="L1217" s="5">
        <f t="shared" si="381"/>
        <v>3613055.3444287633</v>
      </c>
      <c r="M1217" s="8">
        <v>5345906.2386339214</v>
      </c>
      <c r="N1217" s="8">
        <v>133206.19899999999</v>
      </c>
      <c r="O1217" s="8">
        <f>SUMIFS(EIAwtransport!$J$2:$J$675,EIAwtransport!$E$2:$E$675,Program_data!$E1217,EIAwtransport!$H$2:$H$675,Program_data!$F1217,EIAwtransport!$I$2:$I$675,Program_data!O$2)</f>
        <v>1413576659</v>
      </c>
      <c r="P1217" s="5">
        <f>SUMIFS(EIAwtransport!$J$2:$J$675,EIAwtransport!$E$2:$E$675,Program_data!$E1217,EIAwtransport!$H$2:$H$675,Program_data!$F1217,EIAwtransport!$I$2:$I$675,Program_data!P$2)</f>
        <v>146567226</v>
      </c>
      <c r="Q1217" s="5">
        <f>SUMIFS(EIAwtransport!$J$2:$J$675,EIAwtransport!$E$2:$E$675,Program_data!$E1217,EIAwtransport!$H$2:$H$675,Program_data!$F1217,EIAwtransport!$I$2:$I$675,Program_data!Q$2)</f>
        <v>1670963</v>
      </c>
      <c r="R1217" s="8">
        <f>SUMIFS(EIAwtransport!$J$2:$J$675,EIAwtransport!$E$2:$E$675,Program_data!$E1217,EIAwtransport!$I$2:$I$675,Program_data!R$2)</f>
        <v>1976161463</v>
      </c>
      <c r="S1217" s="5">
        <f>SUMIFS(EIAwtransport!$J$2:$J$675,EIAwtransport!$E$2:$E$675,Program_data!$E1217,EIAwtransport!$I$2:$I$675,Program_data!S$2)</f>
        <v>279743809</v>
      </c>
      <c r="T1217" s="5">
        <f>SUMIFS(EIAwtransport!$J$2:$J$675,EIAwtransport!$E$2:$E$675,Program_data!$E1217,EIAwtransport!$I$2:$I$675,Program_data!T$2)</f>
        <v>1805555</v>
      </c>
      <c r="U1217" s="24">
        <f t="shared" ref="U1217:U1218" si="384">IFERROR(K1217/10.36/S1217,"")</f>
        <v>1.1469439690148142E-3</v>
      </c>
      <c r="V1217" s="24">
        <f t="shared" si="371"/>
        <v>1.2466782271900155E-3</v>
      </c>
      <c r="W1217" s="24">
        <f t="shared" ref="W1217:W1218" si="385">IFERROR(M1217/R1217,"")</f>
        <v>2.7051970897754123E-3</v>
      </c>
      <c r="X1217" s="25">
        <f t="shared" ref="X1217:X1218" si="386">IFERROR(M1217/S1217/10.36,"")</f>
        <v>1.8445953014754831E-3</v>
      </c>
      <c r="Y1217" s="8">
        <f t="shared" si="369"/>
        <v>0.3948131924159563</v>
      </c>
      <c r="Z1217" s="27">
        <f t="shared" si="370"/>
        <v>0.17491112601563946</v>
      </c>
      <c r="AA1217" s="27"/>
      <c r="AB1217" s="27"/>
      <c r="AC1217" s="56">
        <f t="shared" si="382"/>
        <v>3.4965147322182429E-2</v>
      </c>
      <c r="AE1217" s="20">
        <f t="shared" si="374"/>
        <v>179828.36864999999</v>
      </c>
      <c r="AF1217" s="20">
        <f t="shared" si="375"/>
        <v>2667817975.0500002</v>
      </c>
      <c r="AG1217">
        <f t="shared" si="366"/>
        <v>350616671.51191831</v>
      </c>
      <c r="AH1217">
        <f t="shared" si="367"/>
        <v>381105077.73034596</v>
      </c>
      <c r="AI1217">
        <f t="shared" si="368"/>
        <v>29507376973.32</v>
      </c>
    </row>
    <row r="1218" spans="2:35" ht="15" customHeight="1" x14ac:dyDescent="0.25">
      <c r="B1218" s="4">
        <v>2025</v>
      </c>
      <c r="C1218" s="4" t="s">
        <v>199</v>
      </c>
      <c r="D1218" s="4" t="s">
        <v>635</v>
      </c>
      <c r="E1218" s="4" t="str">
        <f t="shared" si="383"/>
        <v>CMS-MI</v>
      </c>
      <c r="F1218" s="4" t="s">
        <v>135</v>
      </c>
      <c r="G1218" s="4"/>
      <c r="H1218" s="4" t="s">
        <v>641</v>
      </c>
      <c r="I1218" s="4"/>
      <c r="J1218" s="4" t="s">
        <v>142</v>
      </c>
      <c r="K1218" s="5">
        <v>1249187</v>
      </c>
      <c r="L1218" s="5">
        <f t="shared" si="381"/>
        <v>1357811.956521739</v>
      </c>
      <c r="M1218" s="8">
        <v>11608160.238064013</v>
      </c>
      <c r="N1218" s="8">
        <v>3037468</v>
      </c>
      <c r="O1218" s="8">
        <f>SUMIFS(EIAwtransport!$J$2:$J$675,EIAwtransport!$E$2:$E$675,Program_data!$E1218,EIAwtransport!$H$2:$H$675,Program_data!$F1218,EIAwtransport!$I$2:$I$675,Program_data!O$2)</f>
        <v>1413576659</v>
      </c>
      <c r="P1218" s="5">
        <f>SUMIFS(EIAwtransport!$J$2:$J$675,EIAwtransport!$E$2:$E$675,Program_data!$E1218,EIAwtransport!$H$2:$H$675,Program_data!$F1218,EIAwtransport!$I$2:$I$675,Program_data!P$2)</f>
        <v>146567226</v>
      </c>
      <c r="Q1218" s="5">
        <f>SUMIFS(EIAwtransport!$J$2:$J$675,EIAwtransport!$E$2:$E$675,Program_data!$E1218,EIAwtransport!$H$2:$H$675,Program_data!$F1218,EIAwtransport!$I$2:$I$675,Program_data!Q$2)</f>
        <v>1670963</v>
      </c>
      <c r="R1218" s="8">
        <f>SUMIFS(EIAwtransport!$J$2:$J$675,EIAwtransport!$E$2:$E$675,Program_data!$E1218,EIAwtransport!$I$2:$I$675,Program_data!R$2)</f>
        <v>1976161463</v>
      </c>
      <c r="S1218" s="5">
        <f>SUMIFS(EIAwtransport!$J$2:$J$675,EIAwtransport!$E$2:$E$675,Program_data!$E1218,EIAwtransport!$I$2:$I$675,Program_data!S$2)</f>
        <v>279743809</v>
      </c>
      <c r="T1218" s="5">
        <f>SUMIFS(EIAwtransport!$J$2:$J$675,EIAwtransport!$E$2:$E$675,Program_data!$E1218,EIAwtransport!$I$2:$I$675,Program_data!T$2)</f>
        <v>1805555</v>
      </c>
      <c r="U1218" s="24">
        <f t="shared" si="384"/>
        <v>4.3102972031418843E-4</v>
      </c>
      <c r="V1218" s="24">
        <f t="shared" si="371"/>
        <v>4.6851056555890044E-4</v>
      </c>
      <c r="W1218" s="24">
        <f t="shared" si="385"/>
        <v>5.8740950349480698E-3</v>
      </c>
      <c r="X1218" s="25">
        <f t="shared" si="386"/>
        <v>4.00537474435374E-3</v>
      </c>
      <c r="Y1218" s="8">
        <f t="shared" si="369"/>
        <v>0.85730175522815799</v>
      </c>
      <c r="Z1218" s="27">
        <f t="shared" si="370"/>
        <v>0.37980396355185458</v>
      </c>
      <c r="AA1218" s="27"/>
      <c r="AB1218" s="27"/>
      <c r="AC1218" s="56">
        <f t="shared" si="382"/>
        <v>1.3140151636152007E-2</v>
      </c>
      <c r="AE1218" s="20">
        <f t="shared" si="374"/>
        <v>4100581.8000000003</v>
      </c>
      <c r="AF1218" s="20">
        <f t="shared" si="375"/>
        <v>2667817975.0500002</v>
      </c>
      <c r="AG1218">
        <f t="shared" ref="AG1218:AG1292" si="387">K1218*105.48</f>
        <v>131764244.76000001</v>
      </c>
      <c r="AH1218">
        <f t="shared" ref="AH1218:AH1292" si="388">L1218*105.48</f>
        <v>143222005.17391303</v>
      </c>
      <c r="AI1218">
        <f t="shared" ref="AI1218:AI1292" si="389">S1218*105.48</f>
        <v>29507376973.32</v>
      </c>
    </row>
    <row r="1219" spans="2:35" ht="15" customHeight="1" x14ac:dyDescent="0.25">
      <c r="B1219" s="4">
        <v>2025</v>
      </c>
      <c r="C1219" s="4" t="s">
        <v>199</v>
      </c>
      <c r="D1219" s="4" t="s">
        <v>635</v>
      </c>
      <c r="E1219" s="4" t="str">
        <f t="shared" si="383"/>
        <v>CMS-MI</v>
      </c>
      <c r="F1219" s="4" t="s">
        <v>135</v>
      </c>
      <c r="G1219" s="4"/>
      <c r="H1219" s="4" t="s">
        <v>647</v>
      </c>
      <c r="I1219" s="4" t="s">
        <v>162</v>
      </c>
      <c r="J1219" s="4" t="s">
        <v>16</v>
      </c>
      <c r="K1219" s="5">
        <f>173547*10.36</f>
        <v>1797946.92</v>
      </c>
      <c r="L1219" s="5">
        <f>188638*10.36</f>
        <v>1954289.68</v>
      </c>
      <c r="M1219" s="8"/>
      <c r="N1219" s="8">
        <v>4660400</v>
      </c>
      <c r="O1219" s="8">
        <f>SUMIFS(EIAwtransport!$J$2:$J$675,EIAwtransport!$E$2:$E$675,Program_data!$E1219,EIAwtransport!$H$2:$H$675,Program_data!$F1219,EIAwtransport!$I$2:$I$675,Program_data!O$2)</f>
        <v>1413576659</v>
      </c>
      <c r="P1219" s="5">
        <f>SUMIFS(EIAwtransport!$J$2:$J$675,EIAwtransport!$E$2:$E$675,Program_data!$E1219,EIAwtransport!$H$2:$H$675,Program_data!$F1219,EIAwtransport!$I$2:$I$675,Program_data!P$2)</f>
        <v>146567226</v>
      </c>
      <c r="Q1219" s="5">
        <f>SUMIFS(EIAwtransport!$J$2:$J$675,EIAwtransport!$E$2:$E$675,Program_data!$E1219,EIAwtransport!$H$2:$H$675,Program_data!$F1219,EIAwtransport!$I$2:$I$675,Program_data!Q$2)</f>
        <v>1670963</v>
      </c>
      <c r="R1219" s="8">
        <f>SUMIFS(EIAwtransport!$J$2:$J$675,EIAwtransport!$E$2:$E$675,Program_data!$E1219,EIAwtransport!$I$2:$I$675,Program_data!R$2)</f>
        <v>1976161463</v>
      </c>
      <c r="S1219" s="5">
        <f>SUMIFS(EIAwtransport!$J$2:$J$675,EIAwtransport!$E$2:$E$675,Program_data!$E1219,EIAwtransport!$I$2:$I$675,Program_data!S$2)</f>
        <v>279743809</v>
      </c>
      <c r="T1219" s="5">
        <f>SUMIFS(EIAwtransport!$J$2:$J$675,EIAwtransport!$E$2:$E$675,Program_data!$E1219,EIAwtransport!$I$2:$I$675,Program_data!T$2)</f>
        <v>1805555</v>
      </c>
      <c r="U1219" s="24"/>
      <c r="V1219" s="24">
        <f t="shared" si="371"/>
        <v>6.743241277593385E-4</v>
      </c>
      <c r="W1219" s="24"/>
      <c r="X1219" s="25"/>
      <c r="Y1219" s="8">
        <f t="shared" si="369"/>
        <v>0</v>
      </c>
      <c r="Z1219" s="27">
        <f t="shared" si="370"/>
        <v>0</v>
      </c>
      <c r="AA1219" s="27"/>
      <c r="AB1219" s="27"/>
      <c r="AC1219" s="56">
        <f t="shared" si="382"/>
        <v>1.8912536844005311E-2</v>
      </c>
      <c r="AE1219" s="20">
        <f t="shared" si="374"/>
        <v>6291540</v>
      </c>
      <c r="AF1219" s="20">
        <f t="shared" si="375"/>
        <v>2667817975.0500002</v>
      </c>
      <c r="AG1219">
        <f t="shared" si="387"/>
        <v>189647441.1216</v>
      </c>
      <c r="AH1219">
        <f t="shared" si="388"/>
        <v>206138475.44639999</v>
      </c>
      <c r="AI1219">
        <f t="shared" si="389"/>
        <v>29507376973.32</v>
      </c>
    </row>
    <row r="1220" spans="2:35" ht="15" customHeight="1" x14ac:dyDescent="0.25">
      <c r="B1220" s="4">
        <v>2025</v>
      </c>
      <c r="C1220" s="4" t="s">
        <v>199</v>
      </c>
      <c r="D1220" s="4" t="s">
        <v>635</v>
      </c>
      <c r="E1220" s="4" t="str">
        <f t="shared" si="383"/>
        <v>CMS-MI</v>
      </c>
      <c r="F1220" s="4" t="s">
        <v>143</v>
      </c>
      <c r="G1220" s="4">
        <v>1</v>
      </c>
      <c r="H1220" s="4" t="s">
        <v>645</v>
      </c>
      <c r="I1220" s="4"/>
      <c r="J1220" s="4" t="s">
        <v>108</v>
      </c>
      <c r="K1220" s="5">
        <v>1759272.5621502388</v>
      </c>
      <c r="L1220" s="5">
        <f>K1220</f>
        <v>1759272.5621502388</v>
      </c>
      <c r="M1220" s="8">
        <v>21297999.982367638</v>
      </c>
      <c r="N1220" s="8">
        <v>0</v>
      </c>
      <c r="O1220" s="8">
        <f>SUMIFS(EIAwtransport!$J$2:$J$675,EIAwtransport!$E$2:$E$675,Program_data!$E1220,EIAwtransport!$H$2:$H$675,Program_data!$F1220,EIAwtransport!$I$2:$I$675,Program_data!O$2)</f>
        <v>0</v>
      </c>
      <c r="P1220" s="5">
        <f>SUMIFS(EIAwtransport!$J$2:$J$675,EIAwtransport!$E$2:$E$675,Program_data!$E1220,EIAwtransport!$H$2:$H$675,Program_data!$F1220,EIAwtransport!$I$2:$I$675,Program_data!P$2)</f>
        <v>0</v>
      </c>
      <c r="Q1220" s="5">
        <f>SUMIFS(EIAwtransport!$J$2:$J$675,EIAwtransport!$E$2:$E$675,Program_data!$E1220,EIAwtransport!$H$2:$H$675,Program_data!$F1220,EIAwtransport!$I$2:$I$675,Program_data!Q$2)</f>
        <v>0</v>
      </c>
      <c r="R1220" s="8">
        <f>SUMIFS(EIAwtransport!$J$2:$J$675,EIAwtransport!$E$2:$E$675,Program_data!$E1220,EIAwtransport!$I$2:$I$675,Program_data!R$2)</f>
        <v>1976161463</v>
      </c>
      <c r="S1220" s="5">
        <f>SUMIFS(EIAwtransport!$J$2:$J$675,EIAwtransport!$E$2:$E$675,Program_data!$E1220,EIAwtransport!$I$2:$I$675,Program_data!S$2)</f>
        <v>279743809</v>
      </c>
      <c r="T1220" s="5">
        <f>SUMIFS(EIAwtransport!$J$2:$J$675,EIAwtransport!$E$2:$E$675,Program_data!$E1220,EIAwtransport!$I$2:$I$675,Program_data!T$2)</f>
        <v>1805555</v>
      </c>
      <c r="U1220" s="24">
        <f t="shared" ref="U1220:U1234" si="390">IFERROR(K1220/10.36/S1220,"")</f>
        <v>6.0703382313460127E-4</v>
      </c>
      <c r="V1220" s="24">
        <f t="shared" si="371"/>
        <v>6.0703382313460127E-4</v>
      </c>
      <c r="W1220" s="24">
        <f t="shared" ref="W1220:W1234" si="391">IFERROR(M1220/R1220,"")</f>
        <v>1.0777459423803995E-2</v>
      </c>
      <c r="X1220" s="25">
        <f t="shared" ref="X1220:X1234" si="392">IFERROR(M1220/S1220/10.36,"")</f>
        <v>7.3488364637572393E-3</v>
      </c>
      <c r="Y1220" s="8">
        <f t="shared" ref="Y1220:Y1283" si="393">IFERROR(M1220/SUMIFS($K$3:$K$1492,$E$3:$E$1492,E1220,$B$3:$B$1492,B1220,$F$3:$F$1492,F1220,$A$3:$A$1492,""),"")</f>
        <v>7.8846841606371338</v>
      </c>
      <c r="Z1220" s="27">
        <f t="shared" ref="Z1220:Z1283" si="394">IFERROR(M1220/SUMIFS($K$3:$K$1492,$E$3:$E$1492,E1220,$B$3:$B$1492,B1220,$A$3:$A$1492,""),"")</f>
        <v>0.69684296590823391</v>
      </c>
      <c r="AA1220" s="27"/>
      <c r="AB1220" s="27"/>
      <c r="AC1220" s="56">
        <f t="shared" si="382"/>
        <v>1.850572271083176E-2</v>
      </c>
      <c r="AE1220" s="20">
        <f t="shared" si="374"/>
        <v>0</v>
      </c>
      <c r="AF1220" s="20">
        <f t="shared" si="375"/>
        <v>2667817975.0500002</v>
      </c>
      <c r="AG1220">
        <f t="shared" si="387"/>
        <v>185568069.85560718</v>
      </c>
      <c r="AH1220">
        <f t="shared" si="388"/>
        <v>185568069.85560718</v>
      </c>
      <c r="AI1220">
        <f t="shared" si="389"/>
        <v>29507376973.32</v>
      </c>
    </row>
    <row r="1221" spans="2:35" ht="15" customHeight="1" x14ac:dyDescent="0.25">
      <c r="B1221" s="4">
        <v>2025</v>
      </c>
      <c r="C1221" s="4" t="s">
        <v>199</v>
      </c>
      <c r="D1221" s="4" t="s">
        <v>635</v>
      </c>
      <c r="E1221" s="4" t="str">
        <f t="shared" si="383"/>
        <v>CMS-MI</v>
      </c>
      <c r="F1221" s="4" t="s">
        <v>143</v>
      </c>
      <c r="G1221" s="4">
        <v>1</v>
      </c>
      <c r="H1221" s="4" t="s">
        <v>646</v>
      </c>
      <c r="I1221" s="4"/>
      <c r="J1221" s="4" t="s">
        <v>108</v>
      </c>
      <c r="K1221" s="5">
        <v>941913.62977030396</v>
      </c>
      <c r="L1221" s="5">
        <f>K1221</f>
        <v>941913.62977030396</v>
      </c>
      <c r="M1221" s="8">
        <v>10802833.857269278</v>
      </c>
      <c r="N1221" s="8">
        <v>10490945.940921078</v>
      </c>
      <c r="O1221" s="8">
        <f>SUMIFS(EIAwtransport!$J$2:$J$675,EIAwtransport!$E$2:$E$675,Program_data!$E1221,EIAwtransport!$H$2:$H$675,Program_data!$F1221,EIAwtransport!$I$2:$I$675,Program_data!O$2)</f>
        <v>0</v>
      </c>
      <c r="P1221" s="5">
        <f>SUMIFS(EIAwtransport!$J$2:$J$675,EIAwtransport!$E$2:$E$675,Program_data!$E1221,EIAwtransport!$H$2:$H$675,Program_data!$F1221,EIAwtransport!$I$2:$I$675,Program_data!P$2)</f>
        <v>0</v>
      </c>
      <c r="Q1221" s="5">
        <f>SUMIFS(EIAwtransport!$J$2:$J$675,EIAwtransport!$E$2:$E$675,Program_data!$E1221,EIAwtransport!$H$2:$H$675,Program_data!$F1221,EIAwtransport!$I$2:$I$675,Program_data!Q$2)</f>
        <v>0</v>
      </c>
      <c r="R1221" s="8">
        <f>SUMIFS(EIAwtransport!$J$2:$J$675,EIAwtransport!$E$2:$E$675,Program_data!$E1221,EIAwtransport!$I$2:$I$675,Program_data!R$2)</f>
        <v>1976161463</v>
      </c>
      <c r="S1221" s="5">
        <f>SUMIFS(EIAwtransport!$J$2:$J$675,EIAwtransport!$E$2:$E$675,Program_data!$E1221,EIAwtransport!$I$2:$I$675,Program_data!S$2)</f>
        <v>279743809</v>
      </c>
      <c r="T1221" s="5">
        <f>SUMIFS(EIAwtransport!$J$2:$J$675,EIAwtransport!$E$2:$E$675,Program_data!$E1221,EIAwtransport!$I$2:$I$675,Program_data!T$2)</f>
        <v>1805555</v>
      </c>
      <c r="U1221" s="24">
        <f t="shared" si="390"/>
        <v>3.2500559836118705E-4</v>
      </c>
      <c r="V1221" s="24">
        <f t="shared" si="371"/>
        <v>3.2500559836118705E-4</v>
      </c>
      <c r="W1221" s="24">
        <f t="shared" si="391"/>
        <v>5.4665744978497632E-3</v>
      </c>
      <c r="X1221" s="25">
        <f t="shared" si="392"/>
        <v>3.7274983297932354E-3</v>
      </c>
      <c r="Y1221" s="8">
        <f t="shared" si="393"/>
        <v>3.9992925661997649</v>
      </c>
      <c r="Z1221" s="27">
        <f t="shared" si="394"/>
        <v>0.35345472774653264</v>
      </c>
      <c r="AA1221" s="27"/>
      <c r="AB1221" s="27"/>
      <c r="AC1221" s="56">
        <f t="shared" si="382"/>
        <v>9.9079544722608676E-3</v>
      </c>
      <c r="AE1221" s="20">
        <f t="shared" si="374"/>
        <v>14162777.020243455</v>
      </c>
      <c r="AF1221" s="20">
        <f t="shared" si="375"/>
        <v>2667817975.0500002</v>
      </c>
      <c r="AG1221">
        <f t="shared" si="387"/>
        <v>99353049.668171659</v>
      </c>
      <c r="AH1221">
        <f t="shared" si="388"/>
        <v>99353049.668171659</v>
      </c>
      <c r="AI1221">
        <f t="shared" si="389"/>
        <v>29507376973.32</v>
      </c>
    </row>
    <row r="1222" spans="2:35" ht="15" customHeight="1" x14ac:dyDescent="0.25">
      <c r="B1222" s="4">
        <v>2025</v>
      </c>
      <c r="C1222" s="4" t="s">
        <v>199</v>
      </c>
      <c r="D1222" s="4" t="s">
        <v>635</v>
      </c>
      <c r="E1222" s="4" t="str">
        <f t="shared" si="383"/>
        <v>CMS-MI</v>
      </c>
      <c r="F1222" s="4" t="s">
        <v>135</v>
      </c>
      <c r="G1222" s="4"/>
      <c r="H1222" s="4" t="s">
        <v>182</v>
      </c>
      <c r="I1222" s="4"/>
      <c r="J1222" s="4" t="s">
        <v>142</v>
      </c>
      <c r="K1222" s="5">
        <v>1904248.9267253214</v>
      </c>
      <c r="L1222" s="5">
        <f t="shared" ref="L1222:L1234" si="395">K1222/0.92</f>
        <v>2069835.7899188276</v>
      </c>
      <c r="M1222" s="8">
        <v>2803658.2106582867</v>
      </c>
      <c r="N1222" s="8">
        <v>1143606.6767500001</v>
      </c>
      <c r="O1222" s="8">
        <f>SUMIFS(EIAwtransport!$J$2:$J$675,EIAwtransport!$E$2:$E$675,Program_data!$E1222,EIAwtransport!$H$2:$H$675,Program_data!$F1222,EIAwtransport!$I$2:$I$675,Program_data!O$2)</f>
        <v>1413576659</v>
      </c>
      <c r="P1222" s="5">
        <f>SUMIFS(EIAwtransport!$J$2:$J$675,EIAwtransport!$E$2:$E$675,Program_data!$E1222,EIAwtransport!$H$2:$H$675,Program_data!$F1222,EIAwtransport!$I$2:$I$675,Program_data!P$2)</f>
        <v>146567226</v>
      </c>
      <c r="Q1222" s="5">
        <f>SUMIFS(EIAwtransport!$J$2:$J$675,EIAwtransport!$E$2:$E$675,Program_data!$E1222,EIAwtransport!$H$2:$H$675,Program_data!$F1222,EIAwtransport!$I$2:$I$675,Program_data!Q$2)</f>
        <v>1670963</v>
      </c>
      <c r="R1222" s="8">
        <f>SUMIFS(EIAwtransport!$J$2:$J$675,EIAwtransport!$E$2:$E$675,Program_data!$E1222,EIAwtransport!$I$2:$I$675,Program_data!R$2)</f>
        <v>1976161463</v>
      </c>
      <c r="S1222" s="5">
        <f>SUMIFS(EIAwtransport!$J$2:$J$675,EIAwtransport!$E$2:$E$675,Program_data!$E1222,EIAwtransport!$I$2:$I$675,Program_data!S$2)</f>
        <v>279743809</v>
      </c>
      <c r="T1222" s="5">
        <f>SUMIFS(EIAwtransport!$J$2:$J$675,EIAwtransport!$E$2:$E$675,Program_data!$E1222,EIAwtransport!$I$2:$I$675,Program_data!T$2)</f>
        <v>1805555</v>
      </c>
      <c r="U1222" s="24">
        <f t="shared" si="390"/>
        <v>6.5705765613555773E-4</v>
      </c>
      <c r="V1222" s="24">
        <f t="shared" si="371"/>
        <v>7.1419310449517132E-4</v>
      </c>
      <c r="W1222" s="24">
        <f t="shared" si="391"/>
        <v>1.4187394416658992E-3</v>
      </c>
      <c r="X1222" s="25">
        <f t="shared" si="392"/>
        <v>9.6739720666050755E-4</v>
      </c>
      <c r="Y1222" s="8">
        <f t="shared" si="393"/>
        <v>0.20705960770386905</v>
      </c>
      <c r="Z1222" s="27">
        <f t="shared" si="394"/>
        <v>9.1732064256059051E-2</v>
      </c>
      <c r="AA1222" s="27"/>
      <c r="AB1222" s="27"/>
      <c r="AC1222" s="56">
        <f t="shared" si="382"/>
        <v>2.0030723702816663E-2</v>
      </c>
      <c r="AE1222" s="20">
        <f t="shared" si="374"/>
        <v>1543869.0136125002</v>
      </c>
      <c r="AF1222" s="20">
        <f t="shared" si="375"/>
        <v>2667817975.0500002</v>
      </c>
      <c r="AG1222">
        <f t="shared" si="387"/>
        <v>200860176.79098693</v>
      </c>
      <c r="AH1222">
        <f t="shared" si="388"/>
        <v>218326279.12063795</v>
      </c>
      <c r="AI1222">
        <f t="shared" si="389"/>
        <v>29507376973.32</v>
      </c>
    </row>
    <row r="1223" spans="2:35" ht="15" customHeight="1" x14ac:dyDescent="0.25">
      <c r="B1223" s="4">
        <v>2025</v>
      </c>
      <c r="C1223" s="4" t="s">
        <v>199</v>
      </c>
      <c r="D1223" s="4" t="s">
        <v>635</v>
      </c>
      <c r="E1223" s="4" t="str">
        <f t="shared" si="383"/>
        <v>CMS-MI</v>
      </c>
      <c r="F1223" s="4" t="s">
        <v>135</v>
      </c>
      <c r="G1223" s="4"/>
      <c r="H1223" s="4" t="s">
        <v>642</v>
      </c>
      <c r="I1223" s="4"/>
      <c r="J1223" s="4" t="s">
        <v>32</v>
      </c>
      <c r="K1223" s="5">
        <v>532763.35048630566</v>
      </c>
      <c r="L1223" s="5">
        <f t="shared" si="395"/>
        <v>579090.59835468</v>
      </c>
      <c r="M1223" s="8">
        <v>958979.83602523664</v>
      </c>
      <c r="N1223" s="8">
        <v>665680</v>
      </c>
      <c r="O1223" s="8">
        <f>SUMIFS(EIAwtransport!$J$2:$J$675,EIAwtransport!$E$2:$E$675,Program_data!$E1223,EIAwtransport!$H$2:$H$675,Program_data!$F1223,EIAwtransport!$I$2:$I$675,Program_data!O$2)</f>
        <v>1413576659</v>
      </c>
      <c r="P1223" s="5">
        <f>SUMIFS(EIAwtransport!$J$2:$J$675,EIAwtransport!$E$2:$E$675,Program_data!$E1223,EIAwtransport!$H$2:$H$675,Program_data!$F1223,EIAwtransport!$I$2:$I$675,Program_data!P$2)</f>
        <v>146567226</v>
      </c>
      <c r="Q1223" s="5">
        <f>SUMIFS(EIAwtransport!$J$2:$J$675,EIAwtransport!$E$2:$E$675,Program_data!$E1223,EIAwtransport!$H$2:$H$675,Program_data!$F1223,EIAwtransport!$I$2:$I$675,Program_data!Q$2)</f>
        <v>1670963</v>
      </c>
      <c r="R1223" s="8">
        <f>SUMIFS(EIAwtransport!$J$2:$J$675,EIAwtransport!$E$2:$E$675,Program_data!$E1223,EIAwtransport!$I$2:$I$675,Program_data!R$2)</f>
        <v>1976161463</v>
      </c>
      <c r="S1223" s="5">
        <f>SUMIFS(EIAwtransport!$J$2:$J$675,EIAwtransport!$E$2:$E$675,Program_data!$E1223,EIAwtransport!$I$2:$I$675,Program_data!S$2)</f>
        <v>279743809</v>
      </c>
      <c r="T1223" s="5">
        <f>SUMIFS(EIAwtransport!$J$2:$J$675,EIAwtransport!$E$2:$E$675,Program_data!$E1223,EIAwtransport!$I$2:$I$675,Program_data!T$2)</f>
        <v>1805555</v>
      </c>
      <c r="U1223" s="24">
        <f t="shared" si="390"/>
        <v>1.838290327659208E-4</v>
      </c>
      <c r="V1223" s="24">
        <f t="shared" si="371"/>
        <v>1.998141660499139E-4</v>
      </c>
      <c r="W1223" s="24">
        <f t="shared" si="391"/>
        <v>4.8527402946589929E-4</v>
      </c>
      <c r="X1223" s="25">
        <f t="shared" si="392"/>
        <v>3.3089426203515094E-4</v>
      </c>
      <c r="Y1223" s="8">
        <f t="shared" si="393"/>
        <v>7.0823892829890892E-2</v>
      </c>
      <c r="Z1223" s="27">
        <f t="shared" si="394"/>
        <v>3.1376577788302232E-2</v>
      </c>
      <c r="AA1223" s="27"/>
      <c r="AB1223" s="27"/>
      <c r="AC1223" s="56">
        <f t="shared" si="382"/>
        <v>5.6041178875336157E-3</v>
      </c>
      <c r="AE1223" s="20">
        <f t="shared" si="374"/>
        <v>898668.00000000012</v>
      </c>
      <c r="AF1223" s="20">
        <f t="shared" si="375"/>
        <v>2667817975.0500002</v>
      </c>
      <c r="AG1223">
        <f t="shared" si="387"/>
        <v>56195878.209295526</v>
      </c>
      <c r="AH1223">
        <f t="shared" si="388"/>
        <v>61082476.31445165</v>
      </c>
      <c r="AI1223">
        <f t="shared" si="389"/>
        <v>29507376973.32</v>
      </c>
    </row>
    <row r="1224" spans="2:35" ht="15" customHeight="1" x14ac:dyDescent="0.25">
      <c r="B1224" s="4">
        <v>2025</v>
      </c>
      <c r="C1224" s="4" t="s">
        <v>199</v>
      </c>
      <c r="D1224" s="4" t="s">
        <v>635</v>
      </c>
      <c r="E1224" s="4" t="str">
        <f t="shared" si="383"/>
        <v>CMS-MI</v>
      </c>
      <c r="F1224" s="4" t="s">
        <v>135</v>
      </c>
      <c r="G1224" s="4"/>
      <c r="H1224" s="4" t="s">
        <v>643</v>
      </c>
      <c r="I1224" s="4"/>
      <c r="J1224" s="4" t="s">
        <v>142</v>
      </c>
      <c r="K1224" s="5">
        <v>1343977.692843636</v>
      </c>
      <c r="L1224" s="5">
        <f t="shared" si="395"/>
        <v>1460845.3183082999</v>
      </c>
      <c r="M1224" s="8">
        <v>3504379.3547554398</v>
      </c>
      <c r="N1224" s="8">
        <v>1580945.7250000001</v>
      </c>
      <c r="O1224" s="8">
        <f>SUMIFS(EIAwtransport!$J$2:$J$675,EIAwtransport!$E$2:$E$675,Program_data!$E1224,EIAwtransport!$H$2:$H$675,Program_data!$F1224,EIAwtransport!$I$2:$I$675,Program_data!O$2)</f>
        <v>1413576659</v>
      </c>
      <c r="P1224" s="5">
        <f>SUMIFS(EIAwtransport!$J$2:$J$675,EIAwtransport!$E$2:$E$675,Program_data!$E1224,EIAwtransport!$H$2:$H$675,Program_data!$F1224,EIAwtransport!$I$2:$I$675,Program_data!P$2)</f>
        <v>146567226</v>
      </c>
      <c r="Q1224" s="5">
        <f>SUMIFS(EIAwtransport!$J$2:$J$675,EIAwtransport!$E$2:$E$675,Program_data!$E1224,EIAwtransport!$H$2:$H$675,Program_data!$F1224,EIAwtransport!$I$2:$I$675,Program_data!Q$2)</f>
        <v>1670963</v>
      </c>
      <c r="R1224" s="8">
        <f>SUMIFS(EIAwtransport!$J$2:$J$675,EIAwtransport!$E$2:$E$675,Program_data!$E1224,EIAwtransport!$I$2:$I$675,Program_data!R$2)</f>
        <v>1976161463</v>
      </c>
      <c r="S1224" s="5">
        <f>SUMIFS(EIAwtransport!$J$2:$J$675,EIAwtransport!$E$2:$E$675,Program_data!$E1224,EIAwtransport!$I$2:$I$675,Program_data!S$2)</f>
        <v>279743809</v>
      </c>
      <c r="T1224" s="5">
        <f>SUMIFS(EIAwtransport!$J$2:$J$675,EIAwtransport!$E$2:$E$675,Program_data!$E1224,EIAwtransport!$I$2:$I$675,Program_data!T$2)</f>
        <v>1805555</v>
      </c>
      <c r="U1224" s="24">
        <f t="shared" si="390"/>
        <v>4.6373707783934731E-4</v>
      </c>
      <c r="V1224" s="24">
        <f t="shared" si="371"/>
        <v>5.0406204112972528E-4</v>
      </c>
      <c r="W1224" s="24">
        <f t="shared" si="391"/>
        <v>1.7733264312499346E-3</v>
      </c>
      <c r="X1224" s="25">
        <f t="shared" si="392"/>
        <v>1.2091797730484335E-3</v>
      </c>
      <c r="Y1224" s="8">
        <f t="shared" si="393"/>
        <v>0.25881022575530982</v>
      </c>
      <c r="Z1224" s="27">
        <f t="shared" si="394"/>
        <v>0.11465875224232643</v>
      </c>
      <c r="AA1224" s="27"/>
      <c r="AB1224" s="27"/>
      <c r="AC1224" s="56">
        <f t="shared" si="382"/>
        <v>1.4137251411975232E-2</v>
      </c>
      <c r="AE1224" s="20">
        <f t="shared" si="374"/>
        <v>2134276.7287500002</v>
      </c>
      <c r="AF1224" s="20">
        <f t="shared" si="375"/>
        <v>2667817975.0500002</v>
      </c>
      <c r="AG1224">
        <f t="shared" si="387"/>
        <v>141762767.04114673</v>
      </c>
      <c r="AH1224">
        <f t="shared" si="388"/>
        <v>154089964.17515948</v>
      </c>
      <c r="AI1224">
        <f t="shared" si="389"/>
        <v>29507376973.32</v>
      </c>
    </row>
    <row r="1225" spans="2:35" ht="15" customHeight="1" x14ac:dyDescent="0.25">
      <c r="B1225" s="4">
        <v>2025</v>
      </c>
      <c r="C1225" s="4" t="s">
        <v>199</v>
      </c>
      <c r="D1225" s="4" t="s">
        <v>635</v>
      </c>
      <c r="E1225" s="4" t="str">
        <f t="shared" si="383"/>
        <v>CMS-MI</v>
      </c>
      <c r="F1225" s="4" t="s">
        <v>135</v>
      </c>
      <c r="G1225" s="4"/>
      <c r="H1225" s="4" t="s">
        <v>644</v>
      </c>
      <c r="I1225" s="4"/>
      <c r="J1225" s="4" t="s">
        <v>42</v>
      </c>
      <c r="K1225" s="5">
        <v>1365401.3212349017</v>
      </c>
      <c r="L1225" s="5">
        <f t="shared" si="395"/>
        <v>1484131.8709075018</v>
      </c>
      <c r="M1225" s="8">
        <v>1069546.3023385052</v>
      </c>
      <c r="N1225" s="8">
        <v>0</v>
      </c>
      <c r="O1225" s="8">
        <f>SUMIFS(EIAwtransport!$J$2:$J$675,EIAwtransport!$E$2:$E$675,Program_data!$E1225,EIAwtransport!$H$2:$H$675,Program_data!$F1225,EIAwtransport!$I$2:$I$675,Program_data!O$2)</f>
        <v>1413576659</v>
      </c>
      <c r="P1225" s="5">
        <f>SUMIFS(EIAwtransport!$J$2:$J$675,EIAwtransport!$E$2:$E$675,Program_data!$E1225,EIAwtransport!$H$2:$H$675,Program_data!$F1225,EIAwtransport!$I$2:$I$675,Program_data!P$2)</f>
        <v>146567226</v>
      </c>
      <c r="Q1225" s="5">
        <f>SUMIFS(EIAwtransport!$J$2:$J$675,EIAwtransport!$E$2:$E$675,Program_data!$E1225,EIAwtransport!$H$2:$H$675,Program_data!$F1225,EIAwtransport!$I$2:$I$675,Program_data!Q$2)</f>
        <v>1670963</v>
      </c>
      <c r="R1225" s="8">
        <f>SUMIFS(EIAwtransport!$J$2:$J$675,EIAwtransport!$E$2:$E$675,Program_data!$E1225,EIAwtransport!$I$2:$I$675,Program_data!R$2)</f>
        <v>1976161463</v>
      </c>
      <c r="S1225" s="5">
        <f>SUMIFS(EIAwtransport!$J$2:$J$675,EIAwtransport!$E$2:$E$675,Program_data!$E1225,EIAwtransport!$I$2:$I$675,Program_data!S$2)</f>
        <v>279743809</v>
      </c>
      <c r="T1225" s="5">
        <f>SUMIFS(EIAwtransport!$J$2:$J$675,EIAwtransport!$E$2:$E$675,Program_data!$E1225,EIAwtransport!$I$2:$I$675,Program_data!T$2)</f>
        <v>1805555</v>
      </c>
      <c r="U1225" s="24">
        <f t="shared" si="390"/>
        <v>4.7112926215891061E-4</v>
      </c>
      <c r="V1225" s="24">
        <f t="shared" si="371"/>
        <v>5.1209702408577243E-4</v>
      </c>
      <c r="W1225" s="24">
        <f t="shared" si="391"/>
        <v>5.4122414709718749E-4</v>
      </c>
      <c r="X1225" s="25">
        <f t="shared" si="392"/>
        <v>3.690450217301656E-4</v>
      </c>
      <c r="Y1225" s="8">
        <f t="shared" si="393"/>
        <v>7.8989598996568419E-2</v>
      </c>
      <c r="Z1225" s="27">
        <f t="shared" si="394"/>
        <v>3.4994169317061626E-2</v>
      </c>
      <c r="AA1225" s="27"/>
      <c r="AB1225" s="27"/>
      <c r="AC1225" s="56">
        <f t="shared" si="382"/>
        <v>1.4362605762971362E-2</v>
      </c>
      <c r="AE1225" s="20">
        <f t="shared" si="374"/>
        <v>0</v>
      </c>
      <c r="AF1225" s="20">
        <f t="shared" si="375"/>
        <v>2667817975.0500002</v>
      </c>
      <c r="AG1225">
        <f t="shared" si="387"/>
        <v>144022531.36385745</v>
      </c>
      <c r="AH1225">
        <f t="shared" si="388"/>
        <v>156546229.7433233</v>
      </c>
      <c r="AI1225">
        <f t="shared" si="389"/>
        <v>29507376973.32</v>
      </c>
    </row>
    <row r="1226" spans="2:35" ht="15" customHeight="1" x14ac:dyDescent="0.25">
      <c r="B1226" s="4">
        <v>2025</v>
      </c>
      <c r="C1226" s="4" t="s">
        <v>199</v>
      </c>
      <c r="D1226" s="4" t="s">
        <v>635</v>
      </c>
      <c r="E1226" s="4" t="str">
        <f t="shared" si="383"/>
        <v>CMS-MI</v>
      </c>
      <c r="F1226" s="4" t="s">
        <v>146</v>
      </c>
      <c r="G1226" s="4"/>
      <c r="H1226" s="4" t="s">
        <v>638</v>
      </c>
      <c r="I1226" s="4"/>
      <c r="J1226" s="4" t="s">
        <v>142</v>
      </c>
      <c r="K1226" s="5">
        <v>8044216.8359524915</v>
      </c>
      <c r="L1226" s="5">
        <f t="shared" si="395"/>
        <v>8743713.9521222729</v>
      </c>
      <c r="M1226" s="8">
        <v>14433682.51950692</v>
      </c>
      <c r="N1226" s="8">
        <v>9447665.6790909078</v>
      </c>
      <c r="O1226" s="8">
        <f>SUMIFS(EIAwtransport!$J$2:$J$675,EIAwtransport!$E$2:$E$675,Program_data!$E1226,EIAwtransport!$H$2:$H$675,Program_data!$F1226,EIAwtransport!$I$2:$I$675,Program_data!O$2)</f>
        <v>562584804</v>
      </c>
      <c r="P1226" s="5">
        <f>SUMIFS(EIAwtransport!$J$2:$J$675,EIAwtransport!$E$2:$E$675,Program_data!$E1226,EIAwtransport!$H$2:$H$675,Program_data!$F1226,EIAwtransport!$I$2:$I$675,Program_data!P$2)</f>
        <v>133176583</v>
      </c>
      <c r="Q1226" s="5">
        <f>SUMIFS(EIAwtransport!$J$2:$J$675,EIAwtransport!$E$2:$E$675,Program_data!$E1226,EIAwtransport!$H$2:$H$675,Program_data!$F1226,EIAwtransport!$I$2:$I$675,Program_data!Q$2)</f>
        <v>134592</v>
      </c>
      <c r="R1226" s="8">
        <f>SUMIFS(EIAwtransport!$J$2:$J$675,EIAwtransport!$E$2:$E$675,Program_data!$E1226,EIAwtransport!$I$2:$I$675,Program_data!R$2)</f>
        <v>1976161463</v>
      </c>
      <c r="S1226" s="5">
        <f>SUMIFS(EIAwtransport!$J$2:$J$675,EIAwtransport!$E$2:$E$675,Program_data!$E1226,EIAwtransport!$I$2:$I$675,Program_data!S$2)</f>
        <v>279743809</v>
      </c>
      <c r="T1226" s="5">
        <f>SUMIFS(EIAwtransport!$J$2:$J$675,EIAwtransport!$E$2:$E$675,Program_data!$E1226,EIAwtransport!$I$2:$I$675,Program_data!T$2)</f>
        <v>1805555</v>
      </c>
      <c r="U1226" s="24">
        <f t="shared" si="390"/>
        <v>2.7756425042425904E-3</v>
      </c>
      <c r="V1226" s="24">
        <f t="shared" si="371"/>
        <v>3.0170027220028151E-3</v>
      </c>
      <c r="W1226" s="24">
        <f t="shared" si="391"/>
        <v>7.3038983857094475E-3</v>
      </c>
      <c r="X1226" s="25">
        <f t="shared" si="392"/>
        <v>4.980316109186902E-3</v>
      </c>
      <c r="Y1226" s="8">
        <f t="shared" si="393"/>
        <v>1.0077960193962385</v>
      </c>
      <c r="Z1226" s="27">
        <f t="shared" si="394"/>
        <v>0.47225139187707482</v>
      </c>
      <c r="AA1226" s="27"/>
      <c r="AB1226" s="27"/>
      <c r="AC1226" s="56">
        <f t="shared" si="382"/>
        <v>8.4616817993224916E-2</v>
      </c>
      <c r="AE1226" s="20">
        <f t="shared" si="374"/>
        <v>12754348.666772727</v>
      </c>
      <c r="AF1226" s="20">
        <f t="shared" si="375"/>
        <v>2667817975.0500002</v>
      </c>
      <c r="AG1226">
        <f t="shared" si="387"/>
        <v>848503991.85626888</v>
      </c>
      <c r="AH1226">
        <f t="shared" si="388"/>
        <v>922286947.66985738</v>
      </c>
      <c r="AI1226">
        <f t="shared" si="389"/>
        <v>29507376973.32</v>
      </c>
    </row>
    <row r="1227" spans="2:35" x14ac:dyDescent="0.25">
      <c r="B1227" s="4">
        <v>2025</v>
      </c>
      <c r="C1227" s="4" t="s">
        <v>199</v>
      </c>
      <c r="D1227" s="4" t="s">
        <v>635</v>
      </c>
      <c r="E1227" s="4" t="str">
        <f t="shared" si="383"/>
        <v>CMS-MI</v>
      </c>
      <c r="F1227" s="4" t="s">
        <v>146</v>
      </c>
      <c r="G1227" s="4"/>
      <c r="H1227" s="4" t="s">
        <v>636</v>
      </c>
      <c r="I1227" s="4"/>
      <c r="J1227" s="4" t="s">
        <v>61</v>
      </c>
      <c r="K1227" s="5">
        <v>3097336.3632000005</v>
      </c>
      <c r="L1227" s="5">
        <f t="shared" si="395"/>
        <v>3366669.9600000004</v>
      </c>
      <c r="M1227" s="8">
        <v>3686575.8430995862</v>
      </c>
      <c r="N1227" s="8">
        <v>3600770.48</v>
      </c>
      <c r="O1227" s="8">
        <f>SUMIFS(EIAwtransport!$J$2:$J$675,EIAwtransport!$E$2:$E$675,Program_data!$E1227,EIAwtransport!$H$2:$H$675,Program_data!$F1227,EIAwtransport!$I$2:$I$675,Program_data!O$2)</f>
        <v>562584804</v>
      </c>
      <c r="P1227" s="5">
        <f>SUMIFS(EIAwtransport!$J$2:$J$675,EIAwtransport!$E$2:$E$675,Program_data!$E1227,EIAwtransport!$H$2:$H$675,Program_data!$F1227,EIAwtransport!$I$2:$I$675,Program_data!P$2)</f>
        <v>133176583</v>
      </c>
      <c r="Q1227" s="5">
        <f>SUMIFS(EIAwtransport!$J$2:$J$675,EIAwtransport!$E$2:$E$675,Program_data!$E1227,EIAwtransport!$H$2:$H$675,Program_data!$F1227,EIAwtransport!$I$2:$I$675,Program_data!Q$2)</f>
        <v>134592</v>
      </c>
      <c r="R1227" s="8">
        <f>SUMIFS(EIAwtransport!$J$2:$J$675,EIAwtransport!$E$2:$E$675,Program_data!$E1227,EIAwtransport!$I$2:$I$675,Program_data!R$2)</f>
        <v>1976161463</v>
      </c>
      <c r="S1227" s="5">
        <f>SUMIFS(EIAwtransport!$J$2:$J$675,EIAwtransport!$E$2:$E$675,Program_data!$E1227,EIAwtransport!$I$2:$I$675,Program_data!S$2)</f>
        <v>279743809</v>
      </c>
      <c r="T1227" s="5">
        <f>SUMIFS(EIAwtransport!$J$2:$J$675,EIAwtransport!$E$2:$E$675,Program_data!$E1227,EIAwtransport!$I$2:$I$675,Program_data!T$2)</f>
        <v>1805555</v>
      </c>
      <c r="U1227" s="24">
        <f t="shared" si="390"/>
        <v>1.0687303232815117E-3</v>
      </c>
      <c r="V1227" s="24">
        <f t="shared" si="371"/>
        <v>1.1616633948712085E-3</v>
      </c>
      <c r="W1227" s="24">
        <f t="shared" si="391"/>
        <v>1.8655235982099436E-3</v>
      </c>
      <c r="X1227" s="25">
        <f t="shared" si="392"/>
        <v>1.2720463425958308E-3</v>
      </c>
      <c r="Y1227" s="8">
        <f t="shared" si="393"/>
        <v>0.2574059984246499</v>
      </c>
      <c r="Z1227" s="27">
        <f t="shared" si="394"/>
        <v>0.12061998528866462</v>
      </c>
      <c r="AA1227" s="27"/>
      <c r="AB1227" s="27"/>
      <c r="AC1227" s="56">
        <f t="shared" si="382"/>
        <v>3.2580766114773528E-2</v>
      </c>
      <c r="AE1227" s="20">
        <f t="shared" si="374"/>
        <v>4861040.148</v>
      </c>
      <c r="AF1227" s="20">
        <f t="shared" si="375"/>
        <v>2667817975.0500002</v>
      </c>
      <c r="AG1227">
        <f t="shared" si="387"/>
        <v>326707039.59033608</v>
      </c>
      <c r="AH1227">
        <f t="shared" si="388"/>
        <v>355116347.38080007</v>
      </c>
      <c r="AI1227">
        <f t="shared" si="389"/>
        <v>29507376973.32</v>
      </c>
    </row>
    <row r="1228" spans="2:35" x14ac:dyDescent="0.25">
      <c r="B1228" s="4">
        <v>2025</v>
      </c>
      <c r="C1228" s="4" t="s">
        <v>199</v>
      </c>
      <c r="D1228" s="4" t="s">
        <v>635</v>
      </c>
      <c r="E1228" s="4" t="str">
        <f t="shared" si="383"/>
        <v>CMS-MI</v>
      </c>
      <c r="F1228" s="4" t="s">
        <v>146</v>
      </c>
      <c r="G1228" s="4"/>
      <c r="H1228" s="4" t="s">
        <v>637</v>
      </c>
      <c r="I1228" s="4"/>
      <c r="J1228" s="4" t="s">
        <v>27</v>
      </c>
      <c r="K1228" s="5">
        <v>2084825.8639684489</v>
      </c>
      <c r="L1228" s="5">
        <f t="shared" si="395"/>
        <v>2266115.0695309225</v>
      </c>
      <c r="M1228" s="8">
        <v>4250858.8015434789</v>
      </c>
      <c r="N1228" s="8">
        <v>0</v>
      </c>
      <c r="O1228" s="8">
        <f>SUMIFS(EIAwtransport!$J$2:$J$675,EIAwtransport!$E$2:$E$675,Program_data!$E1228,EIAwtransport!$H$2:$H$675,Program_data!$F1228,EIAwtransport!$I$2:$I$675,Program_data!O$2)</f>
        <v>562584804</v>
      </c>
      <c r="P1228" s="5">
        <f>SUMIFS(EIAwtransport!$J$2:$J$675,EIAwtransport!$E$2:$E$675,Program_data!$E1228,EIAwtransport!$H$2:$H$675,Program_data!$F1228,EIAwtransport!$I$2:$I$675,Program_data!P$2)</f>
        <v>133176583</v>
      </c>
      <c r="Q1228" s="5">
        <f>SUMIFS(EIAwtransport!$J$2:$J$675,EIAwtransport!$E$2:$E$675,Program_data!$E1228,EIAwtransport!$H$2:$H$675,Program_data!$F1228,EIAwtransport!$I$2:$I$675,Program_data!Q$2)</f>
        <v>134592</v>
      </c>
      <c r="R1228" s="8">
        <f>SUMIFS(EIAwtransport!$J$2:$J$675,EIAwtransport!$E$2:$E$675,Program_data!$E1228,EIAwtransport!$I$2:$I$675,Program_data!R$2)</f>
        <v>1976161463</v>
      </c>
      <c r="S1228" s="5">
        <f>SUMIFS(EIAwtransport!$J$2:$J$675,EIAwtransport!$E$2:$E$675,Program_data!$E1228,EIAwtransport!$I$2:$I$675,Program_data!S$2)</f>
        <v>279743809</v>
      </c>
      <c r="T1228" s="5">
        <f>SUMIFS(EIAwtransport!$J$2:$J$675,EIAwtransport!$E$2:$E$675,Program_data!$E1228,EIAwtransport!$I$2:$I$675,Program_data!T$2)</f>
        <v>1805555</v>
      </c>
      <c r="U1228" s="24">
        <f t="shared" si="390"/>
        <v>7.1936540249787012E-4</v>
      </c>
      <c r="V1228" s="24">
        <f t="shared" si="371"/>
        <v>7.8191891575855443E-4</v>
      </c>
      <c r="W1228" s="24">
        <f t="shared" si="391"/>
        <v>2.1510685645545749E-3</v>
      </c>
      <c r="X1228" s="25">
        <f t="shared" si="392"/>
        <v>1.4667511592134661E-3</v>
      </c>
      <c r="Y1228" s="8">
        <f t="shared" si="393"/>
        <v>0.29680565395707015</v>
      </c>
      <c r="Z1228" s="27">
        <f t="shared" si="394"/>
        <v>0.13908259260855635</v>
      </c>
      <c r="AA1228" s="27"/>
      <c r="AB1228" s="27"/>
      <c r="AC1228" s="56">
        <f t="shared" si="382"/>
        <v>2.1930205795863258E-2</v>
      </c>
      <c r="AE1228" s="20">
        <f t="shared" si="374"/>
        <v>0</v>
      </c>
      <c r="AF1228" s="20">
        <f t="shared" si="375"/>
        <v>2667817975.0500002</v>
      </c>
      <c r="AG1228">
        <f t="shared" si="387"/>
        <v>219907432.131392</v>
      </c>
      <c r="AH1228">
        <f t="shared" si="388"/>
        <v>239029817.53412172</v>
      </c>
      <c r="AI1228">
        <f t="shared" si="389"/>
        <v>29507376973.32</v>
      </c>
    </row>
    <row r="1229" spans="2:35" x14ac:dyDescent="0.25">
      <c r="B1229" s="4">
        <v>2025</v>
      </c>
      <c r="C1229" s="4" t="s">
        <v>199</v>
      </c>
      <c r="D1229" s="4" t="s">
        <v>635</v>
      </c>
      <c r="E1229" s="4" t="str">
        <f t="shared" si="383"/>
        <v>CMS-MI</v>
      </c>
      <c r="F1229" s="4" t="s">
        <v>146</v>
      </c>
      <c r="G1229" s="4"/>
      <c r="H1229" s="4" t="s">
        <v>648</v>
      </c>
      <c r="I1229" s="4"/>
      <c r="J1229" s="4" t="s">
        <v>155</v>
      </c>
      <c r="K1229" s="5">
        <v>0</v>
      </c>
      <c r="L1229" s="5">
        <f t="shared" si="395"/>
        <v>0</v>
      </c>
      <c r="M1229" s="8">
        <v>0</v>
      </c>
      <c r="N1229" s="8">
        <v>0</v>
      </c>
      <c r="O1229" s="8">
        <f>SUMIFS(EIAwtransport!$J$2:$J$675,EIAwtransport!$E$2:$E$675,Program_data!$E1229,EIAwtransport!$H$2:$H$675,Program_data!$F1229,EIAwtransport!$I$2:$I$675,Program_data!O$2)</f>
        <v>562584804</v>
      </c>
      <c r="P1229" s="5">
        <f>SUMIFS(EIAwtransport!$J$2:$J$675,EIAwtransport!$E$2:$E$675,Program_data!$E1229,EIAwtransport!$H$2:$H$675,Program_data!$F1229,EIAwtransport!$I$2:$I$675,Program_data!P$2)</f>
        <v>133176583</v>
      </c>
      <c r="Q1229" s="5">
        <f>SUMIFS(EIAwtransport!$J$2:$J$675,EIAwtransport!$E$2:$E$675,Program_data!$E1229,EIAwtransport!$H$2:$H$675,Program_data!$F1229,EIAwtransport!$I$2:$I$675,Program_data!Q$2)</f>
        <v>134592</v>
      </c>
      <c r="R1229" s="8">
        <f>SUMIFS(EIAwtransport!$J$2:$J$675,EIAwtransport!$E$2:$E$675,Program_data!$E1229,EIAwtransport!$I$2:$I$675,Program_data!R$2)</f>
        <v>1976161463</v>
      </c>
      <c r="S1229" s="5">
        <f>SUMIFS(EIAwtransport!$J$2:$J$675,EIAwtransport!$E$2:$E$675,Program_data!$E1229,EIAwtransport!$I$2:$I$675,Program_data!S$2)</f>
        <v>279743809</v>
      </c>
      <c r="T1229" s="5">
        <f>SUMIFS(EIAwtransport!$J$2:$J$675,EIAwtransport!$E$2:$E$675,Program_data!$E1229,EIAwtransport!$I$2:$I$675,Program_data!T$2)</f>
        <v>1805555</v>
      </c>
      <c r="U1229" s="24">
        <f t="shared" si="390"/>
        <v>0</v>
      </c>
      <c r="V1229" s="24">
        <f t="shared" si="371"/>
        <v>0</v>
      </c>
      <c r="W1229" s="24">
        <f t="shared" si="391"/>
        <v>0</v>
      </c>
      <c r="X1229" s="25">
        <f t="shared" si="392"/>
        <v>0</v>
      </c>
      <c r="Y1229" s="8">
        <f t="shared" si="393"/>
        <v>0</v>
      </c>
      <c r="Z1229" s="27">
        <f t="shared" si="394"/>
        <v>0</v>
      </c>
      <c r="AA1229" s="27"/>
      <c r="AB1229" s="27"/>
      <c r="AC1229" s="56">
        <f t="shared" si="382"/>
        <v>0</v>
      </c>
      <c r="AE1229" s="20">
        <f t="shared" si="374"/>
        <v>0</v>
      </c>
      <c r="AF1229" s="20">
        <f t="shared" si="375"/>
        <v>2667817975.0500002</v>
      </c>
      <c r="AG1229">
        <f t="shared" si="387"/>
        <v>0</v>
      </c>
      <c r="AH1229">
        <f t="shared" si="388"/>
        <v>0</v>
      </c>
      <c r="AI1229">
        <f t="shared" si="389"/>
        <v>29507376973.32</v>
      </c>
    </row>
    <row r="1230" spans="2:35" x14ac:dyDescent="0.25">
      <c r="B1230" s="4">
        <v>2025</v>
      </c>
      <c r="C1230" s="4" t="s">
        <v>199</v>
      </c>
      <c r="D1230" s="4" t="s">
        <v>635</v>
      </c>
      <c r="E1230" s="4" t="str">
        <f t="shared" si="383"/>
        <v>CMS-MI</v>
      </c>
      <c r="F1230" s="4" t="s">
        <v>146</v>
      </c>
      <c r="G1230" s="4"/>
      <c r="H1230" s="4" t="s">
        <v>639</v>
      </c>
      <c r="I1230" s="4"/>
      <c r="J1230" s="4" t="s">
        <v>142</v>
      </c>
      <c r="K1230" s="5">
        <v>62100.258829574617</v>
      </c>
      <c r="L1230" s="5">
        <f t="shared" si="395"/>
        <v>67500.281336494139</v>
      </c>
      <c r="M1230" s="8">
        <v>90224.877100539656</v>
      </c>
      <c r="N1230" s="8">
        <v>25662.449999999997</v>
      </c>
      <c r="O1230" s="8">
        <f>SUMIFS(EIAwtransport!$J$2:$J$675,EIAwtransport!$E$2:$E$675,Program_data!$E1230,EIAwtransport!$H$2:$H$675,Program_data!$F1230,EIAwtransport!$I$2:$I$675,Program_data!O$2)</f>
        <v>562584804</v>
      </c>
      <c r="P1230" s="5">
        <f>SUMIFS(EIAwtransport!$J$2:$J$675,EIAwtransport!$E$2:$E$675,Program_data!$E1230,EIAwtransport!$H$2:$H$675,Program_data!$F1230,EIAwtransport!$I$2:$I$675,Program_data!P$2)</f>
        <v>133176583</v>
      </c>
      <c r="Q1230" s="5">
        <f>SUMIFS(EIAwtransport!$J$2:$J$675,EIAwtransport!$E$2:$E$675,Program_data!$E1230,EIAwtransport!$H$2:$H$675,Program_data!$F1230,EIAwtransport!$I$2:$I$675,Program_data!Q$2)</f>
        <v>134592</v>
      </c>
      <c r="R1230" s="8">
        <f>SUMIFS(EIAwtransport!$J$2:$J$675,EIAwtransport!$E$2:$E$675,Program_data!$E1230,EIAwtransport!$I$2:$I$675,Program_data!R$2)</f>
        <v>1976161463</v>
      </c>
      <c r="S1230" s="5">
        <f>SUMIFS(EIAwtransport!$J$2:$J$675,EIAwtransport!$E$2:$E$675,Program_data!$E1230,EIAwtransport!$I$2:$I$675,Program_data!S$2)</f>
        <v>279743809</v>
      </c>
      <c r="T1230" s="5">
        <f>SUMIFS(EIAwtransport!$J$2:$J$675,EIAwtransport!$E$2:$E$675,Program_data!$E1230,EIAwtransport!$I$2:$I$675,Program_data!T$2)</f>
        <v>1805555</v>
      </c>
      <c r="U1230" s="24">
        <f t="shared" si="390"/>
        <v>2.1427582255299056E-5</v>
      </c>
      <c r="V1230" s="24">
        <f t="shared" si="371"/>
        <v>2.3290850277498968E-5</v>
      </c>
      <c r="W1230" s="24">
        <f t="shared" si="391"/>
        <v>4.5656632208367103E-5</v>
      </c>
      <c r="X1230" s="25">
        <f t="shared" si="392"/>
        <v>3.1131931041571548E-5</v>
      </c>
      <c r="Y1230" s="8">
        <f t="shared" si="393"/>
        <v>6.2997278670602888E-3</v>
      </c>
      <c r="Z1230" s="27">
        <f t="shared" si="394"/>
        <v>2.9520410841157576E-3</v>
      </c>
      <c r="AA1230" s="27"/>
      <c r="AB1230" s="27"/>
      <c r="AC1230" s="56">
        <f t="shared" si="382"/>
        <v>6.5323031512887827E-4</v>
      </c>
      <c r="AE1230" s="20">
        <f t="shared" si="374"/>
        <v>34644.307499999995</v>
      </c>
      <c r="AF1230" s="20">
        <f t="shared" si="375"/>
        <v>2667817975.0500002</v>
      </c>
      <c r="AG1230">
        <f t="shared" si="387"/>
        <v>6550335.3013435304</v>
      </c>
      <c r="AH1230">
        <f t="shared" si="388"/>
        <v>7119929.6753734024</v>
      </c>
      <c r="AI1230">
        <f t="shared" si="389"/>
        <v>29507376973.32</v>
      </c>
    </row>
    <row r="1231" spans="2:35" x14ac:dyDescent="0.25">
      <c r="B1231" s="4">
        <v>2025</v>
      </c>
      <c r="C1231" s="4" t="s">
        <v>199</v>
      </c>
      <c r="D1231" s="4" t="s">
        <v>635</v>
      </c>
      <c r="E1231" s="4" t="str">
        <f t="shared" si="383"/>
        <v>CMS-MI</v>
      </c>
      <c r="F1231" s="4" t="s">
        <v>135</v>
      </c>
      <c r="G1231" s="4"/>
      <c r="H1231" s="4" t="s">
        <v>649</v>
      </c>
      <c r="I1231" s="4"/>
      <c r="J1231" s="4" t="s">
        <v>142</v>
      </c>
      <c r="K1231" s="5">
        <v>1105900.633890392</v>
      </c>
      <c r="L1231" s="5">
        <f t="shared" si="395"/>
        <v>1202065.9064026</v>
      </c>
      <c r="M1231" s="8">
        <v>4734596.9237865154</v>
      </c>
      <c r="N1231" s="8">
        <v>0</v>
      </c>
      <c r="O1231" s="8">
        <f>SUMIFS(EIAwtransport!$J$2:$J$675,EIAwtransport!$E$2:$E$675,Program_data!$E1231,EIAwtransport!$H$2:$H$675,Program_data!$F1231,EIAwtransport!$I$2:$I$675,Program_data!O$2)</f>
        <v>1413576659</v>
      </c>
      <c r="P1231" s="5">
        <f>SUMIFS(EIAwtransport!$J$2:$J$675,EIAwtransport!$E$2:$E$675,Program_data!$E1231,EIAwtransport!$H$2:$H$675,Program_data!$F1231,EIAwtransport!$I$2:$I$675,Program_data!P$2)</f>
        <v>146567226</v>
      </c>
      <c r="Q1231" s="5">
        <f>SUMIFS(EIAwtransport!$J$2:$J$675,EIAwtransport!$E$2:$E$675,Program_data!$E1231,EIAwtransport!$H$2:$H$675,Program_data!$F1231,EIAwtransport!$I$2:$I$675,Program_data!Q$2)</f>
        <v>1670963</v>
      </c>
      <c r="R1231" s="8">
        <f>SUMIFS(EIAwtransport!$J$2:$J$675,EIAwtransport!$E$2:$E$675,Program_data!$E1231,EIAwtransport!$I$2:$I$675,Program_data!R$2)</f>
        <v>1976161463</v>
      </c>
      <c r="S1231" s="5">
        <f>SUMIFS(EIAwtransport!$J$2:$J$675,EIAwtransport!$E$2:$E$675,Program_data!$E1231,EIAwtransport!$I$2:$I$675,Program_data!S$2)</f>
        <v>279743809</v>
      </c>
      <c r="T1231" s="5">
        <f>SUMIFS(EIAwtransport!$J$2:$J$675,EIAwtransport!$E$2:$E$675,Program_data!$E1231,EIAwtransport!$I$2:$I$675,Program_data!T$2)</f>
        <v>1805555</v>
      </c>
      <c r="U1231" s="24">
        <f t="shared" si="390"/>
        <v>3.8158901823430713E-4</v>
      </c>
      <c r="V1231" s="24">
        <f t="shared" si="371"/>
        <v>4.1477067199381206E-4</v>
      </c>
      <c r="W1231" s="24">
        <f t="shared" si="391"/>
        <v>2.3958553045554027E-3</v>
      </c>
      <c r="X1231" s="25">
        <f t="shared" si="392"/>
        <v>1.633664125435278E-3</v>
      </c>
      <c r="Y1231" s="8">
        <f t="shared" si="393"/>
        <v>0.34966593928901218</v>
      </c>
      <c r="Z1231" s="27">
        <f t="shared" si="394"/>
        <v>0.15490987724118804</v>
      </c>
      <c r="AA1231" s="27"/>
      <c r="AB1231" s="27"/>
      <c r="AC1231" s="56">
        <f t="shared" si="382"/>
        <v>1.163292767522907E-2</v>
      </c>
      <c r="AE1231" s="20">
        <f t="shared" si="374"/>
        <v>0</v>
      </c>
      <c r="AF1231" s="20">
        <f t="shared" si="375"/>
        <v>2667817975.0500002</v>
      </c>
      <c r="AG1231">
        <f t="shared" si="387"/>
        <v>116650398.86275856</v>
      </c>
      <c r="AH1231">
        <f t="shared" si="388"/>
        <v>126793911.80734625</v>
      </c>
      <c r="AI1231">
        <f t="shared" si="389"/>
        <v>29507376973.32</v>
      </c>
    </row>
    <row r="1232" spans="2:35" x14ac:dyDescent="0.25">
      <c r="B1232" s="4">
        <v>2025</v>
      </c>
      <c r="C1232" s="4" t="s">
        <v>199</v>
      </c>
      <c r="D1232" s="4" t="s">
        <v>635</v>
      </c>
      <c r="E1232" s="4" t="str">
        <f t="shared" si="383"/>
        <v>CMS-MI</v>
      </c>
      <c r="F1232" s="4" t="s">
        <v>146</v>
      </c>
      <c r="G1232" s="4"/>
      <c r="H1232" s="4" t="s">
        <v>650</v>
      </c>
      <c r="I1232" s="4"/>
      <c r="J1232" s="4" t="s">
        <v>142</v>
      </c>
      <c r="K1232" s="5">
        <v>1033548.3917072624</v>
      </c>
      <c r="L1232" s="5">
        <f t="shared" si="395"/>
        <v>1123422.1648991981</v>
      </c>
      <c r="M1232" s="8">
        <v>1920051.5476528187</v>
      </c>
      <c r="N1232" s="8">
        <v>0</v>
      </c>
      <c r="O1232" s="8">
        <f>SUMIFS(EIAwtransport!$J$2:$J$675,EIAwtransport!$E$2:$E$675,Program_data!$E1232,EIAwtransport!$H$2:$H$675,Program_data!$F1232,EIAwtransport!$I$2:$I$675,Program_data!O$2)</f>
        <v>562584804</v>
      </c>
      <c r="P1232" s="5">
        <f>SUMIFS(EIAwtransport!$J$2:$J$675,EIAwtransport!$E$2:$E$675,Program_data!$E1232,EIAwtransport!$H$2:$H$675,Program_data!$F1232,EIAwtransport!$I$2:$I$675,Program_data!P$2)</f>
        <v>133176583</v>
      </c>
      <c r="Q1232" s="5">
        <f>SUMIFS(EIAwtransport!$J$2:$J$675,EIAwtransport!$E$2:$E$675,Program_data!$E1232,EIAwtransport!$H$2:$H$675,Program_data!$F1232,EIAwtransport!$I$2:$I$675,Program_data!Q$2)</f>
        <v>134592</v>
      </c>
      <c r="R1232" s="8">
        <f>SUMIFS(EIAwtransport!$J$2:$J$675,EIAwtransport!$E$2:$E$675,Program_data!$E1232,EIAwtransport!$I$2:$I$675,Program_data!R$2)</f>
        <v>1976161463</v>
      </c>
      <c r="S1232" s="5">
        <f>SUMIFS(EIAwtransport!$J$2:$J$675,EIAwtransport!$E$2:$E$675,Program_data!$E1232,EIAwtransport!$I$2:$I$675,Program_data!S$2)</f>
        <v>279743809</v>
      </c>
      <c r="T1232" s="5">
        <f>SUMIFS(EIAwtransport!$J$2:$J$675,EIAwtransport!$E$2:$E$675,Program_data!$E1232,EIAwtransport!$I$2:$I$675,Program_data!T$2)</f>
        <v>1805555</v>
      </c>
      <c r="U1232" s="24">
        <f t="shared" si="390"/>
        <v>3.5662400762156553E-4</v>
      </c>
      <c r="V1232" s="24">
        <f t="shared" si="371"/>
        <v>3.8763479089300602E-4</v>
      </c>
      <c r="W1232" s="24">
        <f t="shared" si="391"/>
        <v>9.7160661393426776E-4</v>
      </c>
      <c r="X1232" s="25">
        <f t="shared" si="392"/>
        <v>6.6251032197230618E-4</v>
      </c>
      <c r="Y1232" s="8">
        <f t="shared" si="393"/>
        <v>0.13406282867486832</v>
      </c>
      <c r="Z1232" s="27">
        <f t="shared" si="394"/>
        <v>6.2821599036096257E-2</v>
      </c>
      <c r="AA1232" s="27"/>
      <c r="AB1232" s="27"/>
      <c r="AC1232" s="56">
        <f t="shared" si="382"/>
        <v>1.0871857128143713E-2</v>
      </c>
      <c r="AE1232" s="20">
        <f t="shared" si="374"/>
        <v>0</v>
      </c>
      <c r="AF1232" s="20">
        <f t="shared" si="375"/>
        <v>2667817975.0500002</v>
      </c>
      <c r="AG1232">
        <f t="shared" si="387"/>
        <v>109018684.35728204</v>
      </c>
      <c r="AH1232">
        <f t="shared" si="388"/>
        <v>118498569.95356742</v>
      </c>
      <c r="AI1232">
        <f t="shared" si="389"/>
        <v>29507376973.32</v>
      </c>
    </row>
    <row r="1233" spans="2:35" x14ac:dyDescent="0.25">
      <c r="B1233" s="4">
        <v>2025</v>
      </c>
      <c r="C1233" s="4" t="s">
        <v>199</v>
      </c>
      <c r="D1233" s="4" t="s">
        <v>635</v>
      </c>
      <c r="E1233" s="4" t="str">
        <f t="shared" si="383"/>
        <v>CMS-MI</v>
      </c>
      <c r="F1233" s="4" t="s">
        <v>135</v>
      </c>
      <c r="G1233" s="4"/>
      <c r="H1233" s="4" t="s">
        <v>651</v>
      </c>
      <c r="I1233" s="4"/>
      <c r="J1233" s="4" t="s">
        <v>142</v>
      </c>
      <c r="K1233" s="5">
        <v>916906.72525613743</v>
      </c>
      <c r="L1233" s="5">
        <f t="shared" si="395"/>
        <v>996637.74484362756</v>
      </c>
      <c r="M1233" s="8">
        <v>2851992.2020454281</v>
      </c>
      <c r="N1233" s="8">
        <v>0</v>
      </c>
      <c r="O1233" s="8">
        <f>SUMIFS(EIAwtransport!$J$2:$J$675,EIAwtransport!$E$2:$E$675,Program_data!$E1233,EIAwtransport!$H$2:$H$675,Program_data!$F1233,EIAwtransport!$I$2:$I$675,Program_data!O$2)</f>
        <v>1413576659</v>
      </c>
      <c r="P1233" s="5">
        <f>SUMIFS(EIAwtransport!$J$2:$J$675,EIAwtransport!$E$2:$E$675,Program_data!$E1233,EIAwtransport!$H$2:$H$675,Program_data!$F1233,EIAwtransport!$I$2:$I$675,Program_data!P$2)</f>
        <v>146567226</v>
      </c>
      <c r="Q1233" s="5">
        <f>SUMIFS(EIAwtransport!$J$2:$J$675,EIAwtransport!$E$2:$E$675,Program_data!$E1233,EIAwtransport!$H$2:$H$675,Program_data!$F1233,EIAwtransport!$I$2:$I$675,Program_data!Q$2)</f>
        <v>1670963</v>
      </c>
      <c r="R1233" s="8">
        <f>SUMIFS(EIAwtransport!$J$2:$J$675,EIAwtransport!$E$2:$E$675,Program_data!$E1233,EIAwtransport!$I$2:$I$675,Program_data!R$2)</f>
        <v>1976161463</v>
      </c>
      <c r="S1233" s="5">
        <f>SUMIFS(EIAwtransport!$J$2:$J$675,EIAwtransport!$E$2:$E$675,Program_data!$E1233,EIAwtransport!$I$2:$I$675,Program_data!S$2)</f>
        <v>279743809</v>
      </c>
      <c r="T1233" s="5">
        <f>SUMIFS(EIAwtransport!$J$2:$J$675,EIAwtransport!$E$2:$E$675,Program_data!$E1233,EIAwtransport!$I$2:$I$675,Program_data!T$2)</f>
        <v>1805555</v>
      </c>
      <c r="U1233" s="24">
        <f t="shared" si="390"/>
        <v>3.1637701108108826E-4</v>
      </c>
      <c r="V1233" s="24">
        <f t="shared" si="371"/>
        <v>3.4388805552292197E-4</v>
      </c>
      <c r="W1233" s="24">
        <f t="shared" si="391"/>
        <v>1.4431979650670012E-3</v>
      </c>
      <c r="X1233" s="25">
        <f t="shared" si="392"/>
        <v>9.8407476317467855E-4</v>
      </c>
      <c r="Y1233" s="8">
        <f t="shared" si="393"/>
        <v>0.21062923586230062</v>
      </c>
      <c r="Z1233" s="27">
        <f t="shared" si="394"/>
        <v>9.3313489833121821E-2</v>
      </c>
      <c r="AA1233" s="27"/>
      <c r="AB1233" s="27"/>
      <c r="AC1233" s="56">
        <f t="shared" si="382"/>
        <v>9.6449077728740489E-3</v>
      </c>
      <c r="AE1233" s="20">
        <f t="shared" si="374"/>
        <v>0</v>
      </c>
      <c r="AF1233" s="20">
        <f t="shared" si="375"/>
        <v>2667817975.0500002</v>
      </c>
      <c r="AG1233">
        <f t="shared" si="387"/>
        <v>96715321.380017385</v>
      </c>
      <c r="AH1233">
        <f t="shared" si="388"/>
        <v>105125349.32610583</v>
      </c>
      <c r="AI1233">
        <f t="shared" si="389"/>
        <v>29507376973.32</v>
      </c>
    </row>
    <row r="1234" spans="2:35" x14ac:dyDescent="0.25">
      <c r="B1234" s="4">
        <v>2025</v>
      </c>
      <c r="C1234" s="4" t="s">
        <v>199</v>
      </c>
      <c r="D1234" s="4" t="s">
        <v>635</v>
      </c>
      <c r="E1234" s="4" t="str">
        <f t="shared" si="383"/>
        <v>CMS-MI</v>
      </c>
      <c r="F1234" s="4" t="s">
        <v>155</v>
      </c>
      <c r="G1234" s="4"/>
      <c r="H1234" s="4" t="s">
        <v>155</v>
      </c>
      <c r="I1234" s="4"/>
      <c r="J1234" s="4" t="s">
        <v>155</v>
      </c>
      <c r="K1234" s="5">
        <v>0</v>
      </c>
      <c r="L1234" s="5">
        <f t="shared" si="395"/>
        <v>0</v>
      </c>
      <c r="M1234" s="8">
        <v>5706959.9999999963</v>
      </c>
      <c r="N1234" s="8">
        <v>0</v>
      </c>
      <c r="O1234" s="8">
        <f>SUMIFS(EIAwtransport!$J$2:$J$675,EIAwtransport!$E$2:$E$675,Program_data!$E1234,EIAwtransport!$H$2:$H$675,Program_data!$F1234,EIAwtransport!$I$2:$I$675,Program_data!O$2)</f>
        <v>0</v>
      </c>
      <c r="P1234" s="5">
        <f>SUMIFS(EIAwtransport!$J$2:$J$675,EIAwtransport!$E$2:$E$675,Program_data!$E1234,EIAwtransport!$H$2:$H$675,Program_data!$F1234,EIAwtransport!$I$2:$I$675,Program_data!P$2)</f>
        <v>0</v>
      </c>
      <c r="Q1234" s="5">
        <f>SUMIFS(EIAwtransport!$J$2:$J$675,EIAwtransport!$E$2:$E$675,Program_data!$E1234,EIAwtransport!$H$2:$H$675,Program_data!$F1234,EIAwtransport!$I$2:$I$675,Program_data!Q$2)</f>
        <v>0</v>
      </c>
      <c r="R1234" s="8">
        <f>SUMIFS(EIAwtransport!$J$2:$J$675,EIAwtransport!$E$2:$E$675,Program_data!$E1234,EIAwtransport!$I$2:$I$675,Program_data!R$2)</f>
        <v>1976161463</v>
      </c>
      <c r="S1234" s="5">
        <f>SUMIFS(EIAwtransport!$J$2:$J$675,EIAwtransport!$E$2:$E$675,Program_data!$E1234,EIAwtransport!$I$2:$I$675,Program_data!S$2)</f>
        <v>279743809</v>
      </c>
      <c r="T1234" s="5">
        <f>SUMIFS(EIAwtransport!$J$2:$J$675,EIAwtransport!$E$2:$E$675,Program_data!$E1234,EIAwtransport!$I$2:$I$675,Program_data!T$2)</f>
        <v>1805555</v>
      </c>
      <c r="U1234" s="24">
        <f t="shared" si="390"/>
        <v>0</v>
      </c>
      <c r="V1234" s="24">
        <f t="shared" si="371"/>
        <v>0</v>
      </c>
      <c r="W1234" s="24">
        <f t="shared" si="391"/>
        <v>2.8879016754715433E-3</v>
      </c>
      <c r="X1234" s="25">
        <f t="shared" si="392"/>
        <v>1.9691762503486342E-3</v>
      </c>
      <c r="Y1234" s="8" t="str">
        <f t="shared" si="393"/>
        <v/>
      </c>
      <c r="Z1234" s="27">
        <f t="shared" si="394"/>
        <v>0.18672433730923294</v>
      </c>
      <c r="AA1234" s="27"/>
      <c r="AB1234" s="27"/>
      <c r="AC1234" s="56">
        <f t="shared" si="382"/>
        <v>0</v>
      </c>
      <c r="AE1234" s="20">
        <f t="shared" si="374"/>
        <v>0</v>
      </c>
      <c r="AF1234" s="20">
        <f t="shared" si="375"/>
        <v>2667817975.0500002</v>
      </c>
      <c r="AG1234">
        <f t="shared" si="387"/>
        <v>0</v>
      </c>
      <c r="AH1234">
        <f t="shared" si="388"/>
        <v>0</v>
      </c>
      <c r="AI1234">
        <f t="shared" si="389"/>
        <v>29507376973.32</v>
      </c>
    </row>
    <row r="1235" spans="2:35" x14ac:dyDescent="0.25">
      <c r="B1235" s="58">
        <v>2023</v>
      </c>
      <c r="C1235" s="58" t="s">
        <v>33</v>
      </c>
      <c r="D1235" s="58" t="s">
        <v>77</v>
      </c>
      <c r="E1235" s="58" t="str">
        <f t="shared" ref="E1235:E1292" si="396">D1235&amp;"-"&amp;C1235</f>
        <v>Enbridge-CAN</v>
      </c>
      <c r="F1235" s="4" t="s">
        <v>135</v>
      </c>
      <c r="G1235" s="58"/>
      <c r="H1235" s="58" t="s">
        <v>652</v>
      </c>
      <c r="I1235" s="58"/>
      <c r="J1235" s="58" t="s">
        <v>142</v>
      </c>
      <c r="K1235" s="60">
        <v>7973571.7680000002</v>
      </c>
      <c r="L1235" s="57">
        <f>(K1235/92.9)*100</f>
        <v>8582962.0753498375</v>
      </c>
      <c r="M1235" s="59">
        <f>SUM(M1236:M1238)</f>
        <v>50760047.452799998</v>
      </c>
      <c r="N1235" s="59">
        <f>SUM(N1236:N1238)</f>
        <v>45772497.168814518</v>
      </c>
      <c r="O1235" s="8">
        <f>SUMIFS(EIAwtransport!$J$2:$J$675,EIAwtransport!$E$2:$E$675,Program_data!$E1235,EIAwtransport!$H$2:$H$675,Program_data!$F1235,EIAwtransport!$I$2:$I$675,Program_data!O$2)</f>
        <v>1047994412.7701588</v>
      </c>
      <c r="P1235" s="5">
        <f>SUMIFS(EIAwtransport!$J$2:$J$675,EIAwtransport!$E$2:$E$675,Program_data!$E1235,EIAwtransport!$H$2:$H$675,Program_data!$F1235,EIAwtransport!$I$2:$I$675,Program_data!P$2)</f>
        <v>270776347.77599996</v>
      </c>
      <c r="Q1235" s="5">
        <f>SUMIFS(EIAwtransport!$J$2:$J$675,EIAwtransport!$E$2:$E$675,Program_data!$E1235,EIAwtransport!$H$2:$H$675,Program_data!$F1235,EIAwtransport!$I$2:$I$675,Program_data!Q$2)</f>
        <v>3711979</v>
      </c>
      <c r="R1235" s="8">
        <f>SUMIFS(EIAwtransport!$J$2:$J$675,EIAwtransport!$E$2:$E$675,Program_data!$E1235,EIAwtransport!$I$2:$I$675,Program_data!R$2)</f>
        <v>3425062807.5999999</v>
      </c>
      <c r="S1235" s="5">
        <f>SUMIFS(EIAwtransport!$J$2:$J$675,EIAwtransport!$E$2:$E$675,Program_data!$E1235,EIAwtransport!$I$2:$I$675,Program_data!S$2)</f>
        <v>884953189.29599977</v>
      </c>
      <c r="T1235" s="5">
        <f>SUMIFS(EIAwtransport!$J$2:$J$675,EIAwtransport!$E$2:$E$675,Program_data!$E1235,EIAwtransport!$I$2:$I$675,Program_data!T$2)</f>
        <v>3728492</v>
      </c>
      <c r="U1235" s="24"/>
      <c r="V1235" s="24">
        <f t="shared" si="371"/>
        <v>9.361752156105042E-4</v>
      </c>
      <c r="W1235" s="24"/>
      <c r="X1235" s="25"/>
      <c r="Y1235" s="8">
        <f t="shared" si="393"/>
        <v>6.3660363171888861</v>
      </c>
      <c r="Z1235" s="27">
        <f t="shared" si="394"/>
        <v>1.2388572438493937</v>
      </c>
      <c r="AA1235" s="27"/>
      <c r="AB1235" s="27"/>
      <c r="AC1235" s="56" t="str">
        <f t="shared" si="382"/>
        <v/>
      </c>
      <c r="AE1235" s="20">
        <f t="shared" si="374"/>
        <v>61792871.177899599</v>
      </c>
      <c r="AF1235" s="20">
        <f t="shared" si="375"/>
        <v>4623834790.2600002</v>
      </c>
      <c r="AG1235">
        <f t="shared" si="387"/>
        <v>841052350.08864009</v>
      </c>
      <c r="AH1235">
        <f t="shared" si="388"/>
        <v>905330839.70790088</v>
      </c>
      <c r="AI1235">
        <f t="shared" si="389"/>
        <v>93344862406.942062</v>
      </c>
    </row>
    <row r="1236" spans="2:35" x14ac:dyDescent="0.25">
      <c r="B1236" s="4">
        <v>2023</v>
      </c>
      <c r="C1236" s="4" t="s">
        <v>33</v>
      </c>
      <c r="D1236" s="4" t="s">
        <v>77</v>
      </c>
      <c r="E1236" s="4" t="str">
        <f t="shared" si="396"/>
        <v>Enbridge-CAN</v>
      </c>
      <c r="F1236" s="4" t="s">
        <v>135</v>
      </c>
      <c r="G1236" s="4"/>
      <c r="H1236" s="4" t="s">
        <v>461</v>
      </c>
      <c r="I1236" s="5"/>
      <c r="J1236" s="5"/>
      <c r="K1236" s="5"/>
      <c r="L1236" s="5"/>
      <c r="M1236" s="8">
        <f>(60000000)*0.74</f>
        <v>44400000</v>
      </c>
      <c r="N1236" s="8">
        <f>(55511017.4638034)*0.74</f>
        <v>41078152.923214518</v>
      </c>
      <c r="O1236" s="8">
        <f>SUMIFS(EIAwtransport!$J$2:$J$675,EIAwtransport!$E$2:$E$675,Program_data!$E1236,EIAwtransport!$H$2:$H$675,Program_data!$F1236,EIAwtransport!$I$2:$I$675,Program_data!O$2)</f>
        <v>1047994412.7701588</v>
      </c>
      <c r="P1236" s="5">
        <f>SUMIFS(EIAwtransport!$J$2:$J$675,EIAwtransport!$E$2:$E$675,Program_data!$E1236,EIAwtransport!$H$2:$H$675,Program_data!$F1236,EIAwtransport!$I$2:$I$675,Program_data!P$2)</f>
        <v>270776347.77599996</v>
      </c>
      <c r="Q1236" s="5">
        <f>SUMIFS(EIAwtransport!$J$2:$J$675,EIAwtransport!$E$2:$E$675,Program_data!$E1236,EIAwtransport!$H$2:$H$675,Program_data!$F1236,EIAwtransport!$I$2:$I$675,Program_data!Q$2)</f>
        <v>3711979</v>
      </c>
      <c r="R1236" s="8">
        <f>SUMIFS(EIAwtransport!$J$2:$J$675,EIAwtransport!$E$2:$E$675,Program_data!$E1236,EIAwtransport!$I$2:$I$675,Program_data!R$2)</f>
        <v>3425062807.5999999</v>
      </c>
      <c r="S1236" s="5">
        <f>SUMIFS(EIAwtransport!$J$2:$J$675,EIAwtransport!$E$2:$E$675,Program_data!$E1236,EIAwtransport!$I$2:$I$675,Program_data!S$2)</f>
        <v>884953189.29599977</v>
      </c>
      <c r="T1236" s="5">
        <f>SUMIFS(EIAwtransport!$J$2:$J$675,EIAwtransport!$E$2:$E$675,Program_data!$E1236,EIAwtransport!$I$2:$I$675,Program_data!T$2)</f>
        <v>3728492</v>
      </c>
      <c r="U1236" s="24">
        <f>IFERROR(K1236/10.36/S1236,"")</f>
        <v>0</v>
      </c>
      <c r="V1236" s="24">
        <f t="shared" si="371"/>
        <v>0</v>
      </c>
      <c r="W1236" s="24">
        <f>IFERROR(M1236/R1236,"")</f>
        <v>1.2963265929453667E-2</v>
      </c>
      <c r="X1236" s="25">
        <f>IFERROR(M1236/S1236/10.36,"")</f>
        <v>4.8428711682746385E-3</v>
      </c>
      <c r="Y1236" s="8">
        <f t="shared" si="393"/>
        <v>5.5683953555404928</v>
      </c>
      <c r="Z1236" s="27">
        <f t="shared" si="394"/>
        <v>1.083632982771747</v>
      </c>
      <c r="AE1236" s="20">
        <f t="shared" si="374"/>
        <v>55455506.4463396</v>
      </c>
      <c r="AF1236" s="20">
        <f t="shared" si="375"/>
        <v>4623834790.2600002</v>
      </c>
      <c r="AG1236">
        <f t="shared" si="387"/>
        <v>0</v>
      </c>
      <c r="AH1236">
        <f t="shared" si="388"/>
        <v>0</v>
      </c>
      <c r="AI1236">
        <f t="shared" si="389"/>
        <v>93344862406.942062</v>
      </c>
    </row>
    <row r="1237" spans="2:35" x14ac:dyDescent="0.25">
      <c r="B1237" s="4">
        <v>2023</v>
      </c>
      <c r="C1237" s="4" t="s">
        <v>33</v>
      </c>
      <c r="D1237" s="4" t="s">
        <v>77</v>
      </c>
      <c r="E1237" s="4" t="str">
        <f t="shared" si="396"/>
        <v>Enbridge-CAN</v>
      </c>
      <c r="F1237" s="4" t="s">
        <v>135</v>
      </c>
      <c r="G1237" s="4"/>
      <c r="H1237" s="4" t="s">
        <v>653</v>
      </c>
      <c r="I1237" s="5"/>
      <c r="J1237" s="5"/>
      <c r="K1237" s="5"/>
      <c r="L1237" s="5"/>
      <c r="M1237" s="8">
        <f>(4617423.72)*0.74</f>
        <v>3416893.5527999997</v>
      </c>
      <c r="N1237" s="8">
        <f>(3557833.44)*0.74</f>
        <v>2632796.7456</v>
      </c>
      <c r="O1237" s="8">
        <f>SUMIFS(EIAwtransport!$J$2:$J$675,EIAwtransport!$E$2:$E$675,Program_data!$E1237,EIAwtransport!$H$2:$H$675,Program_data!$F1237,EIAwtransport!$I$2:$I$675,Program_data!O$2)</f>
        <v>1047994412.7701588</v>
      </c>
      <c r="P1237" s="5">
        <f>SUMIFS(EIAwtransport!$J$2:$J$675,EIAwtransport!$E$2:$E$675,Program_data!$E1237,EIAwtransport!$H$2:$H$675,Program_data!$F1237,EIAwtransport!$I$2:$I$675,Program_data!P$2)</f>
        <v>270776347.77599996</v>
      </c>
      <c r="Q1237" s="5">
        <f>SUMIFS(EIAwtransport!$J$2:$J$675,EIAwtransport!$E$2:$E$675,Program_data!$E1237,EIAwtransport!$H$2:$H$675,Program_data!$F1237,EIAwtransport!$I$2:$I$675,Program_data!Q$2)</f>
        <v>3711979</v>
      </c>
      <c r="R1237" s="8">
        <f>SUMIFS(EIAwtransport!$J$2:$J$675,EIAwtransport!$E$2:$E$675,Program_data!$E1237,EIAwtransport!$I$2:$I$675,Program_data!R$2)</f>
        <v>3425062807.5999999</v>
      </c>
      <c r="S1237" s="5">
        <f>SUMIFS(EIAwtransport!$J$2:$J$675,EIAwtransport!$E$2:$E$675,Program_data!$E1237,EIAwtransport!$I$2:$I$675,Program_data!S$2)</f>
        <v>884953189.29599977</v>
      </c>
      <c r="T1237" s="5">
        <f>SUMIFS(EIAwtransport!$J$2:$J$675,EIAwtransport!$E$2:$E$675,Program_data!$E1237,EIAwtransport!$I$2:$I$675,Program_data!T$2)</f>
        <v>3728492</v>
      </c>
      <c r="U1237" s="24">
        <f>IFERROR(K1237/10.36/S1237,"")</f>
        <v>0</v>
      </c>
      <c r="V1237" s="24">
        <f t="shared" si="371"/>
        <v>0</v>
      </c>
      <c r="W1237" s="24">
        <f>IFERROR(M1237/R1237,"")</f>
        <v>9.9761485985545351E-4</v>
      </c>
      <c r="X1237" s="25">
        <f>IFERROR(M1237/S1237/10.36,"")</f>
        <v>3.726931367549238E-4</v>
      </c>
      <c r="Y1237" s="8">
        <f t="shared" si="393"/>
        <v>0.42852734661684172</v>
      </c>
      <c r="Z1237" s="27">
        <f t="shared" si="394"/>
        <v>8.3393210640410262E-2</v>
      </c>
      <c r="AE1237" s="20">
        <f t="shared" si="374"/>
        <v>3554275.6065600002</v>
      </c>
      <c r="AF1237" s="20">
        <f t="shared" si="375"/>
        <v>4623834790.2600002</v>
      </c>
      <c r="AG1237">
        <f t="shared" si="387"/>
        <v>0</v>
      </c>
      <c r="AH1237">
        <f t="shared" si="388"/>
        <v>0</v>
      </c>
      <c r="AI1237">
        <f t="shared" si="389"/>
        <v>93344862406.942062</v>
      </c>
    </row>
    <row r="1238" spans="2:35" x14ac:dyDescent="0.25">
      <c r="B1238" s="4">
        <v>2023</v>
      </c>
      <c r="C1238" s="4" t="s">
        <v>33</v>
      </c>
      <c r="D1238" s="4" t="s">
        <v>77</v>
      </c>
      <c r="E1238" s="4" t="str">
        <f t="shared" si="396"/>
        <v>Enbridge-CAN</v>
      </c>
      <c r="F1238" s="4" t="s">
        <v>135</v>
      </c>
      <c r="G1238" s="4"/>
      <c r="H1238" s="4" t="s">
        <v>654</v>
      </c>
      <c r="I1238" s="5"/>
      <c r="J1238" s="5"/>
      <c r="K1238" s="5"/>
      <c r="L1238" s="5"/>
      <c r="M1238" s="8">
        <f>(3977235)*0.74</f>
        <v>2943153.9</v>
      </c>
      <c r="N1238" s="8">
        <f>(2785875)*0.74</f>
        <v>2061547.5</v>
      </c>
      <c r="O1238" s="8">
        <f>SUMIFS(EIAwtransport!$J$2:$J$675,EIAwtransport!$E$2:$E$675,Program_data!$E1238,EIAwtransport!$H$2:$H$675,Program_data!$F1238,EIAwtransport!$I$2:$I$675,Program_data!O$2)</f>
        <v>1047994412.7701588</v>
      </c>
      <c r="P1238" s="5">
        <f>SUMIFS(EIAwtransport!$J$2:$J$675,EIAwtransport!$E$2:$E$675,Program_data!$E1238,EIAwtransport!$H$2:$H$675,Program_data!$F1238,EIAwtransport!$I$2:$I$675,Program_data!P$2)</f>
        <v>270776347.77599996</v>
      </c>
      <c r="Q1238" s="5">
        <f>SUMIFS(EIAwtransport!$J$2:$J$675,EIAwtransport!$E$2:$E$675,Program_data!$E1238,EIAwtransport!$H$2:$H$675,Program_data!$F1238,EIAwtransport!$I$2:$I$675,Program_data!Q$2)</f>
        <v>3711979</v>
      </c>
      <c r="R1238" s="8">
        <f>SUMIFS(EIAwtransport!$J$2:$J$675,EIAwtransport!$E$2:$E$675,Program_data!$E1238,EIAwtransport!$I$2:$I$675,Program_data!R$2)</f>
        <v>3425062807.5999999</v>
      </c>
      <c r="S1238" s="5">
        <f>SUMIFS(EIAwtransport!$J$2:$J$675,EIAwtransport!$E$2:$E$675,Program_data!$E1238,EIAwtransport!$I$2:$I$675,Program_data!S$2)</f>
        <v>884953189.29599977</v>
      </c>
      <c r="T1238" s="5">
        <f>SUMIFS(EIAwtransport!$J$2:$J$675,EIAwtransport!$E$2:$E$675,Program_data!$E1238,EIAwtransport!$I$2:$I$675,Program_data!T$2)</f>
        <v>3728492</v>
      </c>
      <c r="U1238" s="24">
        <f>IFERROR(K1238/10.36/S1238,"")</f>
        <v>0</v>
      </c>
      <c r="V1238" s="24">
        <f t="shared" si="371"/>
        <v>0</v>
      </c>
      <c r="W1238" s="24">
        <f>IFERROR(M1238/R1238,"")</f>
        <v>8.5929924948217754E-4</v>
      </c>
      <c r="X1238" s="25">
        <f>IFERROR(M1238/S1238/10.36,"")</f>
        <v>3.2102061184921304E-4</v>
      </c>
      <c r="Y1238" s="8">
        <f t="shared" si="393"/>
        <v>0.36911361503155155</v>
      </c>
      <c r="Z1238" s="27">
        <f t="shared" si="394"/>
        <v>7.1831050437236491E-2</v>
      </c>
      <c r="AE1238" s="20">
        <f t="shared" si="374"/>
        <v>2783089.125</v>
      </c>
      <c r="AF1238" s="20">
        <f t="shared" si="375"/>
        <v>4623834790.2600002</v>
      </c>
      <c r="AG1238">
        <f t="shared" si="387"/>
        <v>0</v>
      </c>
      <c r="AH1238">
        <f t="shared" si="388"/>
        <v>0</v>
      </c>
      <c r="AI1238">
        <f t="shared" si="389"/>
        <v>93344862406.942062</v>
      </c>
    </row>
    <row r="1239" spans="2:35" x14ac:dyDescent="0.25">
      <c r="B1239" s="58">
        <v>2023</v>
      </c>
      <c r="C1239" s="58" t="s">
        <v>33</v>
      </c>
      <c r="D1239" s="58" t="s">
        <v>77</v>
      </c>
      <c r="E1239" s="58" t="str">
        <f t="shared" si="396"/>
        <v>Enbridge-CAN</v>
      </c>
      <c r="F1239" s="58" t="s">
        <v>146</v>
      </c>
      <c r="G1239" s="58"/>
      <c r="H1239" s="58" t="s">
        <v>655</v>
      </c>
      <c r="I1239" s="57"/>
      <c r="J1239" s="58" t="s">
        <v>142</v>
      </c>
      <c r="K1239" s="60">
        <v>5539576.6090000002</v>
      </c>
      <c r="L1239" s="57">
        <f>(K1239/55.1)*100</f>
        <v>10053678.056261344</v>
      </c>
      <c r="M1239" s="59">
        <f>SUM(M1240:M1243)</f>
        <v>8835028.6457039993</v>
      </c>
      <c r="N1239" s="59">
        <f>SUM(N1240:N1243)</f>
        <v>7826528.8083840003</v>
      </c>
      <c r="O1239" s="8">
        <f>SUMIFS(EIAwtransport!$J$2:$J$675,EIAwtransport!$E$2:$E$675,Program_data!$E1239,EIAwtransport!$H$2:$H$675,Program_data!$F1239,EIAwtransport!$I$2:$I$675,Program_data!O$2)</f>
        <v>2377068394.8298411</v>
      </c>
      <c r="P1239" s="5">
        <f>SUMIFS(EIAwtransport!$J$2:$J$675,EIAwtransport!$E$2:$E$675,Program_data!$E1239,EIAwtransport!$H$2:$H$675,Program_data!$F1239,EIAwtransport!$I$2:$I$675,Program_data!P$2)</f>
        <v>614176841.51999986</v>
      </c>
      <c r="Q1239" s="5">
        <f>SUMIFS(EIAwtransport!$J$2:$J$675,EIAwtransport!$E$2:$E$675,Program_data!$E1239,EIAwtransport!$H$2:$H$675,Program_data!$F1239,EIAwtransport!$I$2:$I$675,Program_data!Q$2)</f>
        <v>16513</v>
      </c>
      <c r="R1239" s="8">
        <f>SUMIFS(EIAwtransport!$J$2:$J$675,EIAwtransport!$E$2:$E$675,Program_data!$E1239,EIAwtransport!$I$2:$I$675,Program_data!R$2)</f>
        <v>3425062807.5999999</v>
      </c>
      <c r="S1239" s="5">
        <f>SUMIFS(EIAwtransport!$J$2:$J$675,EIAwtransport!$E$2:$E$675,Program_data!$E1239,EIAwtransport!$I$2:$I$675,Program_data!S$2)</f>
        <v>884953189.29599977</v>
      </c>
      <c r="T1239" s="5">
        <f>SUMIFS(EIAwtransport!$J$2:$J$675,EIAwtransport!$E$2:$E$675,Program_data!$E1239,EIAwtransport!$I$2:$I$675,Program_data!T$2)</f>
        <v>3728492</v>
      </c>
      <c r="U1239" s="24"/>
      <c r="V1239" s="24">
        <f t="shared" si="371"/>
        <v>1.0965916124726007E-3</v>
      </c>
      <c r="W1239" s="24"/>
      <c r="X1239" s="25"/>
      <c r="Y1239" s="8">
        <f t="shared" si="393"/>
        <v>0.29295829673746743</v>
      </c>
      <c r="Z1239" s="27">
        <f t="shared" si="394"/>
        <v>0.21562901901392012</v>
      </c>
      <c r="AE1239" s="20">
        <f t="shared" si="374"/>
        <v>10565813.891318401</v>
      </c>
      <c r="AF1239" s="20">
        <f t="shared" si="375"/>
        <v>4623834790.2600002</v>
      </c>
      <c r="AG1239">
        <f t="shared" si="387"/>
        <v>584314540.71732008</v>
      </c>
      <c r="AH1239">
        <f t="shared" si="388"/>
        <v>1060461961.3744466</v>
      </c>
      <c r="AI1239">
        <f t="shared" si="389"/>
        <v>93344862406.942062</v>
      </c>
    </row>
    <row r="1240" spans="2:35" x14ac:dyDescent="0.25">
      <c r="B1240" s="4">
        <v>2023</v>
      </c>
      <c r="C1240" s="4" t="s">
        <v>33</v>
      </c>
      <c r="D1240" s="4" t="s">
        <v>77</v>
      </c>
      <c r="E1240" s="4" t="str">
        <f t="shared" si="396"/>
        <v>Enbridge-CAN</v>
      </c>
      <c r="F1240" s="4" t="s">
        <v>146</v>
      </c>
      <c r="G1240" s="4"/>
      <c r="H1240" s="4" t="s">
        <v>656</v>
      </c>
      <c r="I1240" s="5"/>
      <c r="J1240" s="5"/>
      <c r="K1240" s="5"/>
      <c r="L1240" s="5"/>
      <c r="M1240" s="8">
        <f>(9516664)*0.74</f>
        <v>7042331.3600000003</v>
      </c>
      <c r="N1240" s="8">
        <f>(8755680)*0.74</f>
        <v>6479203.2000000002</v>
      </c>
      <c r="O1240" s="8">
        <f>SUMIFS(EIAwtransport!$J$2:$J$675,EIAwtransport!$E$2:$E$675,Program_data!$E1240,EIAwtransport!$H$2:$H$675,Program_data!$F1240,EIAwtransport!$I$2:$I$675,Program_data!O$2)</f>
        <v>2377068394.8298411</v>
      </c>
      <c r="P1240" s="5">
        <f>SUMIFS(EIAwtransport!$J$2:$J$675,EIAwtransport!$E$2:$E$675,Program_data!$E1240,EIAwtransport!$H$2:$H$675,Program_data!$F1240,EIAwtransport!$I$2:$I$675,Program_data!P$2)</f>
        <v>614176841.51999986</v>
      </c>
      <c r="Q1240" s="5">
        <f>SUMIFS(EIAwtransport!$J$2:$J$675,EIAwtransport!$E$2:$E$675,Program_data!$E1240,EIAwtransport!$H$2:$H$675,Program_data!$F1240,EIAwtransport!$I$2:$I$675,Program_data!Q$2)</f>
        <v>16513</v>
      </c>
      <c r="R1240" s="8">
        <f>SUMIFS(EIAwtransport!$J$2:$J$675,EIAwtransport!$E$2:$E$675,Program_data!$E1240,EIAwtransport!$I$2:$I$675,Program_data!R$2)</f>
        <v>3425062807.5999999</v>
      </c>
      <c r="S1240" s="5">
        <f>SUMIFS(EIAwtransport!$J$2:$J$675,EIAwtransport!$E$2:$E$675,Program_data!$E1240,EIAwtransport!$I$2:$I$675,Program_data!S$2)</f>
        <v>884953189.29599977</v>
      </c>
      <c r="T1240" s="5">
        <f>SUMIFS(EIAwtransport!$J$2:$J$675,EIAwtransport!$E$2:$E$675,Program_data!$E1240,EIAwtransport!$I$2:$I$675,Program_data!T$2)</f>
        <v>3728492</v>
      </c>
      <c r="U1240" s="24">
        <f>IFERROR(K1240/10.36/S1240,"")</f>
        <v>0</v>
      </c>
      <c r="V1240" s="24">
        <f t="shared" si="371"/>
        <v>0</v>
      </c>
      <c r="W1240" s="24">
        <f>IFERROR(M1240/R1240,"")</f>
        <v>2.0561174365543045E-3</v>
      </c>
      <c r="X1240" s="25">
        <f>IFERROR(M1240/S1240/10.36,"")</f>
        <v>7.6813296172928663E-4</v>
      </c>
      <c r="Y1240" s="8">
        <f t="shared" si="393"/>
        <v>0.23351473809761014</v>
      </c>
      <c r="Z1240" s="27">
        <f t="shared" si="394"/>
        <v>0.17187618327260842</v>
      </c>
      <c r="AE1240" s="20">
        <f t="shared" si="374"/>
        <v>8746924.3200000003</v>
      </c>
      <c r="AF1240" s="20">
        <f t="shared" si="375"/>
        <v>4623834790.2600002</v>
      </c>
      <c r="AG1240">
        <f t="shared" si="387"/>
        <v>0</v>
      </c>
      <c r="AH1240">
        <f t="shared" si="388"/>
        <v>0</v>
      </c>
      <c r="AI1240">
        <f t="shared" si="389"/>
        <v>93344862406.942062</v>
      </c>
    </row>
    <row r="1241" spans="2:35" x14ac:dyDescent="0.25">
      <c r="B1241" s="4">
        <v>2023</v>
      </c>
      <c r="C1241" s="4" t="s">
        <v>33</v>
      </c>
      <c r="D1241" s="4" t="s">
        <v>77</v>
      </c>
      <c r="E1241" s="4" t="str">
        <f t="shared" si="396"/>
        <v>Enbridge-CAN</v>
      </c>
      <c r="F1241" s="4" t="s">
        <v>146</v>
      </c>
      <c r="G1241" s="4"/>
      <c r="H1241" s="4" t="s">
        <v>657</v>
      </c>
      <c r="I1241" s="5"/>
      <c r="J1241" s="5"/>
      <c r="K1241" s="5"/>
      <c r="L1241" s="5"/>
      <c r="M1241" s="8">
        <f>(1461742.2)*0.74</f>
        <v>1081689.2279999999</v>
      </c>
      <c r="N1241" s="8">
        <f>1284017.616*0.74</f>
        <v>950173.03583999991</v>
      </c>
      <c r="O1241" s="8">
        <f>SUMIFS(EIAwtransport!$J$2:$J$675,EIAwtransport!$E$2:$E$675,Program_data!$E1241,EIAwtransport!$H$2:$H$675,Program_data!$F1241,EIAwtransport!$I$2:$I$675,Program_data!O$2)</f>
        <v>2377068394.8298411</v>
      </c>
      <c r="P1241" s="5">
        <f>SUMIFS(EIAwtransport!$J$2:$J$675,EIAwtransport!$E$2:$E$675,Program_data!$E1241,EIAwtransport!$H$2:$H$675,Program_data!$F1241,EIAwtransport!$I$2:$I$675,Program_data!P$2)</f>
        <v>614176841.51999986</v>
      </c>
      <c r="Q1241" s="5">
        <f>SUMIFS(EIAwtransport!$J$2:$J$675,EIAwtransport!$E$2:$E$675,Program_data!$E1241,EIAwtransport!$H$2:$H$675,Program_data!$F1241,EIAwtransport!$I$2:$I$675,Program_data!Q$2)</f>
        <v>16513</v>
      </c>
      <c r="R1241" s="8">
        <f>SUMIFS(EIAwtransport!$J$2:$J$675,EIAwtransport!$E$2:$E$675,Program_data!$E1241,EIAwtransport!$I$2:$I$675,Program_data!R$2)</f>
        <v>3425062807.5999999</v>
      </c>
      <c r="S1241" s="5">
        <f>SUMIFS(EIAwtransport!$J$2:$J$675,EIAwtransport!$E$2:$E$675,Program_data!$E1241,EIAwtransport!$I$2:$I$675,Program_data!S$2)</f>
        <v>884953189.29599977</v>
      </c>
      <c r="T1241" s="5">
        <f>SUMIFS(EIAwtransport!$J$2:$J$675,EIAwtransport!$E$2:$E$675,Program_data!$E1241,EIAwtransport!$I$2:$I$675,Program_data!T$2)</f>
        <v>3728492</v>
      </c>
      <c r="U1241" s="24">
        <f>IFERROR(K1241/10.36/S1241,"")</f>
        <v>0</v>
      </c>
      <c r="V1241" s="24">
        <f t="shared" si="371"/>
        <v>0</v>
      </c>
      <c r="W1241" s="24">
        <f>IFERROR(M1241/R1241,"")</f>
        <v>3.158158809817441E-4</v>
      </c>
      <c r="X1241" s="25">
        <f>IFERROR(M1241/S1241/10.36,"")</f>
        <v>1.1798381926383901E-4</v>
      </c>
      <c r="Y1241" s="8">
        <f t="shared" si="393"/>
        <v>3.586743705559263E-2</v>
      </c>
      <c r="Z1241" s="27">
        <f t="shared" si="394"/>
        <v>2.6399867670488925E-2</v>
      </c>
      <c r="AE1241" s="20">
        <f t="shared" si="374"/>
        <v>1282733.5983839999</v>
      </c>
      <c r="AF1241" s="20">
        <f t="shared" si="375"/>
        <v>4623834790.2600002</v>
      </c>
      <c r="AG1241">
        <f t="shared" si="387"/>
        <v>0</v>
      </c>
      <c r="AH1241">
        <f t="shared" si="388"/>
        <v>0</v>
      </c>
      <c r="AI1241">
        <f t="shared" si="389"/>
        <v>93344862406.942062</v>
      </c>
    </row>
    <row r="1242" spans="2:35" x14ac:dyDescent="0.25">
      <c r="B1242" s="4">
        <v>2023</v>
      </c>
      <c r="C1242" s="4" t="s">
        <v>33</v>
      </c>
      <c r="D1242" s="4" t="s">
        <v>77</v>
      </c>
      <c r="E1242" s="4" t="str">
        <f t="shared" si="396"/>
        <v>Enbridge-CAN</v>
      </c>
      <c r="F1242" s="4" t="s">
        <v>146</v>
      </c>
      <c r="G1242" s="4"/>
      <c r="H1242" s="4" t="s">
        <v>658</v>
      </c>
      <c r="I1242" s="5"/>
      <c r="J1242" s="5"/>
      <c r="K1242" s="5"/>
      <c r="L1242" s="5"/>
      <c r="M1242" s="8">
        <f>(476598.3)*0.74</f>
        <v>352682.74199999997</v>
      </c>
      <c r="N1242" s="8">
        <f>432636.264*0.74</f>
        <v>320150.83536000003</v>
      </c>
      <c r="O1242" s="8">
        <f>SUMIFS(EIAwtransport!$J$2:$J$675,EIAwtransport!$E$2:$E$675,Program_data!$E1242,EIAwtransport!$H$2:$H$675,Program_data!$F1242,EIAwtransport!$I$2:$I$675,Program_data!O$2)</f>
        <v>2377068394.8298411</v>
      </c>
      <c r="P1242" s="5">
        <f>SUMIFS(EIAwtransport!$J$2:$J$675,EIAwtransport!$E$2:$E$675,Program_data!$E1242,EIAwtransport!$H$2:$H$675,Program_data!$F1242,EIAwtransport!$I$2:$I$675,Program_data!P$2)</f>
        <v>614176841.51999986</v>
      </c>
      <c r="Q1242" s="5">
        <f>SUMIFS(EIAwtransport!$J$2:$J$675,EIAwtransport!$E$2:$E$675,Program_data!$E1242,EIAwtransport!$H$2:$H$675,Program_data!$F1242,EIAwtransport!$I$2:$I$675,Program_data!Q$2)</f>
        <v>16513</v>
      </c>
      <c r="R1242" s="8">
        <f>SUMIFS(EIAwtransport!$J$2:$J$675,EIAwtransport!$E$2:$E$675,Program_data!$E1242,EIAwtransport!$I$2:$I$675,Program_data!R$2)</f>
        <v>3425062807.5999999</v>
      </c>
      <c r="S1242" s="5">
        <f>SUMIFS(EIAwtransport!$J$2:$J$675,EIAwtransport!$E$2:$E$675,Program_data!$E1242,EIAwtransport!$I$2:$I$675,Program_data!S$2)</f>
        <v>884953189.29599977</v>
      </c>
      <c r="T1242" s="5">
        <f>SUMIFS(EIAwtransport!$J$2:$J$675,EIAwtransport!$E$2:$E$675,Program_data!$E1242,EIAwtransport!$I$2:$I$675,Program_data!T$2)</f>
        <v>3728492</v>
      </c>
      <c r="U1242" s="24">
        <f>IFERROR(K1242/10.36/S1242,"")</f>
        <v>0</v>
      </c>
      <c r="V1242" s="24">
        <f t="shared" si="371"/>
        <v>0</v>
      </c>
      <c r="W1242" s="24">
        <f>IFERROR(M1242/R1242,"")</f>
        <v>1.0297117507375896E-4</v>
      </c>
      <c r="X1242" s="25">
        <f>IFERROR(M1242/S1242/10.36,"")</f>
        <v>3.8468402765311776E-5</v>
      </c>
      <c r="Y1242" s="8">
        <f t="shared" si="393"/>
        <v>1.1694510513586085E-2</v>
      </c>
      <c r="Z1242" s="27">
        <f t="shared" si="394"/>
        <v>8.6076272902157313E-3</v>
      </c>
      <c r="AE1242" s="20">
        <f t="shared" si="374"/>
        <v>432203.62773600005</v>
      </c>
      <c r="AF1242" s="20">
        <f t="shared" si="375"/>
        <v>4623834790.2600002</v>
      </c>
      <c r="AG1242">
        <f t="shared" si="387"/>
        <v>0</v>
      </c>
      <c r="AH1242">
        <f t="shared" si="388"/>
        <v>0</v>
      </c>
      <c r="AI1242">
        <f t="shared" si="389"/>
        <v>93344862406.942062</v>
      </c>
    </row>
    <row r="1243" spans="2:35" x14ac:dyDescent="0.25">
      <c r="B1243" s="4">
        <v>2023</v>
      </c>
      <c r="C1243" s="4" t="s">
        <v>33</v>
      </c>
      <c r="D1243" s="4" t="s">
        <v>77</v>
      </c>
      <c r="E1243" s="4" t="str">
        <f t="shared" si="396"/>
        <v>Enbridge-CAN</v>
      </c>
      <c r="F1243" s="4" t="s">
        <v>146</v>
      </c>
      <c r="G1243" s="4"/>
      <c r="H1243" s="4" t="s">
        <v>659</v>
      </c>
      <c r="I1243" s="5"/>
      <c r="J1243" s="5"/>
      <c r="K1243" s="5"/>
      <c r="L1243" s="5"/>
      <c r="M1243" s="8">
        <f>(484223.3996)*0.74</f>
        <v>358325.31570400001</v>
      </c>
      <c r="N1243" s="8">
        <f>104056.4016*0.74</f>
        <v>77001.737183999998</v>
      </c>
      <c r="O1243" s="8">
        <f>SUMIFS(EIAwtransport!$J$2:$J$675,EIAwtransport!$E$2:$E$675,Program_data!$E1243,EIAwtransport!$H$2:$H$675,Program_data!$F1243,EIAwtransport!$I$2:$I$675,Program_data!O$2)</f>
        <v>2377068394.8298411</v>
      </c>
      <c r="P1243" s="5">
        <f>SUMIFS(EIAwtransport!$J$2:$J$675,EIAwtransport!$E$2:$E$675,Program_data!$E1243,EIAwtransport!$H$2:$H$675,Program_data!$F1243,EIAwtransport!$I$2:$I$675,Program_data!P$2)</f>
        <v>614176841.51999986</v>
      </c>
      <c r="Q1243" s="5">
        <f>SUMIFS(EIAwtransport!$J$2:$J$675,EIAwtransport!$E$2:$E$675,Program_data!$E1243,EIAwtransport!$H$2:$H$675,Program_data!$F1243,EIAwtransport!$I$2:$I$675,Program_data!Q$2)</f>
        <v>16513</v>
      </c>
      <c r="R1243" s="8">
        <f>SUMIFS(EIAwtransport!$J$2:$J$675,EIAwtransport!$E$2:$E$675,Program_data!$E1243,EIAwtransport!$I$2:$I$675,Program_data!R$2)</f>
        <v>3425062807.5999999</v>
      </c>
      <c r="S1243" s="5">
        <f>SUMIFS(EIAwtransport!$J$2:$J$675,EIAwtransport!$E$2:$E$675,Program_data!$E1243,EIAwtransport!$I$2:$I$675,Program_data!S$2)</f>
        <v>884953189.29599977</v>
      </c>
      <c r="T1243" s="5">
        <f>SUMIFS(EIAwtransport!$J$2:$J$675,EIAwtransport!$E$2:$E$675,Program_data!$E1243,EIAwtransport!$I$2:$I$675,Program_data!T$2)</f>
        <v>3728492</v>
      </c>
      <c r="U1243" s="24">
        <f>IFERROR(K1243/10.36/S1243,"")</f>
        <v>0</v>
      </c>
      <c r="V1243" s="24">
        <f t="shared" si="371"/>
        <v>0</v>
      </c>
      <c r="W1243" s="24">
        <f>IFERROR(M1243/R1243,"")</f>
        <v>1.0461861163798181E-4</v>
      </c>
      <c r="X1243" s="25">
        <f>IFERROR(M1243/S1243/10.36,"")</f>
        <v>3.9083859015446156E-5</v>
      </c>
      <c r="Y1243" s="8">
        <f t="shared" si="393"/>
        <v>1.1881611070678592E-2</v>
      </c>
      <c r="Z1243" s="27">
        <f t="shared" si="394"/>
        <v>8.7453407806070606E-3</v>
      </c>
      <c r="AE1243" s="20">
        <f t="shared" si="374"/>
        <v>103952.3451984</v>
      </c>
      <c r="AF1243" s="20">
        <f t="shared" si="375"/>
        <v>4623834790.2600002</v>
      </c>
      <c r="AG1243">
        <f t="shared" si="387"/>
        <v>0</v>
      </c>
      <c r="AH1243">
        <f t="shared" si="388"/>
        <v>0</v>
      </c>
      <c r="AI1243">
        <f t="shared" si="389"/>
        <v>93344862406.942062</v>
      </c>
    </row>
    <row r="1244" spans="2:35" x14ac:dyDescent="0.25">
      <c r="B1244" s="58">
        <v>2023</v>
      </c>
      <c r="C1244" s="58" t="s">
        <v>33</v>
      </c>
      <c r="D1244" s="58" t="s">
        <v>77</v>
      </c>
      <c r="E1244" s="58" t="str">
        <f t="shared" si="396"/>
        <v>Enbridge-CAN</v>
      </c>
      <c r="F1244" s="58" t="s">
        <v>146</v>
      </c>
      <c r="G1244" s="58"/>
      <c r="H1244" s="58" t="s">
        <v>660</v>
      </c>
      <c r="I1244" s="57"/>
      <c r="J1244" s="58" t="s">
        <v>142</v>
      </c>
      <c r="K1244" s="60">
        <v>3122194.9109999998</v>
      </c>
      <c r="L1244" s="57">
        <f>(K1244/55.1)*100</f>
        <v>5666415.44646098</v>
      </c>
      <c r="M1244" s="59">
        <f>SUM(M1245:M1248)</f>
        <v>7089154.9328159997</v>
      </c>
      <c r="N1244" s="59">
        <f>SUM(N1245:N1248)</f>
        <v>5442613.9575359998</v>
      </c>
      <c r="O1244" s="8">
        <f>SUMIFS(EIAwtransport!$J$2:$J$675,EIAwtransport!$E$2:$E$675,Program_data!$E1244,EIAwtransport!$H$2:$H$675,Program_data!$F1244,EIAwtransport!$I$2:$I$675,Program_data!O$2)</f>
        <v>2377068394.8298411</v>
      </c>
      <c r="P1244" s="5">
        <f>SUMIFS(EIAwtransport!$J$2:$J$675,EIAwtransport!$E$2:$E$675,Program_data!$E1244,EIAwtransport!$H$2:$H$675,Program_data!$F1244,EIAwtransport!$I$2:$I$675,Program_data!P$2)</f>
        <v>614176841.51999986</v>
      </c>
      <c r="Q1244" s="5">
        <f>SUMIFS(EIAwtransport!$J$2:$J$675,EIAwtransport!$E$2:$E$675,Program_data!$E1244,EIAwtransport!$H$2:$H$675,Program_data!$F1244,EIAwtransport!$I$2:$I$675,Program_data!Q$2)</f>
        <v>16513</v>
      </c>
      <c r="R1244" s="8">
        <f>SUMIFS(EIAwtransport!$J$2:$J$675,EIAwtransport!$E$2:$E$675,Program_data!$E1244,EIAwtransport!$I$2:$I$675,Program_data!R$2)</f>
        <v>3425062807.5999999</v>
      </c>
      <c r="S1244" s="5">
        <f>SUMIFS(EIAwtransport!$J$2:$J$675,EIAwtransport!$E$2:$E$675,Program_data!$E1244,EIAwtransport!$I$2:$I$675,Program_data!S$2)</f>
        <v>884953189.29599977</v>
      </c>
      <c r="T1244" s="5">
        <f>SUMIFS(EIAwtransport!$J$2:$J$675,EIAwtransport!$E$2:$E$675,Program_data!$E1244,EIAwtransport!$I$2:$I$675,Program_data!T$2)</f>
        <v>3728492</v>
      </c>
      <c r="U1244" s="24"/>
      <c r="V1244" s="24">
        <f t="shared" si="371"/>
        <v>6.1805675660207089E-4</v>
      </c>
      <c r="W1244" s="24"/>
      <c r="X1244" s="25"/>
      <c r="Y1244" s="8">
        <f t="shared" si="393"/>
        <v>0.23506734813312008</v>
      </c>
      <c r="Z1244" s="27">
        <f t="shared" si="394"/>
        <v>0.17301896633284788</v>
      </c>
      <c r="AE1244" s="20">
        <f t="shared" si="374"/>
        <v>7347528.8426736007</v>
      </c>
      <c r="AF1244" s="20">
        <f t="shared" si="375"/>
        <v>4623834790.2600002</v>
      </c>
      <c r="AG1244">
        <f t="shared" si="387"/>
        <v>329329119.21227998</v>
      </c>
      <c r="AH1244">
        <f t="shared" si="388"/>
        <v>597693501.29270422</v>
      </c>
      <c r="AI1244">
        <f t="shared" si="389"/>
        <v>93344862406.942062</v>
      </c>
    </row>
    <row r="1245" spans="2:35" x14ac:dyDescent="0.25">
      <c r="B1245" s="4">
        <v>2023</v>
      </c>
      <c r="C1245" s="4" t="s">
        <v>33</v>
      </c>
      <c r="D1245" s="4" t="s">
        <v>77</v>
      </c>
      <c r="E1245" s="4" t="str">
        <f t="shared" si="396"/>
        <v>Enbridge-CAN</v>
      </c>
      <c r="F1245" s="4" t="s">
        <v>146</v>
      </c>
      <c r="G1245" s="4"/>
      <c r="H1245" s="4" t="s">
        <v>661</v>
      </c>
      <c r="I1245" s="5"/>
      <c r="J1245" s="5"/>
      <c r="K1245" s="5"/>
      <c r="L1245" s="5"/>
      <c r="M1245" s="8">
        <f>2379166*0.74</f>
        <v>1760582.84</v>
      </c>
      <c r="N1245" s="8">
        <f>2188920*0.74</f>
        <v>1619800.8</v>
      </c>
      <c r="O1245" s="8">
        <f>SUMIFS(EIAwtransport!$J$2:$J$675,EIAwtransport!$E$2:$E$675,Program_data!$E1245,EIAwtransport!$H$2:$H$675,Program_data!$F1245,EIAwtransport!$I$2:$I$675,Program_data!O$2)</f>
        <v>2377068394.8298411</v>
      </c>
      <c r="P1245" s="5">
        <f>SUMIFS(EIAwtransport!$J$2:$J$675,EIAwtransport!$E$2:$E$675,Program_data!$E1245,EIAwtransport!$H$2:$H$675,Program_data!$F1245,EIAwtransport!$I$2:$I$675,Program_data!P$2)</f>
        <v>614176841.51999986</v>
      </c>
      <c r="Q1245" s="5">
        <f>SUMIFS(EIAwtransport!$J$2:$J$675,EIAwtransport!$E$2:$E$675,Program_data!$E1245,EIAwtransport!$H$2:$H$675,Program_data!$F1245,EIAwtransport!$I$2:$I$675,Program_data!Q$2)</f>
        <v>16513</v>
      </c>
      <c r="R1245" s="8">
        <f>SUMIFS(EIAwtransport!$J$2:$J$675,EIAwtransport!$E$2:$E$675,Program_data!$E1245,EIAwtransport!$I$2:$I$675,Program_data!R$2)</f>
        <v>3425062807.5999999</v>
      </c>
      <c r="S1245" s="5">
        <f>SUMIFS(EIAwtransport!$J$2:$J$675,EIAwtransport!$E$2:$E$675,Program_data!$E1245,EIAwtransport!$I$2:$I$675,Program_data!S$2)</f>
        <v>884953189.29599977</v>
      </c>
      <c r="T1245" s="5">
        <f>SUMIFS(EIAwtransport!$J$2:$J$675,EIAwtransport!$E$2:$E$675,Program_data!$E1245,EIAwtransport!$I$2:$I$675,Program_data!T$2)</f>
        <v>3728492</v>
      </c>
      <c r="U1245" s="24">
        <f>IFERROR(K1244/10.36/S1245,"")</f>
        <v>3.4054927288774099E-4</v>
      </c>
      <c r="V1245" s="24">
        <f t="shared" si="371"/>
        <v>0</v>
      </c>
      <c r="W1245" s="24">
        <f>IFERROR(M1245/R1245,"")</f>
        <v>5.1402935913857613E-4</v>
      </c>
      <c r="X1245" s="25">
        <f>IFERROR(M1245/S1245/10.36,"")</f>
        <v>1.9203324043232166E-4</v>
      </c>
      <c r="Y1245" s="8">
        <f t="shared" si="393"/>
        <v>5.8378684524402535E-2</v>
      </c>
      <c r="Z1245" s="27">
        <f t="shared" si="394"/>
        <v>4.2969045818152106E-2</v>
      </c>
      <c r="AE1245" s="20">
        <f t="shared" si="374"/>
        <v>2186731.08</v>
      </c>
      <c r="AF1245" s="20">
        <f t="shared" si="375"/>
        <v>4623834790.2600002</v>
      </c>
      <c r="AG1245">
        <f t="shared" si="387"/>
        <v>0</v>
      </c>
      <c r="AH1245">
        <f t="shared" si="388"/>
        <v>0</v>
      </c>
      <c r="AI1245">
        <f t="shared" si="389"/>
        <v>93344862406.942062</v>
      </c>
    </row>
    <row r="1246" spans="2:35" x14ac:dyDescent="0.25">
      <c r="B1246" s="4">
        <v>2023</v>
      </c>
      <c r="C1246" s="4" t="s">
        <v>33</v>
      </c>
      <c r="D1246" s="4" t="s">
        <v>77</v>
      </c>
      <c r="E1246" s="4" t="str">
        <f t="shared" si="396"/>
        <v>Enbridge-CAN</v>
      </c>
      <c r="F1246" s="4" t="s">
        <v>146</v>
      </c>
      <c r="G1246" s="4"/>
      <c r="H1246" s="4" t="s">
        <v>662</v>
      </c>
      <c r="I1246" s="5"/>
      <c r="J1246" s="5"/>
      <c r="K1246" s="5"/>
      <c r="L1246" s="5"/>
      <c r="M1246" s="8">
        <f>974494.8*0.74</f>
        <v>721126.152</v>
      </c>
      <c r="N1246" s="8">
        <f>856011.744*0.74</f>
        <v>633448.6905599999</v>
      </c>
      <c r="O1246" s="8">
        <f>SUMIFS(EIAwtransport!$J$2:$J$675,EIAwtransport!$E$2:$E$675,Program_data!$E1246,EIAwtransport!$H$2:$H$675,Program_data!$F1246,EIAwtransport!$I$2:$I$675,Program_data!O$2)</f>
        <v>2377068394.8298411</v>
      </c>
      <c r="P1246" s="5">
        <f>SUMIFS(EIAwtransport!$J$2:$J$675,EIAwtransport!$E$2:$E$675,Program_data!$E1246,EIAwtransport!$H$2:$H$675,Program_data!$F1246,EIAwtransport!$I$2:$I$675,Program_data!P$2)</f>
        <v>614176841.51999986</v>
      </c>
      <c r="Q1246" s="5">
        <f>SUMIFS(EIAwtransport!$J$2:$J$675,EIAwtransport!$E$2:$E$675,Program_data!$E1246,EIAwtransport!$H$2:$H$675,Program_data!$F1246,EIAwtransport!$I$2:$I$675,Program_data!Q$2)</f>
        <v>16513</v>
      </c>
      <c r="R1246" s="8">
        <f>SUMIFS(EIAwtransport!$J$2:$J$675,EIAwtransport!$E$2:$E$675,Program_data!$E1246,EIAwtransport!$I$2:$I$675,Program_data!R$2)</f>
        <v>3425062807.5999999</v>
      </c>
      <c r="S1246" s="5">
        <f>SUMIFS(EIAwtransport!$J$2:$J$675,EIAwtransport!$E$2:$E$675,Program_data!$E1246,EIAwtransport!$I$2:$I$675,Program_data!S$2)</f>
        <v>884953189.29599977</v>
      </c>
      <c r="T1246" s="5">
        <f>SUMIFS(EIAwtransport!$J$2:$J$675,EIAwtransport!$E$2:$E$675,Program_data!$E1246,EIAwtransport!$I$2:$I$675,Program_data!T$2)</f>
        <v>3728492</v>
      </c>
      <c r="U1246" s="24">
        <f>IFERROR(K1246/10.36/S1246,"")</f>
        <v>0</v>
      </c>
      <c r="V1246" s="24">
        <f t="shared" si="371"/>
        <v>0</v>
      </c>
      <c r="W1246" s="24">
        <f>IFERROR(M1246/R1246,"")</f>
        <v>2.105439206544961E-4</v>
      </c>
      <c r="X1246" s="25">
        <f>IFERROR(M1246/S1246/10.36,"")</f>
        <v>7.8655879509226012E-5</v>
      </c>
      <c r="Y1246" s="8">
        <f t="shared" si="393"/>
        <v>2.3911624703728422E-2</v>
      </c>
      <c r="Z1246" s="27">
        <f t="shared" si="394"/>
        <v>1.7599911780325952E-2</v>
      </c>
      <c r="AE1246" s="20">
        <f t="shared" si="374"/>
        <v>855155.73225599993</v>
      </c>
      <c r="AF1246" s="20">
        <f t="shared" si="375"/>
        <v>4623834790.2600002</v>
      </c>
      <c r="AG1246">
        <f t="shared" si="387"/>
        <v>0</v>
      </c>
      <c r="AH1246">
        <f t="shared" si="388"/>
        <v>0</v>
      </c>
      <c r="AI1246">
        <f t="shared" si="389"/>
        <v>93344862406.942062</v>
      </c>
    </row>
    <row r="1247" spans="2:35" x14ac:dyDescent="0.25">
      <c r="B1247" s="4">
        <v>2023</v>
      </c>
      <c r="C1247" s="4" t="s">
        <v>33</v>
      </c>
      <c r="D1247" s="4" t="s">
        <v>77</v>
      </c>
      <c r="E1247" s="4" t="str">
        <f t="shared" si="396"/>
        <v>Enbridge-CAN</v>
      </c>
      <c r="F1247" s="4" t="s">
        <v>146</v>
      </c>
      <c r="G1247" s="4"/>
      <c r="H1247" s="4" t="s">
        <v>663</v>
      </c>
      <c r="I1247" s="5"/>
      <c r="J1247" s="5"/>
      <c r="K1247" s="5"/>
      <c r="L1247" s="5"/>
      <c r="M1247" s="8">
        <f>4289384.7*0.74</f>
        <v>3174144.6780000003</v>
      </c>
      <c r="N1247" s="8">
        <f>3893726.376*0.74</f>
        <v>2881357.5182400001</v>
      </c>
      <c r="O1247" s="8">
        <f>SUMIFS(EIAwtransport!$J$2:$J$675,EIAwtransport!$E$2:$E$675,Program_data!$E1247,EIAwtransport!$H$2:$H$675,Program_data!$F1247,EIAwtransport!$I$2:$I$675,Program_data!O$2)</f>
        <v>2377068394.8298411</v>
      </c>
      <c r="P1247" s="5">
        <f>SUMIFS(EIAwtransport!$J$2:$J$675,EIAwtransport!$E$2:$E$675,Program_data!$E1247,EIAwtransport!$H$2:$H$675,Program_data!$F1247,EIAwtransport!$I$2:$I$675,Program_data!P$2)</f>
        <v>614176841.51999986</v>
      </c>
      <c r="Q1247" s="5">
        <f>SUMIFS(EIAwtransport!$J$2:$J$675,EIAwtransport!$E$2:$E$675,Program_data!$E1247,EIAwtransport!$H$2:$H$675,Program_data!$F1247,EIAwtransport!$I$2:$I$675,Program_data!Q$2)</f>
        <v>16513</v>
      </c>
      <c r="R1247" s="8">
        <f>SUMIFS(EIAwtransport!$J$2:$J$675,EIAwtransport!$E$2:$E$675,Program_data!$E1247,EIAwtransport!$I$2:$I$675,Program_data!R$2)</f>
        <v>3425062807.5999999</v>
      </c>
      <c r="S1247" s="5">
        <f>SUMIFS(EIAwtransport!$J$2:$J$675,EIAwtransport!$E$2:$E$675,Program_data!$E1247,EIAwtransport!$I$2:$I$675,Program_data!S$2)</f>
        <v>884953189.29599977</v>
      </c>
      <c r="T1247" s="5">
        <f>SUMIFS(EIAwtransport!$J$2:$J$675,EIAwtransport!$E$2:$E$675,Program_data!$E1247,EIAwtransport!$I$2:$I$675,Program_data!T$2)</f>
        <v>3728492</v>
      </c>
      <c r="U1247" s="24">
        <f>IFERROR(K1247/10.36/S1247,"")</f>
        <v>0</v>
      </c>
      <c r="V1247" s="24">
        <f t="shared" si="371"/>
        <v>0</v>
      </c>
      <c r="W1247" s="24">
        <f>IFERROR(M1247/R1247,"")</f>
        <v>9.2674057566383074E-4</v>
      </c>
      <c r="X1247" s="25">
        <f>IFERROR(M1247/S1247/10.36,"")</f>
        <v>3.4621562488780608E-4</v>
      </c>
      <c r="Y1247" s="8">
        <f t="shared" si="393"/>
        <v>0.10525059462227479</v>
      </c>
      <c r="Z1247" s="27">
        <f t="shared" si="394"/>
        <v>7.7468645611941597E-2</v>
      </c>
      <c r="AE1247" s="20">
        <f t="shared" si="374"/>
        <v>3889832.6496240003</v>
      </c>
      <c r="AF1247" s="20">
        <f t="shared" si="375"/>
        <v>4623834790.2600002</v>
      </c>
      <c r="AG1247">
        <f t="shared" si="387"/>
        <v>0</v>
      </c>
      <c r="AH1247">
        <f t="shared" si="388"/>
        <v>0</v>
      </c>
      <c r="AI1247">
        <f t="shared" si="389"/>
        <v>93344862406.942062</v>
      </c>
    </row>
    <row r="1248" spans="2:35" x14ac:dyDescent="0.25">
      <c r="B1248" s="4">
        <v>2023</v>
      </c>
      <c r="C1248" s="4" t="s">
        <v>33</v>
      </c>
      <c r="D1248" s="4" t="s">
        <v>77</v>
      </c>
      <c r="E1248" s="4" t="str">
        <f t="shared" si="396"/>
        <v>Enbridge-CAN</v>
      </c>
      <c r="F1248" s="4" t="s">
        <v>146</v>
      </c>
      <c r="G1248" s="4"/>
      <c r="H1248" s="4" t="s">
        <v>664</v>
      </c>
      <c r="I1248" s="5"/>
      <c r="J1248" s="5"/>
      <c r="K1248" s="5"/>
      <c r="L1248" s="5"/>
      <c r="M1248" s="8">
        <f>1936893.5984*0.74</f>
        <v>1433301.262816</v>
      </c>
      <c r="N1248" s="8">
        <f>416225.6064*0.74</f>
        <v>308006.94873599999</v>
      </c>
      <c r="O1248" s="8">
        <f>SUMIFS(EIAwtransport!$J$2:$J$675,EIAwtransport!$E$2:$E$675,Program_data!$E1248,EIAwtransport!$H$2:$H$675,Program_data!$F1248,EIAwtransport!$I$2:$I$675,Program_data!O$2)</f>
        <v>2377068394.8298411</v>
      </c>
      <c r="P1248" s="5">
        <f>SUMIFS(EIAwtransport!$J$2:$J$675,EIAwtransport!$E$2:$E$675,Program_data!$E1248,EIAwtransport!$H$2:$H$675,Program_data!$F1248,EIAwtransport!$I$2:$I$675,Program_data!P$2)</f>
        <v>614176841.51999986</v>
      </c>
      <c r="Q1248" s="5">
        <f>SUMIFS(EIAwtransport!$J$2:$J$675,EIAwtransport!$E$2:$E$675,Program_data!$E1248,EIAwtransport!$H$2:$H$675,Program_data!$F1248,EIAwtransport!$I$2:$I$675,Program_data!Q$2)</f>
        <v>16513</v>
      </c>
      <c r="R1248" s="8">
        <f>SUMIFS(EIAwtransport!$J$2:$J$675,EIAwtransport!$E$2:$E$675,Program_data!$E1248,EIAwtransport!$I$2:$I$675,Program_data!R$2)</f>
        <v>3425062807.5999999</v>
      </c>
      <c r="S1248" s="5">
        <f>SUMIFS(EIAwtransport!$J$2:$J$675,EIAwtransport!$E$2:$E$675,Program_data!$E1248,EIAwtransport!$I$2:$I$675,Program_data!S$2)</f>
        <v>884953189.29599977</v>
      </c>
      <c r="T1248" s="5">
        <f>SUMIFS(EIAwtransport!$J$2:$J$675,EIAwtransport!$E$2:$E$675,Program_data!$E1248,EIAwtransport!$I$2:$I$675,Program_data!T$2)</f>
        <v>3728492</v>
      </c>
      <c r="U1248" s="24">
        <f>IFERROR(K1248/10.36/S1248,"")</f>
        <v>0</v>
      </c>
      <c r="V1248" s="24">
        <f t="shared" si="371"/>
        <v>0</v>
      </c>
      <c r="W1248" s="24">
        <f>IFERROR(M1248/R1248,"")</f>
        <v>4.1847444655192722E-4</v>
      </c>
      <c r="X1248" s="25">
        <f>IFERROR(M1248/S1248/10.36,"")</f>
        <v>1.5633543606178462E-4</v>
      </c>
      <c r="Y1248" s="8">
        <f t="shared" si="393"/>
        <v>4.7526444282714367E-2</v>
      </c>
      <c r="Z1248" s="27">
        <f t="shared" si="394"/>
        <v>3.4981363122428243E-2</v>
      </c>
      <c r="AE1248" s="20">
        <f t="shared" si="374"/>
        <v>415809.38079359999</v>
      </c>
      <c r="AF1248" s="20">
        <f t="shared" si="375"/>
        <v>4623834790.2600002</v>
      </c>
      <c r="AG1248">
        <f t="shared" si="387"/>
        <v>0</v>
      </c>
      <c r="AH1248">
        <f t="shared" si="388"/>
        <v>0</v>
      </c>
      <c r="AI1248">
        <f t="shared" si="389"/>
        <v>93344862406.942062</v>
      </c>
    </row>
    <row r="1249" spans="1:37" x14ac:dyDescent="0.25">
      <c r="B1249" s="4">
        <v>2023</v>
      </c>
      <c r="C1249" s="4" t="s">
        <v>33</v>
      </c>
      <c r="D1249" s="4" t="s">
        <v>77</v>
      </c>
      <c r="E1249" s="4" t="str">
        <f t="shared" si="396"/>
        <v>Enbridge-CAN</v>
      </c>
      <c r="F1249" s="4" t="s">
        <v>146</v>
      </c>
      <c r="G1249" s="4"/>
      <c r="H1249" s="4" t="s">
        <v>665</v>
      </c>
      <c r="I1249" s="5"/>
      <c r="J1249" s="4" t="s">
        <v>61</v>
      </c>
      <c r="K1249" s="5">
        <v>18146251.296999998</v>
      </c>
      <c r="L1249" s="5">
        <f>(K1249/43.7)*100</f>
        <v>41524602.510297477</v>
      </c>
      <c r="M1249" s="8">
        <f>13872000*0.74</f>
        <v>10265280</v>
      </c>
      <c r="N1249" s="8">
        <f>13464000*0.74</f>
        <v>9963360</v>
      </c>
      <c r="O1249" s="8">
        <f>SUMIFS(EIAwtransport!$J$2:$J$675,EIAwtransport!$E$2:$E$675,Program_data!$E1249,EIAwtransport!$H$2:$H$675,Program_data!$F1249,EIAwtransport!$I$2:$I$675,Program_data!O$2)</f>
        <v>2377068394.8298411</v>
      </c>
      <c r="P1249" s="5">
        <f>SUMIFS(EIAwtransport!$J$2:$J$675,EIAwtransport!$E$2:$E$675,Program_data!$E1249,EIAwtransport!$H$2:$H$675,Program_data!$F1249,EIAwtransport!$I$2:$I$675,Program_data!P$2)</f>
        <v>614176841.51999986</v>
      </c>
      <c r="Q1249" s="5">
        <f>SUMIFS(EIAwtransport!$J$2:$J$675,EIAwtransport!$E$2:$E$675,Program_data!$E1249,EIAwtransport!$H$2:$H$675,Program_data!$F1249,EIAwtransport!$I$2:$I$675,Program_data!Q$2)</f>
        <v>16513</v>
      </c>
      <c r="R1249" s="8">
        <f>SUMIFS(EIAwtransport!$J$2:$J$675,EIAwtransport!$E$2:$E$675,Program_data!$E1249,EIAwtransport!$I$2:$I$675,Program_data!R$2)</f>
        <v>3425062807.5999999</v>
      </c>
      <c r="S1249" s="5">
        <f>SUMIFS(EIAwtransport!$J$2:$J$675,EIAwtransport!$E$2:$E$675,Program_data!$E1249,EIAwtransport!$I$2:$I$675,Program_data!S$2)</f>
        <v>884953189.29599977</v>
      </c>
      <c r="T1249" s="5">
        <f>SUMIFS(EIAwtransport!$J$2:$J$675,EIAwtransport!$E$2:$E$675,Program_data!$E1249,EIAwtransport!$I$2:$I$675,Program_data!T$2)</f>
        <v>3728492</v>
      </c>
      <c r="U1249" s="24">
        <f>IFERROR(K1249/10.36/S1249,"")</f>
        <v>1.9792783157321523E-3</v>
      </c>
      <c r="V1249" s="24">
        <f t="shared" ref="V1249:V1320" si="397">IFERROR(L1249/10.36/S1249,"")</f>
        <v>4.5292409970987468E-3</v>
      </c>
      <c r="W1249" s="24">
        <f>IFERROR(M1249/R1249,"")</f>
        <v>2.9971070828896879E-3</v>
      </c>
      <c r="X1249" s="25">
        <f>IFERROR(M1249/S1249/10.36,"")</f>
        <v>1.1196718141050965E-3</v>
      </c>
      <c r="Y1249" s="8">
        <f t="shared" si="393"/>
        <v>0.34038360993831951</v>
      </c>
      <c r="Z1249" s="27">
        <f t="shared" si="394"/>
        <v>0.2505359456168279</v>
      </c>
      <c r="AE1249" s="20">
        <f t="shared" si="374"/>
        <v>13450536</v>
      </c>
      <c r="AF1249" s="20">
        <f t="shared" si="375"/>
        <v>4623834790.2600002</v>
      </c>
      <c r="AG1249">
        <f t="shared" si="387"/>
        <v>1914066586.80756</v>
      </c>
      <c r="AH1249">
        <f t="shared" si="388"/>
        <v>4380015072.7861776</v>
      </c>
      <c r="AI1249">
        <f t="shared" si="389"/>
        <v>93344862406.942062</v>
      </c>
    </row>
    <row r="1250" spans="1:37" x14ac:dyDescent="0.25">
      <c r="B1250" s="37">
        <v>2023</v>
      </c>
      <c r="C1250" s="37" t="s">
        <v>33</v>
      </c>
      <c r="D1250" s="37" t="s">
        <v>77</v>
      </c>
      <c r="E1250" s="37" t="str">
        <f t="shared" si="396"/>
        <v>Enbridge-CAN</v>
      </c>
      <c r="F1250" s="37" t="s">
        <v>146</v>
      </c>
      <c r="G1250" s="37"/>
      <c r="H1250" s="37" t="s">
        <v>666</v>
      </c>
      <c r="I1250" s="38"/>
      <c r="J1250" s="38" t="s">
        <v>155</v>
      </c>
      <c r="K1250" s="38"/>
      <c r="L1250" s="38"/>
      <c r="M1250" s="39">
        <f>1117500*0.74</f>
        <v>826950</v>
      </c>
      <c r="N1250" s="39">
        <f>637500*0.74</f>
        <v>471750</v>
      </c>
      <c r="O1250" s="8">
        <f>SUMIFS(EIAwtransport!$J$2:$J$675,EIAwtransport!$E$2:$E$675,Program_data!$E1250,EIAwtransport!$H$2:$H$675,Program_data!$F1250,EIAwtransport!$I$2:$I$675,Program_data!O$2)</f>
        <v>2377068394.8298411</v>
      </c>
      <c r="P1250" s="5">
        <f>SUMIFS(EIAwtransport!$J$2:$J$675,EIAwtransport!$E$2:$E$675,Program_data!$E1250,EIAwtransport!$H$2:$H$675,Program_data!$F1250,EIAwtransport!$I$2:$I$675,Program_data!P$2)</f>
        <v>614176841.51999986</v>
      </c>
      <c r="Q1250" s="5">
        <f>SUMIFS(EIAwtransport!$J$2:$J$675,EIAwtransport!$E$2:$E$675,Program_data!$E1250,EIAwtransport!$H$2:$H$675,Program_data!$F1250,EIAwtransport!$I$2:$I$675,Program_data!Q$2)</f>
        <v>16513</v>
      </c>
      <c r="R1250" s="8">
        <f>SUMIFS(EIAwtransport!$J$2:$J$675,EIAwtransport!$E$2:$E$675,Program_data!$E1250,EIAwtransport!$I$2:$I$675,Program_data!R$2)</f>
        <v>3425062807.5999999</v>
      </c>
      <c r="S1250" s="5">
        <f>SUMIFS(EIAwtransport!$J$2:$J$675,EIAwtransport!$E$2:$E$675,Program_data!$E1250,EIAwtransport!$I$2:$I$675,Program_data!S$2)</f>
        <v>884953189.29599977</v>
      </c>
      <c r="T1250" s="5">
        <f>SUMIFS(EIAwtransport!$J$2:$J$675,EIAwtransport!$E$2:$E$675,Program_data!$E1250,EIAwtransport!$I$2:$I$675,Program_data!T$2)</f>
        <v>3728492</v>
      </c>
      <c r="U1250" s="24"/>
      <c r="V1250" s="24">
        <f t="shared" si="397"/>
        <v>0</v>
      </c>
      <c r="W1250" s="24"/>
      <c r="X1250" s="25"/>
      <c r="Y1250" s="8">
        <f t="shared" si="393"/>
        <v>2.7420608715835643E-2</v>
      </c>
      <c r="Z1250" s="27">
        <f t="shared" si="394"/>
        <v>2.0182664304123788E-2</v>
      </c>
      <c r="AE1250" s="20">
        <f t="shared" si="374"/>
        <v>636862.5</v>
      </c>
      <c r="AF1250" s="20">
        <f t="shared" si="375"/>
        <v>4623834790.2600002</v>
      </c>
      <c r="AG1250">
        <f t="shared" si="387"/>
        <v>0</v>
      </c>
      <c r="AH1250">
        <f t="shared" si="388"/>
        <v>0</v>
      </c>
      <c r="AI1250">
        <f t="shared" si="389"/>
        <v>93344862406.942062</v>
      </c>
    </row>
    <row r="1251" spans="1:37" x14ac:dyDescent="0.25">
      <c r="B1251" s="4">
        <v>2023</v>
      </c>
      <c r="C1251" s="4" t="s">
        <v>33</v>
      </c>
      <c r="D1251" s="4" t="s">
        <v>77</v>
      </c>
      <c r="E1251" s="4" t="str">
        <f t="shared" si="396"/>
        <v>Enbridge-CAN</v>
      </c>
      <c r="F1251" s="37" t="s">
        <v>146</v>
      </c>
      <c r="G1251" s="4"/>
      <c r="H1251" s="4" t="s">
        <v>667</v>
      </c>
      <c r="I1251" s="5"/>
      <c r="J1251" s="38"/>
      <c r="K1251" s="5">
        <v>3349951.0109999999</v>
      </c>
      <c r="L1251" s="5">
        <f>(K1251/15.3)*100</f>
        <v>21895104.647058822</v>
      </c>
      <c r="M1251" s="8">
        <f>2550000*0.74</f>
        <v>1887000</v>
      </c>
      <c r="N1251" s="8">
        <f>2499000*0.74</f>
        <v>1849260</v>
      </c>
      <c r="O1251" s="8">
        <f>SUMIFS(EIAwtransport!$J$2:$J$675,EIAwtransport!$E$2:$E$675,Program_data!$E1251,EIAwtransport!$H$2:$H$675,Program_data!$F1251,EIAwtransport!$I$2:$I$675,Program_data!O$2)</f>
        <v>2377068394.8298411</v>
      </c>
      <c r="P1251" s="5">
        <f>SUMIFS(EIAwtransport!$J$2:$J$675,EIAwtransport!$E$2:$E$675,Program_data!$E1251,EIAwtransport!$H$2:$H$675,Program_data!$F1251,EIAwtransport!$I$2:$I$675,Program_data!P$2)</f>
        <v>614176841.51999986</v>
      </c>
      <c r="Q1251" s="5">
        <f>SUMIFS(EIAwtransport!$J$2:$J$675,EIAwtransport!$E$2:$E$675,Program_data!$E1251,EIAwtransport!$H$2:$H$675,Program_data!$F1251,EIAwtransport!$I$2:$I$675,Program_data!Q$2)</f>
        <v>16513</v>
      </c>
      <c r="R1251" s="8">
        <f>SUMIFS(EIAwtransport!$J$2:$J$675,EIAwtransport!$E$2:$E$675,Program_data!$E1251,EIAwtransport!$I$2:$I$675,Program_data!R$2)</f>
        <v>3425062807.5999999</v>
      </c>
      <c r="S1251" s="5">
        <f>SUMIFS(EIAwtransport!$J$2:$J$675,EIAwtransport!$E$2:$E$675,Program_data!$E1251,EIAwtransport!$I$2:$I$675,Program_data!S$2)</f>
        <v>884953189.29599977</v>
      </c>
      <c r="T1251" s="5">
        <f>SUMIFS(EIAwtransport!$J$2:$J$675,EIAwtransport!$E$2:$E$675,Program_data!$E1251,EIAwtransport!$I$2:$I$675,Program_data!T$2)</f>
        <v>3728492</v>
      </c>
      <c r="U1251" s="24">
        <f>IFERROR(K1251/10.36/S1251,"")</f>
        <v>3.65391467709558E-4</v>
      </c>
      <c r="V1251" s="24">
        <f>IFERROR(L1251/10.36/S1251,"")</f>
        <v>2.3881795275134511E-3</v>
      </c>
      <c r="W1251" s="24">
        <f>IFERROR(M1251/R1251,"")</f>
        <v>5.5093880200178091E-4</v>
      </c>
      <c r="X1251" s="25">
        <f>IFERROR(M1251/S1251/10.36,"")</f>
        <v>2.0582202465167215E-4</v>
      </c>
      <c r="Y1251" s="8">
        <f t="shared" si="393"/>
        <v>6.2570516532779327E-2</v>
      </c>
      <c r="Z1251" s="27">
        <f t="shared" si="394"/>
        <v>4.605440176779925E-2</v>
      </c>
      <c r="AE1251" s="20">
        <f t="shared" si="374"/>
        <v>2496501</v>
      </c>
      <c r="AF1251" s="20">
        <f t="shared" si="375"/>
        <v>4623834790.2600002</v>
      </c>
      <c r="AG1251">
        <f t="shared" si="387"/>
        <v>353352832.64028001</v>
      </c>
      <c r="AH1251">
        <f t="shared" si="388"/>
        <v>2309495638.1717649</v>
      </c>
      <c r="AI1251">
        <f t="shared" si="389"/>
        <v>93344862406.942062</v>
      </c>
    </row>
    <row r="1252" spans="1:37" x14ac:dyDescent="0.25">
      <c r="B1252" s="4">
        <v>2023</v>
      </c>
      <c r="C1252" s="4" t="s">
        <v>33</v>
      </c>
      <c r="D1252" s="4" t="s">
        <v>77</v>
      </c>
      <c r="E1252" s="4" t="str">
        <f t="shared" si="396"/>
        <v>Enbridge-CAN</v>
      </c>
      <c r="F1252" s="4" t="s">
        <v>143</v>
      </c>
      <c r="G1252" s="4">
        <v>1</v>
      </c>
      <c r="H1252" s="4" t="s">
        <v>668</v>
      </c>
      <c r="I1252" s="5"/>
      <c r="J1252" s="5" t="s">
        <v>108</v>
      </c>
      <c r="K1252" s="5">
        <v>1035066.956</v>
      </c>
      <c r="L1252" s="5">
        <v>1035066.956</v>
      </c>
      <c r="M1252" s="8">
        <f>14375115*0.74</f>
        <v>10637585.1</v>
      </c>
      <c r="N1252" s="8">
        <f>9511755*0.74</f>
        <v>7038698.7000000002</v>
      </c>
      <c r="O1252" s="8">
        <f>SUMIFS(EIAwtransport!$J$2:$J$675,EIAwtransport!$E$2:$E$675,Program_data!$E1252,EIAwtransport!$H$2:$H$675,Program_data!$F1252,EIAwtransport!$I$2:$I$675,Program_data!O$2)</f>
        <v>0</v>
      </c>
      <c r="P1252" s="5">
        <f>SUMIFS(EIAwtransport!$J$2:$J$675,EIAwtransport!$E$2:$E$675,Program_data!$E1252,EIAwtransport!$H$2:$H$675,Program_data!$F1252,EIAwtransport!$I$2:$I$675,Program_data!P$2)</f>
        <v>0</v>
      </c>
      <c r="Q1252" s="5">
        <f>SUMIFS(EIAwtransport!$J$2:$J$675,EIAwtransport!$E$2:$E$675,Program_data!$E1252,EIAwtransport!$H$2:$H$675,Program_data!$F1252,EIAwtransport!$I$2:$I$675,Program_data!Q$2)</f>
        <v>0</v>
      </c>
      <c r="R1252" s="8">
        <f>SUMIFS(EIAwtransport!$J$2:$J$675,EIAwtransport!$E$2:$E$675,Program_data!$E1252,EIAwtransport!$I$2:$I$675,Program_data!R$2)</f>
        <v>3425062807.5999999</v>
      </c>
      <c r="S1252" s="5">
        <f>SUMIFS(EIAwtransport!$J$2:$J$675,EIAwtransport!$E$2:$E$675,Program_data!$E1252,EIAwtransport!$I$2:$I$675,Program_data!S$2)</f>
        <v>884953189.29599977</v>
      </c>
      <c r="T1252" s="5">
        <f>SUMIFS(EIAwtransport!$J$2:$J$675,EIAwtransport!$E$2:$E$675,Program_data!$E1252,EIAwtransport!$I$2:$I$675,Program_data!T$2)</f>
        <v>3728492</v>
      </c>
      <c r="U1252" s="24">
        <f>IFERROR(K1252/10.36/S1252,"")</f>
        <v>1.1289855672176113E-4</v>
      </c>
      <c r="V1252" s="24">
        <f t="shared" si="397"/>
        <v>1.1289855672176113E-4</v>
      </c>
      <c r="W1252" s="24">
        <f>IFERROR(M1252/R1252,"")</f>
        <v>3.1058073085246389E-3</v>
      </c>
      <c r="X1252" s="25">
        <f>IFERROR(M1252/S1252/10.36,"")</f>
        <v>1.1602804995688714E-3</v>
      </c>
      <c r="Y1252" s="8">
        <f t="shared" si="393"/>
        <v>3.7433395832674989</v>
      </c>
      <c r="Z1252" s="27">
        <f t="shared" si="394"/>
        <v>0.2596224790856147</v>
      </c>
      <c r="AE1252" s="20">
        <f t="shared" si="374"/>
        <v>9502243.245000001</v>
      </c>
      <c r="AF1252" s="20">
        <f t="shared" si="375"/>
        <v>4623834790.2600002</v>
      </c>
      <c r="AG1252">
        <f t="shared" si="387"/>
        <v>109178862.51888001</v>
      </c>
      <c r="AH1252">
        <f t="shared" si="388"/>
        <v>109178862.51888001</v>
      </c>
      <c r="AI1252">
        <f t="shared" si="389"/>
        <v>93344862406.942062</v>
      </c>
    </row>
    <row r="1253" spans="1:37" x14ac:dyDescent="0.25">
      <c r="B1253" s="4">
        <v>2023</v>
      </c>
      <c r="C1253" s="4" t="s">
        <v>33</v>
      </c>
      <c r="D1253" s="4" t="s">
        <v>77</v>
      </c>
      <c r="E1253" s="4" t="str">
        <f t="shared" si="396"/>
        <v>Enbridge-CAN</v>
      </c>
      <c r="F1253" s="4" t="s">
        <v>143</v>
      </c>
      <c r="G1253" s="4">
        <v>1</v>
      </c>
      <c r="H1253" s="4" t="s">
        <v>669</v>
      </c>
      <c r="I1253" s="5"/>
      <c r="J1253" s="5" t="s">
        <v>108</v>
      </c>
      <c r="K1253" s="5">
        <v>1806669.6440000001</v>
      </c>
      <c r="L1253" s="5">
        <v>1806669.6440000001</v>
      </c>
      <c r="M1253" s="8">
        <f>7138928*0.74</f>
        <v>5282806.72</v>
      </c>
      <c r="N1253" s="8">
        <f>6103628*0.74</f>
        <v>4516684.72</v>
      </c>
      <c r="O1253" s="8">
        <f>SUMIFS(EIAwtransport!$J$2:$J$675,EIAwtransport!$E$2:$E$675,Program_data!$E1253,EIAwtransport!$H$2:$H$675,Program_data!$F1253,EIAwtransport!$I$2:$I$675,Program_data!O$2)</f>
        <v>0</v>
      </c>
      <c r="P1253" s="5">
        <f>SUMIFS(EIAwtransport!$J$2:$J$675,EIAwtransport!$E$2:$E$675,Program_data!$E1253,EIAwtransport!$H$2:$H$675,Program_data!$F1253,EIAwtransport!$I$2:$I$675,Program_data!P$2)</f>
        <v>0</v>
      </c>
      <c r="Q1253" s="5">
        <f>SUMIFS(EIAwtransport!$J$2:$J$675,EIAwtransport!$E$2:$E$675,Program_data!$E1253,EIAwtransport!$H$2:$H$675,Program_data!$F1253,EIAwtransport!$I$2:$I$675,Program_data!Q$2)</f>
        <v>0</v>
      </c>
      <c r="R1253" s="8">
        <f>SUMIFS(EIAwtransport!$J$2:$J$675,EIAwtransport!$E$2:$E$675,Program_data!$E1253,EIAwtransport!$I$2:$I$675,Program_data!R$2)</f>
        <v>3425062807.5999999</v>
      </c>
      <c r="S1253" s="5">
        <f>SUMIFS(EIAwtransport!$J$2:$J$675,EIAwtransport!$E$2:$E$675,Program_data!$E1253,EIAwtransport!$I$2:$I$675,Program_data!S$2)</f>
        <v>884953189.29599977</v>
      </c>
      <c r="T1253" s="5">
        <f>SUMIFS(EIAwtransport!$J$2:$J$675,EIAwtransport!$E$2:$E$675,Program_data!$E1253,EIAwtransport!$I$2:$I$675,Program_data!T$2)</f>
        <v>3728492</v>
      </c>
      <c r="U1253" s="24">
        <f>IFERROR(K1253/10.36/S1253,"")</f>
        <v>1.9706009751181545E-4</v>
      </c>
      <c r="V1253" s="24">
        <f>IFERROR(L1253/10.36/S1253,"")</f>
        <v>1.9706009751181545E-4</v>
      </c>
      <c r="W1253" s="24">
        <f>IFERROR(M1253/R1253,"")</f>
        <v>1.5423970352537134E-3</v>
      </c>
      <c r="X1253" s="25">
        <f>IFERROR(M1253/S1253/10.36,"")</f>
        <v>5.7621514305980883E-4</v>
      </c>
      <c r="Y1253" s="8">
        <f t="shared" si="393"/>
        <v>1.8590064680871548</v>
      </c>
      <c r="Z1253" s="27">
        <f t="shared" si="394"/>
        <v>0.12893296404054569</v>
      </c>
      <c r="AE1253" s="20">
        <f t="shared" ref="AE1253:AE1320" si="398">N1253*1.35</f>
        <v>6097524.3720000004</v>
      </c>
      <c r="AF1253" s="20">
        <f t="shared" ref="AF1253:AF1320" si="399">R1253*1.35</f>
        <v>4623834790.2600002</v>
      </c>
      <c r="AG1253">
        <f t="shared" si="387"/>
        <v>190567514.04912001</v>
      </c>
      <c r="AH1253">
        <f t="shared" si="388"/>
        <v>190567514.04912001</v>
      </c>
      <c r="AI1253">
        <f t="shared" si="389"/>
        <v>93344862406.942062</v>
      </c>
    </row>
    <row r="1254" spans="1:37" x14ac:dyDescent="0.25">
      <c r="B1254" s="4">
        <v>2023</v>
      </c>
      <c r="C1254" s="4" t="s">
        <v>33</v>
      </c>
      <c r="D1254" s="4" t="s">
        <v>77</v>
      </c>
      <c r="E1254" s="4" t="str">
        <f t="shared" si="396"/>
        <v>Enbridge-CAN</v>
      </c>
      <c r="F1254" s="4" t="s">
        <v>155</v>
      </c>
      <c r="G1254" s="4"/>
      <c r="H1254" s="4" t="s">
        <v>155</v>
      </c>
      <c r="I1254" s="5"/>
      <c r="J1254" s="5" t="s">
        <v>155</v>
      </c>
      <c r="K1254" s="5">
        <v>0</v>
      </c>
      <c r="L1254" s="5">
        <v>0</v>
      </c>
      <c r="M1254" s="8">
        <f>18359999.9989828*0.74</f>
        <v>13586399.99924727</v>
      </c>
      <c r="N1254" s="8"/>
      <c r="O1254" s="8">
        <f>SUMIFS(EIAwtransport!$J$2:$J$675,EIAwtransport!$E$2:$E$675,Program_data!$E1254,EIAwtransport!$H$2:$H$675,Program_data!$F1254,EIAwtransport!$I$2:$I$675,Program_data!O$2)</f>
        <v>0</v>
      </c>
      <c r="P1254" s="5">
        <f>SUMIFS(EIAwtransport!$J$2:$J$675,EIAwtransport!$E$2:$E$675,Program_data!$E1254,EIAwtransport!$H$2:$H$675,Program_data!$F1254,EIAwtransport!$I$2:$I$675,Program_data!P$2)</f>
        <v>0</v>
      </c>
      <c r="Q1254" s="5">
        <f>SUMIFS(EIAwtransport!$J$2:$J$675,EIAwtransport!$E$2:$E$675,Program_data!$E1254,EIAwtransport!$H$2:$H$675,Program_data!$F1254,EIAwtransport!$I$2:$I$675,Program_data!Q$2)</f>
        <v>0</v>
      </c>
      <c r="R1254" s="8">
        <f>SUMIFS(EIAwtransport!$J$2:$J$675,EIAwtransport!$E$2:$E$675,Program_data!$E1254,EIAwtransport!$I$2:$I$675,Program_data!R$2)</f>
        <v>3425062807.5999999</v>
      </c>
      <c r="S1254" s="5">
        <f>SUMIFS(EIAwtransport!$J$2:$J$675,EIAwtransport!$E$2:$E$675,Program_data!$E1254,EIAwtransport!$I$2:$I$675,Program_data!S$2)</f>
        <v>884953189.29599977</v>
      </c>
      <c r="T1254" s="5">
        <f>SUMIFS(EIAwtransport!$J$2:$J$675,EIAwtransport!$E$2:$E$675,Program_data!$E1254,EIAwtransport!$I$2:$I$675,Program_data!T$2)</f>
        <v>3728492</v>
      </c>
      <c r="U1254" s="24">
        <f>IFERROR(K1254/10.36/S1254,"")</f>
        <v>0</v>
      </c>
      <c r="V1254" s="24">
        <f t="shared" si="397"/>
        <v>0</v>
      </c>
      <c r="W1254" s="24">
        <f>IFERROR(M1254/R1254,"")</f>
        <v>3.9667593741930509E-3</v>
      </c>
      <c r="X1254" s="25">
        <f>IFERROR(M1254/S1254/10.36,"")</f>
        <v>1.4819185774099363E-3</v>
      </c>
      <c r="Y1254" s="8" t="str">
        <f t="shared" si="393"/>
        <v/>
      </c>
      <c r="Z1254" s="27">
        <f t="shared" si="394"/>
        <v>0.33159169270978334</v>
      </c>
      <c r="AE1254" s="20">
        <f t="shared" si="398"/>
        <v>0</v>
      </c>
      <c r="AF1254" s="20">
        <f t="shared" si="399"/>
        <v>4623834790.2600002</v>
      </c>
      <c r="AG1254">
        <f t="shared" si="387"/>
        <v>0</v>
      </c>
      <c r="AH1254">
        <f t="shared" si="388"/>
        <v>0</v>
      </c>
      <c r="AI1254">
        <f t="shared" si="389"/>
        <v>93344862406.942062</v>
      </c>
    </row>
    <row r="1255" spans="1:37" x14ac:dyDescent="0.25">
      <c r="A1255" t="s">
        <v>310</v>
      </c>
      <c r="B1255" s="58">
        <v>2024</v>
      </c>
      <c r="C1255" s="58" t="s">
        <v>33</v>
      </c>
      <c r="D1255" s="58" t="s">
        <v>77</v>
      </c>
      <c r="E1255" s="58" t="str">
        <f t="shared" si="396"/>
        <v>Enbridge-CAN</v>
      </c>
      <c r="F1255" s="4" t="s">
        <v>135</v>
      </c>
      <c r="G1255" s="58"/>
      <c r="H1255" s="58" t="s">
        <v>652</v>
      </c>
      <c r="I1255" s="57"/>
      <c r="J1255" s="4" t="s">
        <v>21</v>
      </c>
      <c r="K1255" s="57">
        <v>10506139.088</v>
      </c>
      <c r="L1255" s="57">
        <f>(K1255/92.9)*100</f>
        <v>11309084.055974165</v>
      </c>
      <c r="M1255" s="59">
        <f>SUM(M1256:M1262)</f>
        <v>60592700.694780804</v>
      </c>
      <c r="N1255" s="59">
        <f>SUM(N1256:N1262)</f>
        <v>54351779.961394757</v>
      </c>
      <c r="O1255" s="8">
        <f>SUMIFS(EIAwtransport!$J$2:$J$675,EIAwtransport!$E$2:$E$675,Program_data!$E1255,EIAwtransport!$H$2:$H$675,Program_data!$F1255,EIAwtransport!$I$2:$I$675,Program_data!O$2)</f>
        <v>1047994412.7701588</v>
      </c>
      <c r="P1255" s="5">
        <f>SUMIFS(EIAwtransport!$J$2:$J$675,EIAwtransport!$E$2:$E$675,Program_data!$E1255,EIAwtransport!$H$2:$H$675,Program_data!$F1255,EIAwtransport!$I$2:$I$675,Program_data!P$2)</f>
        <v>270776347.77599996</v>
      </c>
      <c r="Q1255" s="5">
        <f>SUMIFS(EIAwtransport!$J$2:$J$675,EIAwtransport!$E$2:$E$675,Program_data!$E1255,EIAwtransport!$H$2:$H$675,Program_data!$F1255,EIAwtransport!$I$2:$I$675,Program_data!Q$2)</f>
        <v>3711979</v>
      </c>
      <c r="R1255" s="8">
        <f>SUMIFS(EIAwtransport!$J$2:$J$675,EIAwtransport!$E$2:$E$675,Program_data!$E1255,EIAwtransport!$I$2:$I$675,Program_data!R$2)</f>
        <v>3425062807.5999999</v>
      </c>
      <c r="S1255" s="5">
        <f>SUMIFS(EIAwtransport!$J$2:$J$675,EIAwtransport!$E$2:$E$675,Program_data!$E1255,EIAwtransport!$I$2:$I$675,Program_data!S$2)</f>
        <v>884953189.29599977</v>
      </c>
      <c r="T1255" s="5">
        <f>SUMIFS(EIAwtransport!$J$2:$J$675,EIAwtransport!$E$2:$E$675,Program_data!$E1255,EIAwtransport!$I$2:$I$675,Program_data!T$2)</f>
        <v>3728492</v>
      </c>
      <c r="U1255" s="24">
        <f t="shared" ref="U1255:U1300" si="400">IFERROR(K1255/10.36/S1255,"")</f>
        <v>1.1459431999810451E-3</v>
      </c>
      <c r="V1255" s="24">
        <f t="shared" si="397"/>
        <v>1.2335233584295428E-3</v>
      </c>
      <c r="W1255" s="24">
        <f t="shared" ref="W1255:W1300" si="401">IFERROR(M1255/R1255,"")</f>
        <v>1.7690975056086387E-2</v>
      </c>
      <c r="X1255" s="25">
        <f t="shared" ref="X1255:X1300" si="402">IFERROR(M1255/S1255/10.36,"")</f>
        <v>6.6090685406001949E-3</v>
      </c>
      <c r="Y1255" s="8">
        <f t="shared" si="393"/>
        <v>6.1946864137652922</v>
      </c>
      <c r="Z1255" s="27">
        <f t="shared" si="394"/>
        <v>1.4854244387234303</v>
      </c>
      <c r="AE1255" s="20">
        <f t="shared" si="398"/>
        <v>73374902.947882921</v>
      </c>
      <c r="AF1255" s="20">
        <f t="shared" si="399"/>
        <v>4623834790.2600002</v>
      </c>
      <c r="AG1255">
        <f t="shared" si="387"/>
        <v>1108187551.0022399</v>
      </c>
      <c r="AH1255">
        <f t="shared" si="388"/>
        <v>1192882186.2241549</v>
      </c>
      <c r="AI1255">
        <f t="shared" si="389"/>
        <v>93344862406.942062</v>
      </c>
    </row>
    <row r="1256" spans="1:37" x14ac:dyDescent="0.25">
      <c r="B1256" s="4">
        <v>2024</v>
      </c>
      <c r="C1256" s="4" t="s">
        <v>33</v>
      </c>
      <c r="D1256" s="4" t="s">
        <v>77</v>
      </c>
      <c r="E1256" s="4" t="str">
        <f t="shared" si="396"/>
        <v>Enbridge-CAN</v>
      </c>
      <c r="F1256" s="4" t="s">
        <v>135</v>
      </c>
      <c r="G1256" s="4"/>
      <c r="H1256" s="4" t="s">
        <v>461</v>
      </c>
      <c r="I1256" s="5"/>
      <c r="J1256" s="4" t="s">
        <v>21</v>
      </c>
      <c r="K1256" s="69">
        <v>7183705.7693794081</v>
      </c>
      <c r="L1256" s="5">
        <v>7561795.5467151664</v>
      </c>
      <c r="M1256" s="8">
        <f>67771524*0.74</f>
        <v>50150927.759999998</v>
      </c>
      <c r="N1256" s="8">
        <f>62873504.6513421*0.74</f>
        <v>46526393.441993155</v>
      </c>
      <c r="O1256" s="8">
        <f>SUMIFS(EIAwtransport!$J$2:$J$675,EIAwtransport!$E$2:$E$675,Program_data!$E1256,EIAwtransport!$H$2:$H$675,Program_data!$F1256,EIAwtransport!$I$2:$I$675,Program_data!O$2)</f>
        <v>1047994412.7701588</v>
      </c>
      <c r="P1256" s="5">
        <f>SUMIFS(EIAwtransport!$J$2:$J$675,EIAwtransport!$E$2:$E$675,Program_data!$E1256,EIAwtransport!$H$2:$H$675,Program_data!$F1256,EIAwtransport!$I$2:$I$675,Program_data!P$2)</f>
        <v>270776347.77599996</v>
      </c>
      <c r="Q1256" s="5">
        <f>SUMIFS(EIAwtransport!$J$2:$J$675,EIAwtransport!$E$2:$E$675,Program_data!$E1256,EIAwtransport!$H$2:$H$675,Program_data!$F1256,EIAwtransport!$I$2:$I$675,Program_data!Q$2)</f>
        <v>3711979</v>
      </c>
      <c r="R1256" s="8">
        <f>SUMIFS(EIAwtransport!$J$2:$J$675,EIAwtransport!$E$2:$E$675,Program_data!$E1256,EIAwtransport!$I$2:$I$675,Program_data!R$2)</f>
        <v>3425062807.5999999</v>
      </c>
      <c r="S1256" s="5">
        <f>SUMIFS(EIAwtransport!$J$2:$J$675,EIAwtransport!$E$2:$E$675,Program_data!$E1256,EIAwtransport!$I$2:$I$675,Program_data!S$2)</f>
        <v>884953189.29599977</v>
      </c>
      <c r="T1256" s="5">
        <f>SUMIFS(EIAwtransport!$J$2:$J$675,EIAwtransport!$E$2:$E$675,Program_data!$E1256,EIAwtransport!$I$2:$I$675,Program_data!T$2)</f>
        <v>3728492</v>
      </c>
      <c r="U1256" s="24">
        <f t="shared" si="400"/>
        <v>7.8355318810575936E-4</v>
      </c>
      <c r="V1256" s="24">
        <f t="shared" si="397"/>
        <v>8.2479282958500982E-4</v>
      </c>
      <c r="W1256" s="24">
        <f t="shared" si="401"/>
        <v>1.4642338134272525E-2</v>
      </c>
      <c r="X1256" s="25">
        <f t="shared" si="402"/>
        <v>5.4701459934938784E-3</v>
      </c>
      <c r="Y1256" s="8">
        <f t="shared" si="393"/>
        <v>5.127173195291431</v>
      </c>
      <c r="Z1256" s="27">
        <f t="shared" si="394"/>
        <v>1.2294453435011523</v>
      </c>
      <c r="AE1256" s="20">
        <f t="shared" si="398"/>
        <v>62810631.146690764</v>
      </c>
      <c r="AF1256" s="20">
        <f t="shared" si="399"/>
        <v>4623834790.2600002</v>
      </c>
      <c r="AG1256">
        <f t="shared" si="387"/>
        <v>757737284.55413997</v>
      </c>
      <c r="AH1256">
        <f t="shared" si="388"/>
        <v>797618194.26751578</v>
      </c>
      <c r="AI1256">
        <f t="shared" si="389"/>
        <v>93344862406.942062</v>
      </c>
    </row>
    <row r="1257" spans="1:37" x14ac:dyDescent="0.25">
      <c r="B1257" s="4">
        <v>2024</v>
      </c>
      <c r="C1257" s="4" t="s">
        <v>33</v>
      </c>
      <c r="D1257" s="4" t="s">
        <v>77</v>
      </c>
      <c r="E1257" s="4" t="str">
        <f t="shared" ref="E1257:E1260" si="403">D1257&amp;"-"&amp;C1257</f>
        <v>Enbridge-CAN</v>
      </c>
      <c r="F1257" s="4" t="s">
        <v>135</v>
      </c>
      <c r="G1257" s="4"/>
      <c r="H1257" s="4" t="s">
        <v>670</v>
      </c>
      <c r="I1257" s="61"/>
      <c r="J1257" s="5" t="s">
        <v>27</v>
      </c>
      <c r="K1257" s="69">
        <v>85815.902450977082</v>
      </c>
      <c r="L1257" s="5">
        <v>90332.528895765368</v>
      </c>
      <c r="M1257" s="8">
        <f>N1257/SUM(N$1257:N$1260)*M$1261</f>
        <v>473630.22024442774</v>
      </c>
      <c r="N1257" s="8">
        <v>364943.20613151032</v>
      </c>
      <c r="O1257" s="8">
        <f>SUMIFS(EIAwtransport!$J$2:$J$675,EIAwtransport!$E$2:$E$675,Program_data!$E1257,EIAwtransport!$H$2:$H$675,Program_data!$F1257,EIAwtransport!$I$2:$I$675,Program_data!O$2)</f>
        <v>1047994412.7701588</v>
      </c>
      <c r="P1257" s="5">
        <f>SUMIFS(EIAwtransport!$J$2:$J$675,EIAwtransport!$E$2:$E$675,Program_data!$E1257,EIAwtransport!$H$2:$H$675,Program_data!$F1257,EIAwtransport!$I$2:$I$675,Program_data!P$2)</f>
        <v>270776347.77599996</v>
      </c>
      <c r="Q1257" s="5">
        <f>SUMIFS(EIAwtransport!$J$2:$J$675,EIAwtransport!$E$2:$E$675,Program_data!$E1257,EIAwtransport!$H$2:$H$675,Program_data!$F1257,EIAwtransport!$I$2:$I$675,Program_data!Q$2)</f>
        <v>3711979</v>
      </c>
      <c r="R1257" s="8">
        <f>SUMIFS(EIAwtransport!$J$2:$J$675,EIAwtransport!$E$2:$E$675,Program_data!$E1257,EIAwtransport!$I$2:$I$675,Program_data!R$2)</f>
        <v>3425062807.5999999</v>
      </c>
      <c r="S1257" s="5">
        <f>SUMIFS(EIAwtransport!$J$2:$J$675,EIAwtransport!$E$2:$E$675,Program_data!$E1257,EIAwtransport!$I$2:$I$675,Program_data!S$2)</f>
        <v>884953189.29599977</v>
      </c>
      <c r="T1257" s="5">
        <f>SUMIFS(EIAwtransport!$J$2:$J$675,EIAwtransport!$E$2:$E$675,Program_data!$E1257,EIAwtransport!$I$2:$I$675,Program_data!T$2)</f>
        <v>3728492</v>
      </c>
      <c r="U1257" s="24">
        <f t="shared" si="400"/>
        <v>9.3602558504348156E-6</v>
      </c>
      <c r="V1257" s="24">
        <f t="shared" si="397"/>
        <v>9.8529008951945445E-6</v>
      </c>
      <c r="W1257" s="24">
        <f t="shared" si="401"/>
        <v>1.3828365984806817E-4</v>
      </c>
      <c r="X1257" s="25">
        <f t="shared" si="402"/>
        <v>5.1660588694714108E-5</v>
      </c>
      <c r="Y1257" s="8">
        <f t="shared" si="393"/>
        <v>4.8421520362262729E-2</v>
      </c>
      <c r="Z1257" s="27">
        <f t="shared" si="394"/>
        <v>1.1611000929186738E-2</v>
      </c>
      <c r="AE1257" s="20">
        <f t="shared" si="398"/>
        <v>492673.32827753894</v>
      </c>
      <c r="AF1257" s="20">
        <f t="shared" si="399"/>
        <v>4623834790.2600002</v>
      </c>
      <c r="AG1257">
        <f t="shared" si="387"/>
        <v>9051861.3905290626</v>
      </c>
      <c r="AH1257">
        <f t="shared" si="388"/>
        <v>9528275.1479253322</v>
      </c>
      <c r="AI1257">
        <f t="shared" si="389"/>
        <v>93344862406.942062</v>
      </c>
    </row>
    <row r="1258" spans="1:37" x14ac:dyDescent="0.25">
      <c r="B1258" s="4">
        <v>2024</v>
      </c>
      <c r="C1258" s="4" t="s">
        <v>33</v>
      </c>
      <c r="D1258" s="4" t="s">
        <v>77</v>
      </c>
      <c r="E1258" s="4" t="str">
        <f t="shared" si="403"/>
        <v>Enbridge-CAN</v>
      </c>
      <c r="F1258" s="4" t="s">
        <v>135</v>
      </c>
      <c r="G1258" s="4"/>
      <c r="H1258" s="4" t="s">
        <v>671</v>
      </c>
      <c r="I1258" s="61"/>
      <c r="J1258" s="5" t="s">
        <v>27</v>
      </c>
      <c r="K1258" s="69">
        <v>197935.72103520707</v>
      </c>
      <c r="L1258" s="5">
        <v>295426.44930627925</v>
      </c>
      <c r="M1258" s="8">
        <f t="shared" ref="M1258:M1260" si="404">N1258/SUM(N$1257:N$1260)*M$1261</f>
        <v>2200736.9884360577</v>
      </c>
      <c r="N1258" s="8">
        <v>1695719.5256619786</v>
      </c>
      <c r="O1258" s="8">
        <f>SUMIFS(EIAwtransport!$J$2:$J$675,EIAwtransport!$E$2:$E$675,Program_data!$E1258,EIAwtransport!$H$2:$H$675,Program_data!$F1258,EIAwtransport!$I$2:$I$675,Program_data!O$2)</f>
        <v>1047994412.7701588</v>
      </c>
      <c r="P1258" s="5">
        <f>SUMIFS(EIAwtransport!$J$2:$J$675,EIAwtransport!$E$2:$E$675,Program_data!$E1258,EIAwtransport!$H$2:$H$675,Program_data!$F1258,EIAwtransport!$I$2:$I$675,Program_data!P$2)</f>
        <v>270776347.77599996</v>
      </c>
      <c r="Q1258" s="5">
        <f>SUMIFS(EIAwtransport!$J$2:$J$675,EIAwtransport!$E$2:$E$675,Program_data!$E1258,EIAwtransport!$H$2:$H$675,Program_data!$F1258,EIAwtransport!$I$2:$I$675,Program_data!Q$2)</f>
        <v>3711979</v>
      </c>
      <c r="R1258" s="8">
        <f>SUMIFS(EIAwtransport!$J$2:$J$675,EIAwtransport!$E$2:$E$675,Program_data!$E1258,EIAwtransport!$I$2:$I$675,Program_data!R$2)</f>
        <v>3425062807.5999999</v>
      </c>
      <c r="S1258" s="5">
        <f>SUMIFS(EIAwtransport!$J$2:$J$675,EIAwtransport!$E$2:$E$675,Program_data!$E1258,EIAwtransport!$I$2:$I$675,Program_data!S$2)</f>
        <v>884953189.29599977</v>
      </c>
      <c r="T1258" s="5">
        <f>SUMIFS(EIAwtransport!$J$2:$J$675,EIAwtransport!$E$2:$E$675,Program_data!$E1258,EIAwtransport!$I$2:$I$675,Program_data!T$2)</f>
        <v>3728492</v>
      </c>
      <c r="U1258" s="24">
        <f t="shared" si="400"/>
        <v>2.1589576499393162E-5</v>
      </c>
      <c r="V1258" s="24">
        <f t="shared" si="397"/>
        <v>3.2223248506556959E-5</v>
      </c>
      <c r="W1258" s="24">
        <f t="shared" si="401"/>
        <v>6.4253916265499139E-4</v>
      </c>
      <c r="X1258" s="25">
        <f t="shared" si="402"/>
        <v>2.400424709516338E-4</v>
      </c>
      <c r="Y1258" s="8">
        <f t="shared" si="393"/>
        <v>0.22499204303844256</v>
      </c>
      <c r="Z1258" s="27">
        <f t="shared" si="394"/>
        <v>5.395086319542617E-2</v>
      </c>
      <c r="AE1258" s="20">
        <f t="shared" si="398"/>
        <v>2289221.3596436712</v>
      </c>
      <c r="AF1258" s="20">
        <f t="shared" si="399"/>
        <v>4623834790.2600002</v>
      </c>
      <c r="AG1258">
        <f t="shared" si="387"/>
        <v>20878259.854793642</v>
      </c>
      <c r="AH1258">
        <f t="shared" si="388"/>
        <v>31161581.872826338</v>
      </c>
      <c r="AI1258">
        <f t="shared" si="389"/>
        <v>93344862406.942062</v>
      </c>
    </row>
    <row r="1259" spans="1:37" x14ac:dyDescent="0.25">
      <c r="B1259" s="4">
        <v>2024</v>
      </c>
      <c r="C1259" s="4" t="s">
        <v>33</v>
      </c>
      <c r="D1259" s="4" t="s">
        <v>77</v>
      </c>
      <c r="E1259" s="4" t="str">
        <f t="shared" si="403"/>
        <v>Enbridge-CAN</v>
      </c>
      <c r="F1259" s="4" t="s">
        <v>135</v>
      </c>
      <c r="G1259" s="4"/>
      <c r="H1259" s="4" t="s">
        <v>672</v>
      </c>
      <c r="I1259" s="61"/>
      <c r="J1259" s="5" t="s">
        <v>27</v>
      </c>
      <c r="K1259" s="69">
        <v>7286.6095387731939</v>
      </c>
      <c r="L1259" s="5">
        <v>10875.53662503462</v>
      </c>
      <c r="M1259" s="8">
        <f t="shared" si="404"/>
        <v>97464.596440729583</v>
      </c>
      <c r="N1259" s="8">
        <v>75098.760148871879</v>
      </c>
      <c r="O1259" s="8">
        <f>SUMIFS(EIAwtransport!$J$2:$J$675,EIAwtransport!$E$2:$E$675,Program_data!$E1259,EIAwtransport!$H$2:$H$675,Program_data!$F1259,EIAwtransport!$I$2:$I$675,Program_data!O$2)</f>
        <v>1047994412.7701588</v>
      </c>
      <c r="P1259" s="5">
        <f>SUMIFS(EIAwtransport!$J$2:$J$675,EIAwtransport!$E$2:$E$675,Program_data!$E1259,EIAwtransport!$H$2:$H$675,Program_data!$F1259,EIAwtransport!$I$2:$I$675,Program_data!P$2)</f>
        <v>270776347.77599996</v>
      </c>
      <c r="Q1259" s="5">
        <f>SUMIFS(EIAwtransport!$J$2:$J$675,EIAwtransport!$E$2:$E$675,Program_data!$E1259,EIAwtransport!$H$2:$H$675,Program_data!$F1259,EIAwtransport!$I$2:$I$675,Program_data!Q$2)</f>
        <v>3711979</v>
      </c>
      <c r="R1259" s="8">
        <f>SUMIFS(EIAwtransport!$J$2:$J$675,EIAwtransport!$E$2:$E$675,Program_data!$E1259,EIAwtransport!$I$2:$I$675,Program_data!R$2)</f>
        <v>3425062807.5999999</v>
      </c>
      <c r="S1259" s="5">
        <f>SUMIFS(EIAwtransport!$J$2:$J$675,EIAwtransport!$E$2:$E$675,Program_data!$E1259,EIAwtransport!$I$2:$I$675,Program_data!S$2)</f>
        <v>884953189.29599977</v>
      </c>
      <c r="T1259" s="5">
        <f>SUMIFS(EIAwtransport!$J$2:$J$675,EIAwtransport!$E$2:$E$675,Program_data!$E1259,EIAwtransport!$I$2:$I$675,Program_data!T$2)</f>
        <v>3728492</v>
      </c>
      <c r="U1259" s="24">
        <f t="shared" si="400"/>
        <v>7.9477728040089334E-7</v>
      </c>
      <c r="V1259" s="24">
        <f t="shared" si="397"/>
        <v>1.1862347468670051E-6</v>
      </c>
      <c r="W1259" s="24">
        <f t="shared" si="401"/>
        <v>2.8456294647929302E-5</v>
      </c>
      <c r="X1259" s="25">
        <f t="shared" si="402"/>
        <v>1.0630821712394872E-5</v>
      </c>
      <c r="Y1259" s="8">
        <f t="shared" si="393"/>
        <v>9.9642795992176351E-3</v>
      </c>
      <c r="Z1259" s="27">
        <f t="shared" si="394"/>
        <v>2.389335543775272E-3</v>
      </c>
      <c r="AE1259" s="20">
        <f t="shared" si="398"/>
        <v>101383.32620097704</v>
      </c>
      <c r="AF1259" s="20">
        <f t="shared" si="399"/>
        <v>4623834790.2600002</v>
      </c>
      <c r="AG1259">
        <f t="shared" si="387"/>
        <v>768591.57414979651</v>
      </c>
      <c r="AH1259">
        <f t="shared" si="388"/>
        <v>1147151.6032086518</v>
      </c>
      <c r="AI1259">
        <f t="shared" si="389"/>
        <v>93344862406.942062</v>
      </c>
    </row>
    <row r="1260" spans="1:37" x14ac:dyDescent="0.25">
      <c r="B1260" s="4">
        <v>2024</v>
      </c>
      <c r="C1260" s="4" t="s">
        <v>33</v>
      </c>
      <c r="D1260" s="4" t="s">
        <v>77</v>
      </c>
      <c r="E1260" s="4" t="str">
        <f t="shared" si="403"/>
        <v>Enbridge-CAN</v>
      </c>
      <c r="F1260" s="4" t="s">
        <v>135</v>
      </c>
      <c r="G1260" s="4"/>
      <c r="H1260" s="4" t="s">
        <v>673</v>
      </c>
      <c r="I1260" s="61"/>
      <c r="J1260" s="5" t="s">
        <v>27</v>
      </c>
      <c r="K1260" s="69">
        <v>74196.585525357761</v>
      </c>
      <c r="L1260" s="5">
        <v>110741.17242590713</v>
      </c>
      <c r="M1260" s="8">
        <f t="shared" si="404"/>
        <v>877410.36866918544</v>
      </c>
      <c r="N1260" s="8">
        <v>676065.2917584395</v>
      </c>
      <c r="O1260" s="8">
        <f>SUMIFS(EIAwtransport!$J$2:$J$675,EIAwtransport!$E$2:$E$675,Program_data!$E1260,EIAwtransport!$H$2:$H$675,Program_data!$F1260,EIAwtransport!$I$2:$I$675,Program_data!O$2)</f>
        <v>1047994412.7701588</v>
      </c>
      <c r="P1260" s="5">
        <f>SUMIFS(EIAwtransport!$J$2:$J$675,EIAwtransport!$E$2:$E$675,Program_data!$E1260,EIAwtransport!$H$2:$H$675,Program_data!$F1260,EIAwtransport!$I$2:$I$675,Program_data!P$2)</f>
        <v>270776347.77599996</v>
      </c>
      <c r="Q1260" s="5">
        <f>SUMIFS(EIAwtransport!$J$2:$J$675,EIAwtransport!$E$2:$E$675,Program_data!$E1260,EIAwtransport!$H$2:$H$675,Program_data!$F1260,EIAwtransport!$I$2:$I$675,Program_data!Q$2)</f>
        <v>3711979</v>
      </c>
      <c r="R1260" s="8">
        <f>SUMIFS(EIAwtransport!$J$2:$J$675,EIAwtransport!$E$2:$E$675,Program_data!$E1260,EIAwtransport!$I$2:$I$675,Program_data!R$2)</f>
        <v>3425062807.5999999</v>
      </c>
      <c r="S1260" s="5">
        <f>SUMIFS(EIAwtransport!$J$2:$J$675,EIAwtransport!$E$2:$E$675,Program_data!$E1260,EIAwtransport!$I$2:$I$675,Program_data!S$2)</f>
        <v>884953189.29599977</v>
      </c>
      <c r="T1260" s="5">
        <f>SUMIFS(EIAwtransport!$J$2:$J$675,EIAwtransport!$E$2:$E$675,Program_data!$E1260,EIAwtransport!$I$2:$I$675,Program_data!T$2)</f>
        <v>3728492</v>
      </c>
      <c r="U1260" s="24">
        <f t="shared" si="400"/>
        <v>8.0928942528193349E-6</v>
      </c>
      <c r="V1260" s="24">
        <f t="shared" si="397"/>
        <v>1.2078946645999011E-5</v>
      </c>
      <c r="W1260" s="24">
        <f t="shared" si="401"/>
        <v>2.5617351212429355E-4</v>
      </c>
      <c r="X1260" s="25">
        <f t="shared" si="402"/>
        <v>9.5702373359757186E-5</v>
      </c>
      <c r="Y1260" s="8">
        <f t="shared" si="393"/>
        <v>8.970192824826459E-2</v>
      </c>
      <c r="Z1260" s="27">
        <f t="shared" si="394"/>
        <v>2.1509633824966741E-2</v>
      </c>
      <c r="AE1260" s="20">
        <f t="shared" si="398"/>
        <v>912688.14387389342</v>
      </c>
      <c r="AF1260" s="20">
        <f t="shared" si="399"/>
        <v>4623834790.2600002</v>
      </c>
      <c r="AG1260">
        <f t="shared" si="387"/>
        <v>7826255.8412147369</v>
      </c>
      <c r="AH1260">
        <f t="shared" si="388"/>
        <v>11680978.867484685</v>
      </c>
      <c r="AI1260">
        <f t="shared" si="389"/>
        <v>93344862406.942062</v>
      </c>
    </row>
    <row r="1261" spans="1:37" x14ac:dyDescent="0.25">
      <c r="A1261" s="62" t="s">
        <v>310</v>
      </c>
      <c r="B1261" s="63">
        <v>2024</v>
      </c>
      <c r="C1261" s="63" t="s">
        <v>33</v>
      </c>
      <c r="D1261" s="63" t="s">
        <v>77</v>
      </c>
      <c r="E1261" s="63" t="str">
        <f t="shared" si="396"/>
        <v>Enbridge-CAN</v>
      </c>
      <c r="F1261" s="63" t="s">
        <v>135</v>
      </c>
      <c r="G1261" s="63"/>
      <c r="H1261" s="63" t="s">
        <v>653</v>
      </c>
      <c r="I1261" s="64"/>
      <c r="J1261" s="4" t="s">
        <v>21</v>
      </c>
      <c r="K1261" s="66"/>
      <c r="L1261" s="65"/>
      <c r="M1261" s="66">
        <f>4931408.34296*0.74</f>
        <v>3649242.1737903999</v>
      </c>
      <c r="N1261" s="66">
        <f>3799765.92392*0.74</f>
        <v>2811826.7837008</v>
      </c>
      <c r="O1261" s="66">
        <f>SUMIFS(EIAwtransport!$J$2:$J$675,EIAwtransport!$E$2:$E$675,Program_data!$E1261,EIAwtransport!$H$2:$H$675,Program_data!$F1261,EIAwtransport!$I$2:$I$675,Program_data!O$2)</f>
        <v>1047994412.7701588</v>
      </c>
      <c r="P1261" s="65">
        <f>SUMIFS(EIAwtransport!$J$2:$J$675,EIAwtransport!$E$2:$E$675,Program_data!$E1261,EIAwtransport!$H$2:$H$675,Program_data!$F1261,EIAwtransport!$I$2:$I$675,Program_data!P$2)</f>
        <v>270776347.77599996</v>
      </c>
      <c r="Q1261" s="65">
        <f>SUMIFS(EIAwtransport!$J$2:$J$675,EIAwtransport!$E$2:$E$675,Program_data!$E1261,EIAwtransport!$H$2:$H$675,Program_data!$F1261,EIAwtransport!$I$2:$I$675,Program_data!Q$2)</f>
        <v>3711979</v>
      </c>
      <c r="R1261" s="66">
        <f>SUMIFS(EIAwtransport!$J$2:$J$675,EIAwtransport!$E$2:$E$675,Program_data!$E1261,EIAwtransport!$I$2:$I$675,Program_data!R$2)</f>
        <v>3425062807.5999999</v>
      </c>
      <c r="S1261" s="65">
        <f>SUMIFS(EIAwtransport!$J$2:$J$675,EIAwtransport!$E$2:$E$675,Program_data!$E1261,EIAwtransport!$I$2:$I$675,Program_data!S$2)</f>
        <v>884953189.29599977</v>
      </c>
      <c r="T1261" s="65">
        <f>SUMIFS(EIAwtransport!$J$2:$J$675,EIAwtransport!$E$2:$E$675,Program_data!$E1261,EIAwtransport!$I$2:$I$675,Program_data!T$2)</f>
        <v>3728492</v>
      </c>
      <c r="U1261" s="67">
        <f t="shared" si="400"/>
        <v>0</v>
      </c>
      <c r="V1261" s="67">
        <f t="shared" si="397"/>
        <v>0</v>
      </c>
      <c r="W1261" s="67">
        <f t="shared" si="401"/>
        <v>1.0654526292752822E-3</v>
      </c>
      <c r="X1261" s="68">
        <f t="shared" si="402"/>
        <v>3.9803625471849992E-4</v>
      </c>
      <c r="Y1261" s="8">
        <f t="shared" si="393"/>
        <v>0.37307977124818748</v>
      </c>
      <c r="Z1261" s="27">
        <f t="shared" si="394"/>
        <v>8.9460833493354902E-2</v>
      </c>
      <c r="AA1261" s="62"/>
      <c r="AB1261" s="62"/>
      <c r="AC1261" s="62"/>
      <c r="AD1261" s="62"/>
      <c r="AE1261" s="20">
        <f t="shared" si="398"/>
        <v>3795966.1579960804</v>
      </c>
      <c r="AF1261" s="20">
        <f t="shared" si="399"/>
        <v>4623834790.2600002</v>
      </c>
      <c r="AG1261">
        <f t="shared" si="387"/>
        <v>0</v>
      </c>
      <c r="AH1261">
        <f t="shared" si="388"/>
        <v>0</v>
      </c>
      <c r="AI1261">
        <f t="shared" si="389"/>
        <v>93344862406.942062</v>
      </c>
      <c r="AJ1261" s="62"/>
      <c r="AK1261" s="62"/>
    </row>
    <row r="1262" spans="1:37" x14ac:dyDescent="0.25">
      <c r="B1262" s="4">
        <v>2024</v>
      </c>
      <c r="C1262" s="4" t="s">
        <v>33</v>
      </c>
      <c r="D1262" s="4" t="s">
        <v>77</v>
      </c>
      <c r="E1262" s="4" t="str">
        <f t="shared" si="396"/>
        <v>Enbridge-CAN</v>
      </c>
      <c r="F1262" s="4" t="s">
        <v>135</v>
      </c>
      <c r="G1262" s="4"/>
      <c r="H1262" s="4" t="s">
        <v>654</v>
      </c>
      <c r="I1262" s="5"/>
      <c r="J1262" s="4" t="s">
        <v>21</v>
      </c>
      <c r="K1262" s="69">
        <v>2232458.6060854876</v>
      </c>
      <c r="L1262" s="5">
        <v>2325477.7146723829</v>
      </c>
      <c r="M1262" s="8">
        <f>4247687.28*0.74</f>
        <v>3143288.5872</v>
      </c>
      <c r="N1262" s="8">
        <f>2975314.8*0.74</f>
        <v>2201732.952</v>
      </c>
      <c r="O1262" s="8">
        <f>SUMIFS(EIAwtransport!$J$2:$J$675,EIAwtransport!$E$2:$E$675,Program_data!$E1262,EIAwtransport!$H$2:$H$675,Program_data!$F1262,EIAwtransport!$I$2:$I$675,Program_data!O$2)</f>
        <v>1047994412.7701588</v>
      </c>
      <c r="P1262" s="5">
        <f>SUMIFS(EIAwtransport!$J$2:$J$675,EIAwtransport!$E$2:$E$675,Program_data!$E1262,EIAwtransport!$H$2:$H$675,Program_data!$F1262,EIAwtransport!$I$2:$I$675,Program_data!P$2)</f>
        <v>270776347.77599996</v>
      </c>
      <c r="Q1262" s="5">
        <f>SUMIFS(EIAwtransport!$J$2:$J$675,EIAwtransport!$E$2:$E$675,Program_data!$E1262,EIAwtransport!$H$2:$H$675,Program_data!$F1262,EIAwtransport!$I$2:$I$675,Program_data!Q$2)</f>
        <v>3711979</v>
      </c>
      <c r="R1262" s="8">
        <f>SUMIFS(EIAwtransport!$J$2:$J$675,EIAwtransport!$E$2:$E$675,Program_data!$E1262,EIAwtransport!$I$2:$I$675,Program_data!R$2)</f>
        <v>3425062807.5999999</v>
      </c>
      <c r="S1262" s="5">
        <f>SUMIFS(EIAwtransport!$J$2:$J$675,EIAwtransport!$E$2:$E$675,Program_data!$E1262,EIAwtransport!$I$2:$I$675,Program_data!S$2)</f>
        <v>884953189.29599977</v>
      </c>
      <c r="T1262" s="5">
        <f>SUMIFS(EIAwtransport!$J$2:$J$675,EIAwtransport!$E$2:$E$675,Program_data!$E1262,EIAwtransport!$I$2:$I$675,Program_data!T$2)</f>
        <v>3728492</v>
      </c>
      <c r="U1262" s="24">
        <f t="shared" si="400"/>
        <v>2.4350246436436932E-4</v>
      </c>
      <c r="V1262" s="24">
        <f t="shared" si="397"/>
        <v>2.5364840037955138E-4</v>
      </c>
      <c r="W1262" s="24">
        <f t="shared" si="401"/>
        <v>9.1773166326329528E-4</v>
      </c>
      <c r="X1262" s="25">
        <f t="shared" si="402"/>
        <v>3.4285003766931538E-4</v>
      </c>
      <c r="Y1262" s="8">
        <f t="shared" si="393"/>
        <v>0.32135367597748532</v>
      </c>
      <c r="Z1262" s="27">
        <f t="shared" si="394"/>
        <v>7.7057428235568021E-2</v>
      </c>
      <c r="AE1262" s="20">
        <f t="shared" si="398"/>
        <v>2972339.4852000005</v>
      </c>
      <c r="AF1262" s="20">
        <f t="shared" si="399"/>
        <v>4623834790.2600002</v>
      </c>
      <c r="AG1262">
        <f t="shared" si="387"/>
        <v>235479733.76989725</v>
      </c>
      <c r="AH1262">
        <f t="shared" si="388"/>
        <v>245291389.34364295</v>
      </c>
      <c r="AI1262">
        <f t="shared" si="389"/>
        <v>93344862406.942062</v>
      </c>
    </row>
    <row r="1263" spans="1:37" x14ac:dyDescent="0.25">
      <c r="A1263" t="s">
        <v>310</v>
      </c>
      <c r="B1263" s="58">
        <v>2024</v>
      </c>
      <c r="C1263" s="58" t="s">
        <v>33</v>
      </c>
      <c r="D1263" s="58" t="s">
        <v>77</v>
      </c>
      <c r="E1263" s="58" t="str">
        <f t="shared" si="396"/>
        <v>Enbridge-CAN</v>
      </c>
      <c r="F1263" s="4" t="s">
        <v>146</v>
      </c>
      <c r="G1263" s="58"/>
      <c r="H1263" s="58" t="s">
        <v>655</v>
      </c>
      <c r="I1263" s="57"/>
      <c r="J1263" s="4" t="s">
        <v>21</v>
      </c>
      <c r="K1263" s="57">
        <v>6067959.3329999996</v>
      </c>
      <c r="L1263" s="57">
        <f>(K1263/55.1)*100</f>
        <v>11012630.368421052</v>
      </c>
      <c r="M1263" s="59">
        <f>SUM(M1264:M1289)</f>
        <v>16607397.51495536</v>
      </c>
      <c r="N1263" s="59">
        <f>SUM(N1264:N1289)</f>
        <v>13798203.114044165</v>
      </c>
      <c r="O1263" s="8">
        <f>SUMIFS(EIAwtransport!$J$2:$J$675,EIAwtransport!$E$2:$E$675,Program_data!$E1263,EIAwtransport!$H$2:$H$675,Program_data!$F1263,EIAwtransport!$I$2:$I$675,Program_data!O$2)</f>
        <v>2377068394.8298411</v>
      </c>
      <c r="P1263" s="5">
        <f>SUMIFS(EIAwtransport!$J$2:$J$675,EIAwtransport!$E$2:$E$675,Program_data!$E1263,EIAwtransport!$H$2:$H$675,Program_data!$F1263,EIAwtransport!$I$2:$I$675,Program_data!P$2)</f>
        <v>614176841.51999986</v>
      </c>
      <c r="Q1263" s="5">
        <f>SUMIFS(EIAwtransport!$J$2:$J$675,EIAwtransport!$E$2:$E$675,Program_data!$E1263,EIAwtransport!$H$2:$H$675,Program_data!$F1263,EIAwtransport!$I$2:$I$675,Program_data!Q$2)</f>
        <v>16513</v>
      </c>
      <c r="R1263" s="8">
        <f>SUMIFS(EIAwtransport!$J$2:$J$675,EIAwtransport!$E$2:$E$675,Program_data!$E1263,EIAwtransport!$I$2:$I$675,Program_data!R$2)</f>
        <v>3425062807.5999999</v>
      </c>
      <c r="S1263" s="5">
        <f>SUMIFS(EIAwtransport!$J$2:$J$675,EIAwtransport!$E$2:$E$675,Program_data!$E1263,EIAwtransport!$I$2:$I$675,Program_data!S$2)</f>
        <v>884953189.29599977</v>
      </c>
      <c r="T1263" s="5">
        <f>SUMIFS(EIAwtransport!$J$2:$J$675,EIAwtransport!$E$2:$E$675,Program_data!$E1263,EIAwtransport!$I$2:$I$675,Program_data!T$2)</f>
        <v>3728492</v>
      </c>
      <c r="U1263" s="24">
        <f t="shared" si="400"/>
        <v>6.6185462396506096E-4</v>
      </c>
      <c r="V1263" s="24">
        <f t="shared" si="397"/>
        <v>1.2011880652723428E-3</v>
      </c>
      <c r="W1263" s="24">
        <f t="shared" si="401"/>
        <v>4.8487862698764483E-3</v>
      </c>
      <c r="X1263" s="25">
        <f t="shared" si="402"/>
        <v>1.8114298784966936E-3</v>
      </c>
      <c r="Y1263" s="8">
        <f t="shared" si="393"/>
        <v>0.58358424910246742</v>
      </c>
      <c r="Z1263" s="27">
        <f t="shared" si="394"/>
        <v>0.40712881006200707</v>
      </c>
      <c r="AE1263" s="20">
        <f t="shared" si="398"/>
        <v>18627574.203959625</v>
      </c>
      <c r="AF1263" s="20">
        <f t="shared" si="399"/>
        <v>4623834790.2600002</v>
      </c>
      <c r="AG1263">
        <f t="shared" si="387"/>
        <v>640048350.44483995</v>
      </c>
      <c r="AH1263">
        <f t="shared" si="388"/>
        <v>1161612251.2610526</v>
      </c>
      <c r="AI1263">
        <f t="shared" si="389"/>
        <v>93344862406.942062</v>
      </c>
    </row>
    <row r="1264" spans="1:37" x14ac:dyDescent="0.25">
      <c r="B1264" s="4">
        <v>2024</v>
      </c>
      <c r="C1264" s="4" t="s">
        <v>33</v>
      </c>
      <c r="D1264" s="4" t="s">
        <v>77</v>
      </c>
      <c r="E1264" s="4" t="str">
        <f t="shared" si="396"/>
        <v>Enbridge-CAN</v>
      </c>
      <c r="F1264" s="4" t="s">
        <v>146</v>
      </c>
      <c r="G1264" s="4"/>
      <c r="H1264" s="4" t="s">
        <v>656</v>
      </c>
      <c r="I1264" s="5"/>
      <c r="J1264" s="5" t="s">
        <v>61</v>
      </c>
      <c r="K1264" s="69">
        <v>6524011.8483126555</v>
      </c>
      <c r="L1264" s="5">
        <v>12838765.113311645</v>
      </c>
      <c r="M1264" s="8">
        <f>10094557.152*0.74</f>
        <v>7469972.2924800003</v>
      </c>
      <c r="N1264" s="8">
        <f>9351066.24*0.74</f>
        <v>6919789.0175999999</v>
      </c>
      <c r="O1264" s="8">
        <f>SUMIFS(EIAwtransport!$J$2:$J$675,EIAwtransport!$E$2:$E$675,Program_data!$E1264,EIAwtransport!$H$2:$H$675,Program_data!$F1264,EIAwtransport!$I$2:$I$675,Program_data!O$2)</f>
        <v>2377068394.8298411</v>
      </c>
      <c r="P1264" s="5">
        <f>SUMIFS(EIAwtransport!$J$2:$J$675,EIAwtransport!$E$2:$E$675,Program_data!$E1264,EIAwtransport!$H$2:$H$675,Program_data!$F1264,EIAwtransport!$I$2:$I$675,Program_data!P$2)</f>
        <v>614176841.51999986</v>
      </c>
      <c r="Q1264" s="5">
        <f>SUMIFS(EIAwtransport!$J$2:$J$675,EIAwtransport!$E$2:$E$675,Program_data!$E1264,EIAwtransport!$H$2:$H$675,Program_data!$F1264,EIAwtransport!$I$2:$I$675,Program_data!Q$2)</f>
        <v>16513</v>
      </c>
      <c r="R1264" s="8">
        <f>SUMIFS(EIAwtransport!$J$2:$J$675,EIAwtransport!$E$2:$E$675,Program_data!$E1264,EIAwtransport!$I$2:$I$675,Program_data!R$2)</f>
        <v>3425062807.5999999</v>
      </c>
      <c r="S1264" s="5">
        <f>SUMIFS(EIAwtransport!$J$2:$J$675,EIAwtransport!$E$2:$E$675,Program_data!$E1264,EIAwtransport!$I$2:$I$675,Program_data!S$2)</f>
        <v>884953189.29599977</v>
      </c>
      <c r="T1264" s="5">
        <f>SUMIFS(EIAwtransport!$J$2:$J$675,EIAwtransport!$E$2:$E$675,Program_data!$E1264,EIAwtransport!$I$2:$I$675,Program_data!T$2)</f>
        <v>3728492</v>
      </c>
      <c r="U1264" s="24">
        <f t="shared" si="400"/>
        <v>7.1159794778548411E-4</v>
      </c>
      <c r="V1264" s="24">
        <f t="shared" si="397"/>
        <v>1.4003712928717846E-3</v>
      </c>
      <c r="W1264" s="24">
        <f t="shared" si="401"/>
        <v>2.1809738133574076E-3</v>
      </c>
      <c r="X1264" s="25">
        <f t="shared" si="402"/>
        <v>8.1477732979868915E-4</v>
      </c>
      <c r="Y1264" s="8">
        <f t="shared" si="393"/>
        <v>0.26249496148914792</v>
      </c>
      <c r="Z1264" s="27">
        <f t="shared" si="394"/>
        <v>0.18312567805370078</v>
      </c>
      <c r="AE1264" s="20">
        <f t="shared" si="398"/>
        <v>9341715.1737600006</v>
      </c>
      <c r="AF1264" s="20">
        <f t="shared" si="399"/>
        <v>4623834790.2600002</v>
      </c>
      <c r="AG1264">
        <f t="shared" si="387"/>
        <v>688152769.76001894</v>
      </c>
      <c r="AH1264">
        <f t="shared" si="388"/>
        <v>1354232944.1521122</v>
      </c>
      <c r="AI1264">
        <f t="shared" si="389"/>
        <v>93344862406.942062</v>
      </c>
    </row>
    <row r="1265" spans="1:35" x14ac:dyDescent="0.25">
      <c r="A1265" t="s">
        <v>310</v>
      </c>
      <c r="B1265" s="4">
        <v>2024</v>
      </c>
      <c r="C1265" s="4" t="s">
        <v>33</v>
      </c>
      <c r="D1265" s="4" t="s">
        <v>77</v>
      </c>
      <c r="E1265" s="4" t="str">
        <f t="shared" si="396"/>
        <v>Enbridge-CAN</v>
      </c>
      <c r="F1265" s="4" t="s">
        <v>146</v>
      </c>
      <c r="G1265" s="4"/>
      <c r="H1265" s="4" t="s">
        <v>657</v>
      </c>
      <c r="I1265" s="5"/>
      <c r="J1265" s="4" t="s">
        <v>21</v>
      </c>
      <c r="K1265" s="69">
        <v>5751471.9921074146</v>
      </c>
      <c r="L1265" s="5">
        <v>37566766.767520666</v>
      </c>
      <c r="M1265" s="8">
        <f>1561140.82392*0.74</f>
        <v>1155244.2097008</v>
      </c>
      <c r="N1265" s="8">
        <f>1371330.813888*0.74</f>
        <v>1014784.8022771201</v>
      </c>
      <c r="O1265" s="8">
        <f>SUMIFS(EIAwtransport!$J$2:$J$675,EIAwtransport!$E$2:$E$675,Program_data!$E1265,EIAwtransport!$H$2:$H$675,Program_data!$F1265,EIAwtransport!$I$2:$I$675,Program_data!O$2)</f>
        <v>2377068394.8298411</v>
      </c>
      <c r="P1265" s="5">
        <f>SUMIFS(EIAwtransport!$J$2:$J$675,EIAwtransport!$E$2:$E$675,Program_data!$E1265,EIAwtransport!$H$2:$H$675,Program_data!$F1265,EIAwtransport!$I$2:$I$675,Program_data!P$2)</f>
        <v>614176841.51999986</v>
      </c>
      <c r="Q1265" s="5">
        <f>SUMIFS(EIAwtransport!$J$2:$J$675,EIAwtransport!$E$2:$E$675,Program_data!$E1265,EIAwtransport!$H$2:$H$675,Program_data!$F1265,EIAwtransport!$I$2:$I$675,Program_data!Q$2)</f>
        <v>16513</v>
      </c>
      <c r="R1265" s="8">
        <f>SUMIFS(EIAwtransport!$J$2:$J$675,EIAwtransport!$E$2:$E$675,Program_data!$E1265,EIAwtransport!$I$2:$I$675,Program_data!R$2)</f>
        <v>3425062807.5999999</v>
      </c>
      <c r="S1265" s="5">
        <f>SUMIFS(EIAwtransport!$J$2:$J$675,EIAwtransport!$E$2:$E$675,Program_data!$E1265,EIAwtransport!$I$2:$I$675,Program_data!S$2)</f>
        <v>884953189.29599977</v>
      </c>
      <c r="T1265" s="5">
        <f>SUMIFS(EIAwtransport!$J$2:$J$675,EIAwtransport!$E$2:$E$675,Program_data!$E1265,EIAwtransport!$I$2:$I$675,Program_data!T$2)</f>
        <v>3728492</v>
      </c>
      <c r="U1265" s="24">
        <f t="shared" si="400"/>
        <v>6.2733418661522751E-4</v>
      </c>
      <c r="V1265" s="24">
        <f t="shared" si="397"/>
        <v>4.0975453077415243E-3</v>
      </c>
      <c r="W1265" s="24">
        <f t="shared" si="401"/>
        <v>3.3729139423002274E-4</v>
      </c>
      <c r="X1265" s="25">
        <f t="shared" si="402"/>
        <v>1.2600673142964473E-4</v>
      </c>
      <c r="Y1265" s="8">
        <f t="shared" si="393"/>
        <v>4.0595302427192309E-2</v>
      </c>
      <c r="Z1265" s="27">
        <f t="shared" si="394"/>
        <v>2.8320704674104667E-2</v>
      </c>
      <c r="AE1265" s="20">
        <f t="shared" si="398"/>
        <v>1369959.4830741121</v>
      </c>
      <c r="AF1265" s="20">
        <f t="shared" si="399"/>
        <v>4623834790.2600002</v>
      </c>
      <c r="AG1265">
        <f t="shared" si="387"/>
        <v>606665265.72749007</v>
      </c>
      <c r="AH1265">
        <f t="shared" si="388"/>
        <v>3962542558.6380801</v>
      </c>
      <c r="AI1265">
        <f t="shared" si="389"/>
        <v>93344862406.942062</v>
      </c>
    </row>
    <row r="1266" spans="1:35" x14ac:dyDescent="0.25">
      <c r="B1266" s="4">
        <v>2024</v>
      </c>
      <c r="C1266" s="4" t="s">
        <v>33</v>
      </c>
      <c r="D1266" s="4" t="s">
        <v>77</v>
      </c>
      <c r="E1266" s="4" t="str">
        <f t="shared" ref="E1266:E1269" si="405">D1266&amp;"-"&amp;C1266</f>
        <v>Enbridge-CAN</v>
      </c>
      <c r="F1266" s="4" t="s">
        <v>146</v>
      </c>
      <c r="G1266" s="4"/>
      <c r="H1266" s="4" t="s">
        <v>674</v>
      </c>
      <c r="I1266" s="61"/>
      <c r="J1266" s="4" t="s">
        <v>21</v>
      </c>
      <c r="K1266" s="69">
        <v>514488.4777153639</v>
      </c>
      <c r="L1266" s="5">
        <v>541566.81864775147</v>
      </c>
      <c r="M1266" s="8">
        <f t="shared" ref="M1266:M1276" si="406">N1266/SUM($N$1288,$N$1293)*SUM($M$1288,$M$1293)</f>
        <v>2075177.6453497489</v>
      </c>
      <c r="N1266" s="8">
        <v>1883760.8517251315</v>
      </c>
      <c r="O1266" s="8">
        <f>SUMIFS(EIAwtransport!$J$2:$J$675,EIAwtransport!$E$2:$E$675,Program_data!$E1266,EIAwtransport!$H$2:$H$675,Program_data!$F1266,EIAwtransport!$I$2:$I$675,Program_data!O$2)</f>
        <v>2377068394.8298411</v>
      </c>
      <c r="P1266" s="5">
        <f>SUMIFS(EIAwtransport!$J$2:$J$675,EIAwtransport!$E$2:$E$675,Program_data!$E1266,EIAwtransport!$H$2:$H$675,Program_data!$F1266,EIAwtransport!$I$2:$I$675,Program_data!P$2)</f>
        <v>614176841.51999986</v>
      </c>
      <c r="Q1266" s="5">
        <f>SUMIFS(EIAwtransport!$J$2:$J$675,EIAwtransport!$E$2:$E$675,Program_data!$E1266,EIAwtransport!$H$2:$H$675,Program_data!$F1266,EIAwtransport!$I$2:$I$675,Program_data!Q$2)</f>
        <v>16513</v>
      </c>
      <c r="R1266" s="8">
        <f>SUMIFS(EIAwtransport!$J$2:$J$675,EIAwtransport!$E$2:$E$675,Program_data!$E1266,EIAwtransport!$I$2:$I$675,Program_data!R$2)</f>
        <v>3425062807.5999999</v>
      </c>
      <c r="S1266" s="5">
        <f>SUMIFS(EIAwtransport!$J$2:$J$675,EIAwtransport!$E$2:$E$675,Program_data!$E1266,EIAwtransport!$I$2:$I$675,Program_data!S$2)</f>
        <v>884953189.29599977</v>
      </c>
      <c r="T1266" s="5">
        <f>SUMIFS(EIAwtransport!$J$2:$J$675,EIAwtransport!$E$2:$E$675,Program_data!$E1266,EIAwtransport!$I$2:$I$675,Program_data!T$2)</f>
        <v>3728492</v>
      </c>
      <c r="U1266" s="24">
        <f t="shared" si="400"/>
        <v>5.6117148989577591E-5</v>
      </c>
      <c r="V1266" s="24">
        <f t="shared" si="397"/>
        <v>5.907068314692377E-5</v>
      </c>
      <c r="W1266" s="24">
        <f t="shared" si="401"/>
        <v>6.0588017269203346E-4</v>
      </c>
      <c r="X1266" s="25">
        <f t="shared" si="402"/>
        <v>2.2634725197550346E-4</v>
      </c>
      <c r="Y1266" s="8">
        <f t="shared" si="393"/>
        <v>7.2921779997443203E-2</v>
      </c>
      <c r="Z1266" s="27">
        <f t="shared" si="394"/>
        <v>5.087278754288263E-2</v>
      </c>
      <c r="AE1266" s="20">
        <f t="shared" si="398"/>
        <v>2543077.1498289276</v>
      </c>
      <c r="AF1266" s="20">
        <f t="shared" si="399"/>
        <v>4623834790.2600002</v>
      </c>
      <c r="AG1266">
        <f t="shared" si="387"/>
        <v>54268244.629416585</v>
      </c>
      <c r="AH1266">
        <f t="shared" si="388"/>
        <v>57124468.030964829</v>
      </c>
      <c r="AI1266">
        <f t="shared" si="389"/>
        <v>93344862406.942062</v>
      </c>
    </row>
    <row r="1267" spans="1:35" x14ac:dyDescent="0.25">
      <c r="B1267" s="4">
        <v>2024</v>
      </c>
      <c r="C1267" s="4" t="s">
        <v>33</v>
      </c>
      <c r="D1267" s="4" t="s">
        <v>77</v>
      </c>
      <c r="E1267" s="4" t="str">
        <f t="shared" si="405"/>
        <v>Enbridge-CAN</v>
      </c>
      <c r="F1267" s="4" t="s">
        <v>146</v>
      </c>
      <c r="G1267" s="4"/>
      <c r="H1267" s="4" t="s">
        <v>675</v>
      </c>
      <c r="I1267" s="61"/>
      <c r="J1267" s="4" t="s">
        <v>21</v>
      </c>
      <c r="K1267" s="69">
        <v>433663.18259031337</v>
      </c>
      <c r="L1267" s="5">
        <v>456487.56062138255</v>
      </c>
      <c r="M1267" s="8">
        <f t="shared" si="406"/>
        <v>658037.78114407614</v>
      </c>
      <c r="N1267" s="8">
        <v>597339.61275703786</v>
      </c>
      <c r="O1267" s="8">
        <f>SUMIFS(EIAwtransport!$J$2:$J$675,EIAwtransport!$E$2:$E$675,Program_data!$E1267,EIAwtransport!$H$2:$H$675,Program_data!$F1267,EIAwtransport!$I$2:$I$675,Program_data!O$2)</f>
        <v>2377068394.8298411</v>
      </c>
      <c r="P1267" s="5">
        <f>SUMIFS(EIAwtransport!$J$2:$J$675,EIAwtransport!$E$2:$E$675,Program_data!$E1267,EIAwtransport!$H$2:$H$675,Program_data!$F1267,EIAwtransport!$I$2:$I$675,Program_data!P$2)</f>
        <v>614176841.51999986</v>
      </c>
      <c r="Q1267" s="5">
        <f>SUMIFS(EIAwtransport!$J$2:$J$675,EIAwtransport!$E$2:$E$675,Program_data!$E1267,EIAwtransport!$H$2:$H$675,Program_data!$F1267,EIAwtransport!$I$2:$I$675,Program_data!Q$2)</f>
        <v>16513</v>
      </c>
      <c r="R1267" s="8">
        <f>SUMIFS(EIAwtransport!$J$2:$J$675,EIAwtransport!$E$2:$E$675,Program_data!$E1267,EIAwtransport!$I$2:$I$675,Program_data!R$2)</f>
        <v>3425062807.5999999</v>
      </c>
      <c r="S1267" s="5">
        <f>SUMIFS(EIAwtransport!$J$2:$J$675,EIAwtransport!$E$2:$E$675,Program_data!$E1267,EIAwtransport!$I$2:$I$675,Program_data!S$2)</f>
        <v>884953189.29599977</v>
      </c>
      <c r="T1267" s="5">
        <f>SUMIFS(EIAwtransport!$J$2:$J$675,EIAwtransport!$E$2:$E$675,Program_data!$E1267,EIAwtransport!$I$2:$I$675,Program_data!T$2)</f>
        <v>3728492</v>
      </c>
      <c r="U1267" s="24">
        <f t="shared" si="400"/>
        <v>4.7301237020469569E-5</v>
      </c>
      <c r="V1267" s="24">
        <f t="shared" si="397"/>
        <v>4.9790775811020606E-5</v>
      </c>
      <c r="W1267" s="24">
        <f t="shared" si="401"/>
        <v>1.9212429613960116E-4</v>
      </c>
      <c r="X1267" s="25">
        <f t="shared" si="402"/>
        <v>7.1774599052659076E-5</v>
      </c>
      <c r="Y1267" s="8">
        <f t="shared" si="393"/>
        <v>2.3123459533271232E-2</v>
      </c>
      <c r="Z1267" s="27">
        <f t="shared" si="394"/>
        <v>1.6131735184382455E-2</v>
      </c>
      <c r="AE1267" s="20">
        <f t="shared" si="398"/>
        <v>806408.47722200118</v>
      </c>
      <c r="AF1267" s="20">
        <f t="shared" si="399"/>
        <v>4623834790.2600002</v>
      </c>
      <c r="AG1267">
        <f t="shared" si="387"/>
        <v>45742792.499626257</v>
      </c>
      <c r="AH1267">
        <f t="shared" si="388"/>
        <v>48150307.894343436</v>
      </c>
      <c r="AI1267">
        <f t="shared" si="389"/>
        <v>93344862406.942062</v>
      </c>
    </row>
    <row r="1268" spans="1:35" x14ac:dyDescent="0.25">
      <c r="B1268" s="4">
        <v>2024</v>
      </c>
      <c r="C1268" s="4" t="s">
        <v>33</v>
      </c>
      <c r="D1268" s="4" t="s">
        <v>77</v>
      </c>
      <c r="E1268" s="4" t="str">
        <f t="shared" si="405"/>
        <v>Enbridge-CAN</v>
      </c>
      <c r="F1268" s="4" t="s">
        <v>146</v>
      </c>
      <c r="G1268" s="4"/>
      <c r="H1268" s="4" t="s">
        <v>676</v>
      </c>
      <c r="I1268" s="61"/>
      <c r="J1268" s="4" t="s">
        <v>21</v>
      </c>
      <c r="K1268" s="69">
        <v>25338.046016653876</v>
      </c>
      <c r="L1268" s="5">
        <v>26671.627385951451</v>
      </c>
      <c r="M1268" s="8">
        <f t="shared" si="406"/>
        <v>179694.93254319002</v>
      </c>
      <c r="N1268" s="8">
        <v>163119.66348365264</v>
      </c>
      <c r="O1268" s="8">
        <f>SUMIFS(EIAwtransport!$J$2:$J$675,EIAwtransport!$E$2:$E$675,Program_data!$E1268,EIAwtransport!$H$2:$H$675,Program_data!$F1268,EIAwtransport!$I$2:$I$675,Program_data!O$2)</f>
        <v>2377068394.8298411</v>
      </c>
      <c r="P1268" s="5">
        <f>SUMIFS(EIAwtransport!$J$2:$J$675,EIAwtransport!$E$2:$E$675,Program_data!$E1268,EIAwtransport!$H$2:$H$675,Program_data!$F1268,EIAwtransport!$I$2:$I$675,Program_data!P$2)</f>
        <v>614176841.51999986</v>
      </c>
      <c r="Q1268" s="5">
        <f>SUMIFS(EIAwtransport!$J$2:$J$675,EIAwtransport!$E$2:$E$675,Program_data!$E1268,EIAwtransport!$H$2:$H$675,Program_data!$F1268,EIAwtransport!$I$2:$I$675,Program_data!Q$2)</f>
        <v>16513</v>
      </c>
      <c r="R1268" s="8">
        <f>SUMIFS(EIAwtransport!$J$2:$J$675,EIAwtransport!$E$2:$E$675,Program_data!$E1268,EIAwtransport!$I$2:$I$675,Program_data!R$2)</f>
        <v>3425062807.5999999</v>
      </c>
      <c r="S1268" s="5">
        <f>SUMIFS(EIAwtransport!$J$2:$J$675,EIAwtransport!$E$2:$E$675,Program_data!$E1268,EIAwtransport!$I$2:$I$675,Program_data!S$2)</f>
        <v>884953189.29599977</v>
      </c>
      <c r="T1268" s="5">
        <f>SUMIFS(EIAwtransport!$J$2:$J$675,EIAwtransport!$E$2:$E$675,Program_data!$E1268,EIAwtransport!$I$2:$I$675,Program_data!T$2)</f>
        <v>3728492</v>
      </c>
      <c r="U1268" s="24">
        <f t="shared" si="400"/>
        <v>2.763713795370926E-6</v>
      </c>
      <c r="V1268" s="24">
        <f t="shared" si="397"/>
        <v>2.909172416179922E-6</v>
      </c>
      <c r="W1268" s="24">
        <f t="shared" si="401"/>
        <v>5.2464711638121855E-5</v>
      </c>
      <c r="X1268" s="25">
        <f t="shared" si="402"/>
        <v>1.9599986664379979E-5</v>
      </c>
      <c r="Y1268" s="8">
        <f t="shared" si="393"/>
        <v>6.3144831802394519E-3</v>
      </c>
      <c r="Z1268" s="27">
        <f t="shared" si="394"/>
        <v>4.4052046080429019E-3</v>
      </c>
      <c r="AE1268" s="20">
        <f t="shared" si="398"/>
        <v>220211.54570293106</v>
      </c>
      <c r="AF1268" s="20">
        <f t="shared" si="399"/>
        <v>4623834790.2600002</v>
      </c>
      <c r="AG1268">
        <f t="shared" si="387"/>
        <v>2672657.0938366507</v>
      </c>
      <c r="AH1268">
        <f t="shared" si="388"/>
        <v>2813323.2566701593</v>
      </c>
      <c r="AI1268">
        <f t="shared" si="389"/>
        <v>93344862406.942062</v>
      </c>
    </row>
    <row r="1269" spans="1:35" x14ac:dyDescent="0.25">
      <c r="B1269" s="4">
        <v>2024</v>
      </c>
      <c r="C1269" s="4" t="s">
        <v>33</v>
      </c>
      <c r="D1269" s="4" t="s">
        <v>77</v>
      </c>
      <c r="E1269" s="4" t="str">
        <f t="shared" si="405"/>
        <v>Enbridge-CAN</v>
      </c>
      <c r="F1269" s="4" t="s">
        <v>146</v>
      </c>
      <c r="G1269" s="4"/>
      <c r="H1269" s="4" t="s">
        <v>677</v>
      </c>
      <c r="I1269" s="61"/>
      <c r="J1269" s="4" t="s">
        <v>21</v>
      </c>
      <c r="K1269" s="69">
        <v>17607.501914991837</v>
      </c>
      <c r="L1269" s="5">
        <v>19138.589038034606</v>
      </c>
      <c r="M1269" s="8">
        <f t="shared" si="406"/>
        <v>97048.584176179749</v>
      </c>
      <c r="N1269" s="8">
        <v>88096.710176167486</v>
      </c>
      <c r="O1269" s="8">
        <f>SUMIFS(EIAwtransport!$J$2:$J$675,EIAwtransport!$E$2:$E$675,Program_data!$E1269,EIAwtransport!$H$2:$H$675,Program_data!$F1269,EIAwtransport!$I$2:$I$675,Program_data!O$2)</f>
        <v>2377068394.8298411</v>
      </c>
      <c r="P1269" s="5">
        <f>SUMIFS(EIAwtransport!$J$2:$J$675,EIAwtransport!$E$2:$E$675,Program_data!$E1269,EIAwtransport!$H$2:$H$675,Program_data!$F1269,EIAwtransport!$I$2:$I$675,Program_data!P$2)</f>
        <v>614176841.51999986</v>
      </c>
      <c r="Q1269" s="5">
        <f>SUMIFS(EIAwtransport!$J$2:$J$675,EIAwtransport!$E$2:$E$675,Program_data!$E1269,EIAwtransport!$H$2:$H$675,Program_data!$F1269,EIAwtransport!$I$2:$I$675,Program_data!Q$2)</f>
        <v>16513</v>
      </c>
      <c r="R1269" s="8">
        <f>SUMIFS(EIAwtransport!$J$2:$J$675,EIAwtransport!$E$2:$E$675,Program_data!$E1269,EIAwtransport!$I$2:$I$675,Program_data!R$2)</f>
        <v>3425062807.5999999</v>
      </c>
      <c r="S1269" s="5">
        <f>SUMIFS(EIAwtransport!$J$2:$J$675,EIAwtransport!$E$2:$E$675,Program_data!$E1269,EIAwtransport!$I$2:$I$675,Program_data!S$2)</f>
        <v>884953189.29599977</v>
      </c>
      <c r="T1269" s="5">
        <f>SUMIFS(EIAwtransport!$J$2:$J$675,EIAwtransport!$E$2:$E$675,Program_data!$E1269,EIAwtransport!$I$2:$I$675,Program_data!T$2)</f>
        <v>3728492</v>
      </c>
      <c r="U1269" s="24">
        <f t="shared" si="400"/>
        <v>1.9205149407534786E-6</v>
      </c>
      <c r="V1269" s="24">
        <f t="shared" si="397"/>
        <v>2.0875162399494334E-6</v>
      </c>
      <c r="W1269" s="24">
        <f t="shared" si="401"/>
        <v>2.833483344037809E-5</v>
      </c>
      <c r="X1269" s="25">
        <f t="shared" si="402"/>
        <v>1.0585445725871515E-5</v>
      </c>
      <c r="Y1269" s="8">
        <f t="shared" si="393"/>
        <v>3.4102890035546726E-3</v>
      </c>
      <c r="Z1269" s="27">
        <f t="shared" si="394"/>
        <v>2.3791370416869793E-3</v>
      </c>
      <c r="AE1269" s="20">
        <f t="shared" si="398"/>
        <v>118930.55873782611</v>
      </c>
      <c r="AF1269" s="20">
        <f t="shared" si="399"/>
        <v>4623834790.2600002</v>
      </c>
      <c r="AG1269">
        <f t="shared" si="387"/>
        <v>1857239.3019933391</v>
      </c>
      <c r="AH1269">
        <f t="shared" si="388"/>
        <v>2018738.3717318904</v>
      </c>
      <c r="AI1269">
        <f t="shared" si="389"/>
        <v>93344862406.942062</v>
      </c>
    </row>
    <row r="1270" spans="1:35" x14ac:dyDescent="0.25">
      <c r="B1270" s="4">
        <v>2024</v>
      </c>
      <c r="C1270" s="4" t="s">
        <v>33</v>
      </c>
      <c r="D1270" s="4" t="s">
        <v>77</v>
      </c>
      <c r="E1270" s="4" t="str">
        <f t="shared" ref="E1270:E1272" si="407">D1270&amp;"-"&amp;C1270</f>
        <v>Enbridge-CAN</v>
      </c>
      <c r="F1270" s="4" t="s">
        <v>146</v>
      </c>
      <c r="G1270" s="4"/>
      <c r="H1270" s="4" t="s">
        <v>678</v>
      </c>
      <c r="I1270" s="61"/>
      <c r="J1270" s="4" t="s">
        <v>21</v>
      </c>
      <c r="K1270" s="69">
        <v>63663.827401153801</v>
      </c>
      <c r="L1270" s="5">
        <v>67014.555159109266</v>
      </c>
      <c r="M1270" s="8">
        <f t="shared" si="406"/>
        <v>184268.33952415083</v>
      </c>
      <c r="N1270" s="8">
        <v>167271.21409863068</v>
      </c>
      <c r="O1270" s="8">
        <f>SUMIFS(EIAwtransport!$J$2:$J$675,EIAwtransport!$E$2:$E$675,Program_data!$E1270,EIAwtransport!$H$2:$H$675,Program_data!$F1270,EIAwtransport!$I$2:$I$675,Program_data!O$2)</f>
        <v>2377068394.8298411</v>
      </c>
      <c r="P1270" s="5">
        <f>SUMIFS(EIAwtransport!$J$2:$J$675,EIAwtransport!$E$2:$E$675,Program_data!$E1270,EIAwtransport!$H$2:$H$675,Program_data!$F1270,EIAwtransport!$I$2:$I$675,Program_data!P$2)</f>
        <v>614176841.51999986</v>
      </c>
      <c r="Q1270" s="5">
        <f>SUMIFS(EIAwtransport!$J$2:$J$675,EIAwtransport!$E$2:$E$675,Program_data!$E1270,EIAwtransport!$H$2:$H$675,Program_data!$F1270,EIAwtransport!$I$2:$I$675,Program_data!Q$2)</f>
        <v>16513</v>
      </c>
      <c r="R1270" s="8">
        <f>SUMIFS(EIAwtransport!$J$2:$J$675,EIAwtransport!$E$2:$E$675,Program_data!$E1270,EIAwtransport!$I$2:$I$675,Program_data!R$2)</f>
        <v>3425062807.5999999</v>
      </c>
      <c r="S1270" s="5">
        <f>SUMIFS(EIAwtransport!$J$2:$J$675,EIAwtransport!$E$2:$E$675,Program_data!$E1270,EIAwtransport!$I$2:$I$675,Program_data!S$2)</f>
        <v>884953189.29599977</v>
      </c>
      <c r="T1270" s="5">
        <f>SUMIFS(EIAwtransport!$J$2:$J$675,EIAwtransport!$E$2:$E$675,Program_data!$E1270,EIAwtransport!$I$2:$I$675,Program_data!T$2)</f>
        <v>3728492</v>
      </c>
      <c r="U1270" s="24">
        <f t="shared" si="400"/>
        <v>6.9440476167356005E-6</v>
      </c>
      <c r="V1270" s="24">
        <f t="shared" si="397"/>
        <v>7.3095238070901062E-6</v>
      </c>
      <c r="W1270" s="24">
        <f t="shared" si="401"/>
        <v>5.3799988460144706E-5</v>
      </c>
      <c r="X1270" s="25">
        <f t="shared" si="402"/>
        <v>2.0098824970886308E-5</v>
      </c>
      <c r="Y1270" s="8">
        <f t="shared" si="393"/>
        <v>6.4751927842831031E-3</v>
      </c>
      <c r="Z1270" s="27">
        <f t="shared" si="394"/>
        <v>4.5173212560855047E-3</v>
      </c>
      <c r="AE1270" s="20">
        <f t="shared" si="398"/>
        <v>225816.13903315144</v>
      </c>
      <c r="AF1270" s="20">
        <f t="shared" si="399"/>
        <v>4623834790.2600002</v>
      </c>
      <c r="AG1270">
        <f t="shared" si="387"/>
        <v>6715260.5142737031</v>
      </c>
      <c r="AH1270">
        <f t="shared" si="388"/>
        <v>7068695.2781828456</v>
      </c>
      <c r="AI1270">
        <f t="shared" si="389"/>
        <v>93344862406.942062</v>
      </c>
    </row>
    <row r="1271" spans="1:35" x14ac:dyDescent="0.25">
      <c r="B1271" s="4">
        <v>2024</v>
      </c>
      <c r="C1271" s="4" t="s">
        <v>33</v>
      </c>
      <c r="D1271" s="4" t="s">
        <v>77</v>
      </c>
      <c r="E1271" s="4" t="str">
        <f t="shared" si="407"/>
        <v>Enbridge-CAN</v>
      </c>
      <c r="F1271" s="4" t="s">
        <v>146</v>
      </c>
      <c r="G1271" s="4"/>
      <c r="H1271" s="4" t="s">
        <v>679</v>
      </c>
      <c r="I1271" s="61"/>
      <c r="J1271" s="4" t="s">
        <v>21</v>
      </c>
      <c r="K1271" s="69">
        <v>20251.056146409344</v>
      </c>
      <c r="L1271" s="5">
        <v>22501.173496010386</v>
      </c>
      <c r="M1271" s="8">
        <f t="shared" si="406"/>
        <v>126026.22363166201</v>
      </c>
      <c r="N1271" s="8">
        <v>114401.4185484683</v>
      </c>
      <c r="O1271" s="8">
        <f>SUMIFS(EIAwtransport!$J$2:$J$675,EIAwtransport!$E$2:$E$675,Program_data!$E1271,EIAwtransport!$H$2:$H$675,Program_data!$F1271,EIAwtransport!$I$2:$I$675,Program_data!O$2)</f>
        <v>2377068394.8298411</v>
      </c>
      <c r="P1271" s="5">
        <f>SUMIFS(EIAwtransport!$J$2:$J$675,EIAwtransport!$E$2:$E$675,Program_data!$E1271,EIAwtransport!$H$2:$H$675,Program_data!$F1271,EIAwtransport!$I$2:$I$675,Program_data!P$2)</f>
        <v>614176841.51999986</v>
      </c>
      <c r="Q1271" s="5">
        <f>SUMIFS(EIAwtransport!$J$2:$J$675,EIAwtransport!$E$2:$E$675,Program_data!$E1271,EIAwtransport!$H$2:$H$675,Program_data!$F1271,EIAwtransport!$I$2:$I$675,Program_data!Q$2)</f>
        <v>16513</v>
      </c>
      <c r="R1271" s="8">
        <f>SUMIFS(EIAwtransport!$J$2:$J$675,EIAwtransport!$E$2:$E$675,Program_data!$E1271,EIAwtransport!$I$2:$I$675,Program_data!R$2)</f>
        <v>3425062807.5999999</v>
      </c>
      <c r="S1271" s="5">
        <f>SUMIFS(EIAwtransport!$J$2:$J$675,EIAwtransport!$E$2:$E$675,Program_data!$E1271,EIAwtransport!$I$2:$I$675,Program_data!S$2)</f>
        <v>884953189.29599977</v>
      </c>
      <c r="T1271" s="5">
        <f>SUMIFS(EIAwtransport!$J$2:$J$675,EIAwtransport!$E$2:$E$675,Program_data!$E1271,EIAwtransport!$I$2:$I$675,Program_data!T$2)</f>
        <v>3728492</v>
      </c>
      <c r="U1271" s="24">
        <f t="shared" si="400"/>
        <v>2.2088571157332596E-6</v>
      </c>
      <c r="V1271" s="24">
        <f t="shared" si="397"/>
        <v>2.4542856841480666E-6</v>
      </c>
      <c r="W1271" s="24">
        <f t="shared" si="401"/>
        <v>3.6795302950946687E-5</v>
      </c>
      <c r="X1271" s="25">
        <f t="shared" si="402"/>
        <v>1.3746143352979908E-5</v>
      </c>
      <c r="Y1271" s="8">
        <f t="shared" si="393"/>
        <v>4.4285637782242732E-3</v>
      </c>
      <c r="Z1271" s="27">
        <f t="shared" si="394"/>
        <v>3.0895211858186721E-3</v>
      </c>
      <c r="AE1271" s="20">
        <f t="shared" si="398"/>
        <v>154441.91504043221</v>
      </c>
      <c r="AF1271" s="20">
        <f t="shared" si="399"/>
        <v>4623834790.2600002</v>
      </c>
      <c r="AG1271">
        <f t="shared" si="387"/>
        <v>2136081.4023232576</v>
      </c>
      <c r="AH1271">
        <f t="shared" si="388"/>
        <v>2373423.7803591755</v>
      </c>
      <c r="AI1271">
        <f t="shared" si="389"/>
        <v>93344862406.942062</v>
      </c>
    </row>
    <row r="1272" spans="1:35" x14ac:dyDescent="0.25">
      <c r="B1272" s="4">
        <v>2024</v>
      </c>
      <c r="C1272" s="4" t="s">
        <v>33</v>
      </c>
      <c r="D1272" s="4" t="s">
        <v>77</v>
      </c>
      <c r="E1272" s="4" t="str">
        <f t="shared" si="407"/>
        <v>Enbridge-CAN</v>
      </c>
      <c r="F1272" s="4" t="s">
        <v>146</v>
      </c>
      <c r="G1272" s="4"/>
      <c r="H1272" s="4" t="s">
        <v>680</v>
      </c>
      <c r="I1272" s="61"/>
      <c r="J1272" s="5" t="s">
        <v>71</v>
      </c>
      <c r="K1272" s="69">
        <v>1321.2613320757416</v>
      </c>
      <c r="L1272" s="5">
        <v>1390.8014021849915</v>
      </c>
      <c r="M1272" s="8">
        <f t="shared" si="406"/>
        <v>16408.984629601826</v>
      </c>
      <c r="N1272" s="8">
        <v>14895.400849691439</v>
      </c>
      <c r="O1272" s="8">
        <f>SUMIFS(EIAwtransport!$J$2:$J$675,EIAwtransport!$E$2:$E$675,Program_data!$E1272,EIAwtransport!$H$2:$H$675,Program_data!$F1272,EIAwtransport!$I$2:$I$675,Program_data!O$2)</f>
        <v>2377068394.8298411</v>
      </c>
      <c r="P1272" s="5">
        <f>SUMIFS(EIAwtransport!$J$2:$J$675,EIAwtransport!$E$2:$E$675,Program_data!$E1272,EIAwtransport!$H$2:$H$675,Program_data!$F1272,EIAwtransport!$I$2:$I$675,Program_data!P$2)</f>
        <v>614176841.51999986</v>
      </c>
      <c r="Q1272" s="5">
        <f>SUMIFS(EIAwtransport!$J$2:$J$675,EIAwtransport!$E$2:$E$675,Program_data!$E1272,EIAwtransport!$H$2:$H$675,Program_data!$F1272,EIAwtransport!$I$2:$I$675,Program_data!Q$2)</f>
        <v>16513</v>
      </c>
      <c r="R1272" s="8">
        <f>SUMIFS(EIAwtransport!$J$2:$J$675,EIAwtransport!$E$2:$E$675,Program_data!$E1272,EIAwtransport!$I$2:$I$675,Program_data!R$2)</f>
        <v>3425062807.5999999</v>
      </c>
      <c r="S1272" s="5">
        <f>SUMIFS(EIAwtransport!$J$2:$J$675,EIAwtransport!$E$2:$E$675,Program_data!$E1272,EIAwtransport!$I$2:$I$675,Program_data!S$2)</f>
        <v>884953189.29599977</v>
      </c>
      <c r="T1272" s="5">
        <f>SUMIFS(EIAwtransport!$J$2:$J$675,EIAwtransport!$E$2:$E$675,Program_data!$E1272,EIAwtransport!$I$2:$I$675,Program_data!T$2)</f>
        <v>3728492</v>
      </c>
      <c r="U1272" s="24">
        <f t="shared" si="400"/>
        <v>1.4411482907355298E-7</v>
      </c>
      <c r="V1272" s="24">
        <f t="shared" si="397"/>
        <v>1.5169982007742424E-7</v>
      </c>
      <c r="W1272" s="24">
        <f t="shared" si="401"/>
        <v>4.7908565627442852E-6</v>
      </c>
      <c r="X1272" s="25">
        <f t="shared" si="402"/>
        <v>1.7897882559315402E-6</v>
      </c>
      <c r="Y1272" s="8">
        <f t="shared" si="393"/>
        <v>5.7661201672186576E-4</v>
      </c>
      <c r="Z1272" s="27">
        <f t="shared" si="394"/>
        <v>4.0226473657654915E-4</v>
      </c>
      <c r="AE1272" s="20">
        <f t="shared" si="398"/>
        <v>20108.791147083444</v>
      </c>
      <c r="AF1272" s="20">
        <f t="shared" si="399"/>
        <v>4623834790.2600002</v>
      </c>
      <c r="AG1272">
        <f t="shared" si="387"/>
        <v>139366.64530734924</v>
      </c>
      <c r="AH1272">
        <f t="shared" si="388"/>
        <v>146701.73190247291</v>
      </c>
      <c r="AI1272">
        <f t="shared" si="389"/>
        <v>93344862406.942062</v>
      </c>
    </row>
    <row r="1273" spans="1:35" x14ac:dyDescent="0.25">
      <c r="B1273" s="4">
        <v>2024</v>
      </c>
      <c r="C1273" s="4" t="s">
        <v>33</v>
      </c>
      <c r="D1273" s="4" t="s">
        <v>77</v>
      </c>
      <c r="E1273" s="4" t="str">
        <f t="shared" ref="E1273:E1276" si="408">D1273&amp;"-"&amp;C1273</f>
        <v>Enbridge-CAN</v>
      </c>
      <c r="F1273" s="4" t="s">
        <v>146</v>
      </c>
      <c r="G1273" s="4"/>
      <c r="H1273" s="4" t="s">
        <v>681</v>
      </c>
      <c r="I1273" s="61"/>
      <c r="J1273" s="4" t="s">
        <v>21</v>
      </c>
      <c r="K1273" s="69">
        <v>39689.715321721604</v>
      </c>
      <c r="L1273" s="5">
        <v>41778.647707075368</v>
      </c>
      <c r="M1273" s="8">
        <f t="shared" si="406"/>
        <v>263204.45597534464</v>
      </c>
      <c r="N1273" s="8">
        <v>238926.17158681902</v>
      </c>
      <c r="O1273" s="8">
        <f>SUMIFS(EIAwtransport!$J$2:$J$675,EIAwtransport!$E$2:$E$675,Program_data!$E1273,EIAwtransport!$H$2:$H$675,Program_data!$F1273,EIAwtransport!$I$2:$I$675,Program_data!O$2)</f>
        <v>2377068394.8298411</v>
      </c>
      <c r="P1273" s="5">
        <f>SUMIFS(EIAwtransport!$J$2:$J$675,EIAwtransport!$E$2:$E$675,Program_data!$E1273,EIAwtransport!$H$2:$H$675,Program_data!$F1273,EIAwtransport!$I$2:$I$675,Program_data!P$2)</f>
        <v>614176841.51999986</v>
      </c>
      <c r="Q1273" s="5">
        <f>SUMIFS(EIAwtransport!$J$2:$J$675,EIAwtransport!$E$2:$E$675,Program_data!$E1273,EIAwtransport!$H$2:$H$675,Program_data!$F1273,EIAwtransport!$I$2:$I$675,Program_data!Q$2)</f>
        <v>16513</v>
      </c>
      <c r="R1273" s="8">
        <f>SUMIFS(EIAwtransport!$J$2:$J$675,EIAwtransport!$E$2:$E$675,Program_data!$E1273,EIAwtransport!$I$2:$I$675,Program_data!R$2)</f>
        <v>3425062807.5999999</v>
      </c>
      <c r="S1273" s="5">
        <f>SUMIFS(EIAwtransport!$J$2:$J$675,EIAwtransport!$E$2:$E$675,Program_data!$E1273,EIAwtransport!$I$2:$I$675,Program_data!S$2)</f>
        <v>884953189.29599977</v>
      </c>
      <c r="T1273" s="5">
        <f>SUMIFS(EIAwtransport!$J$2:$J$675,EIAwtransport!$E$2:$E$675,Program_data!$E1273,EIAwtransport!$I$2:$I$675,Program_data!T$2)</f>
        <v>3728492</v>
      </c>
      <c r="U1273" s="24">
        <f t="shared" si="400"/>
        <v>4.3291031083016611E-6</v>
      </c>
      <c r="V1273" s="24">
        <f t="shared" si="397"/>
        <v>4.5569506403175368E-6</v>
      </c>
      <c r="W1273" s="24">
        <f t="shared" si="401"/>
        <v>7.6846607131206599E-5</v>
      </c>
      <c r="X1273" s="25">
        <f t="shared" si="402"/>
        <v>2.8708677279378556E-5</v>
      </c>
      <c r="Y1273" s="8">
        <f t="shared" si="393"/>
        <v>9.2490093443281934E-3</v>
      </c>
      <c r="Z1273" s="27">
        <f t="shared" si="394"/>
        <v>6.4524328310779297E-3</v>
      </c>
      <c r="AE1273" s="20">
        <f t="shared" si="398"/>
        <v>322550.33164220571</v>
      </c>
      <c r="AF1273" s="20">
        <f t="shared" si="399"/>
        <v>4623834790.2600002</v>
      </c>
      <c r="AG1273">
        <f t="shared" si="387"/>
        <v>4186471.1721351948</v>
      </c>
      <c r="AH1273">
        <f t="shared" si="388"/>
        <v>4406811.7601423096</v>
      </c>
      <c r="AI1273">
        <f t="shared" si="389"/>
        <v>93344862406.942062</v>
      </c>
    </row>
    <row r="1274" spans="1:35" x14ac:dyDescent="0.25">
      <c r="B1274" s="4">
        <v>2024</v>
      </c>
      <c r="C1274" s="4" t="s">
        <v>33</v>
      </c>
      <c r="D1274" s="4" t="s">
        <v>77</v>
      </c>
      <c r="E1274" s="4" t="str">
        <f t="shared" si="408"/>
        <v>Enbridge-CAN</v>
      </c>
      <c r="F1274" s="4" t="s">
        <v>146</v>
      </c>
      <c r="G1274" s="4"/>
      <c r="H1274" s="4" t="s">
        <v>682</v>
      </c>
      <c r="I1274" s="61"/>
      <c r="J1274" s="5" t="s">
        <v>71</v>
      </c>
      <c r="K1274" s="69">
        <v>2832.5648998578122</v>
      </c>
      <c r="L1274" s="5">
        <v>2981.6472630082239</v>
      </c>
      <c r="M1274" s="8">
        <f t="shared" si="406"/>
        <v>9546.2100375891114</v>
      </c>
      <c r="N1274" s="8">
        <v>8665.6565482253263</v>
      </c>
      <c r="O1274" s="8">
        <f>SUMIFS(EIAwtransport!$J$2:$J$675,EIAwtransport!$E$2:$E$675,Program_data!$E1274,EIAwtransport!$H$2:$H$675,Program_data!$F1274,EIAwtransport!$I$2:$I$675,Program_data!O$2)</f>
        <v>2377068394.8298411</v>
      </c>
      <c r="P1274" s="5">
        <f>SUMIFS(EIAwtransport!$J$2:$J$675,EIAwtransport!$E$2:$E$675,Program_data!$E1274,EIAwtransport!$H$2:$H$675,Program_data!$F1274,EIAwtransport!$I$2:$I$675,Program_data!P$2)</f>
        <v>614176841.51999986</v>
      </c>
      <c r="Q1274" s="5">
        <f>SUMIFS(EIAwtransport!$J$2:$J$675,EIAwtransport!$E$2:$E$675,Program_data!$E1274,EIAwtransport!$H$2:$H$675,Program_data!$F1274,EIAwtransport!$I$2:$I$675,Program_data!Q$2)</f>
        <v>16513</v>
      </c>
      <c r="R1274" s="8">
        <f>SUMIFS(EIAwtransport!$J$2:$J$675,EIAwtransport!$E$2:$E$675,Program_data!$E1274,EIAwtransport!$I$2:$I$675,Program_data!R$2)</f>
        <v>3425062807.5999999</v>
      </c>
      <c r="S1274" s="5">
        <f>SUMIFS(EIAwtransport!$J$2:$J$675,EIAwtransport!$E$2:$E$675,Program_data!$E1274,EIAwtransport!$I$2:$I$675,Program_data!S$2)</f>
        <v>884953189.29599977</v>
      </c>
      <c r="T1274" s="5">
        <f>SUMIFS(EIAwtransport!$J$2:$J$675,EIAwtransport!$E$2:$E$675,Program_data!$E1274,EIAwtransport!$I$2:$I$675,Program_data!T$2)</f>
        <v>3728492</v>
      </c>
      <c r="U1274" s="24">
        <f t="shared" si="400"/>
        <v>3.0895826319342652E-7</v>
      </c>
      <c r="V1274" s="24">
        <f t="shared" si="397"/>
        <v>3.2521922441413324E-7</v>
      </c>
      <c r="W1274" s="24">
        <f t="shared" si="401"/>
        <v>2.7871634985515211E-6</v>
      </c>
      <c r="X1274" s="25">
        <f t="shared" si="402"/>
        <v>1.0412402107507717E-6</v>
      </c>
      <c r="Y1274" s="8">
        <f t="shared" si="393"/>
        <v>3.3545399341131229E-4</v>
      </c>
      <c r="Z1274" s="27">
        <f t="shared" si="394"/>
        <v>2.3402445384388028E-4</v>
      </c>
      <c r="AE1274" s="20">
        <f t="shared" si="398"/>
        <v>11698.636340104191</v>
      </c>
      <c r="AF1274" s="20">
        <f t="shared" si="399"/>
        <v>4623834790.2600002</v>
      </c>
      <c r="AG1274">
        <f t="shared" si="387"/>
        <v>298778.94563700206</v>
      </c>
      <c r="AH1274">
        <f t="shared" si="388"/>
        <v>314504.15330210747</v>
      </c>
      <c r="AI1274">
        <f t="shared" si="389"/>
        <v>93344862406.942062</v>
      </c>
    </row>
    <row r="1275" spans="1:35" x14ac:dyDescent="0.25">
      <c r="B1275" s="4">
        <v>2024</v>
      </c>
      <c r="C1275" s="4" t="s">
        <v>33</v>
      </c>
      <c r="D1275" s="4" t="s">
        <v>77</v>
      </c>
      <c r="E1275" s="4" t="str">
        <f t="shared" si="408"/>
        <v>Enbridge-CAN</v>
      </c>
      <c r="F1275" s="4" t="s">
        <v>146</v>
      </c>
      <c r="G1275" s="4"/>
      <c r="H1275" s="4" t="s">
        <v>683</v>
      </c>
      <c r="I1275" s="61"/>
      <c r="J1275" s="4" t="s">
        <v>21</v>
      </c>
      <c r="K1275" s="69">
        <v>17052.057540787515</v>
      </c>
      <c r="L1275" s="5">
        <v>17949.534253460544</v>
      </c>
      <c r="M1275" s="8">
        <f t="shared" si="406"/>
        <v>143524.02767850726</v>
      </c>
      <c r="N1275" s="8">
        <v>130285.20484911022</v>
      </c>
      <c r="O1275" s="8">
        <f>SUMIFS(EIAwtransport!$J$2:$J$675,EIAwtransport!$E$2:$E$675,Program_data!$E1275,EIAwtransport!$H$2:$H$675,Program_data!$F1275,EIAwtransport!$I$2:$I$675,Program_data!O$2)</f>
        <v>2377068394.8298411</v>
      </c>
      <c r="P1275" s="5">
        <f>SUMIFS(EIAwtransport!$J$2:$J$675,EIAwtransport!$E$2:$E$675,Program_data!$E1275,EIAwtransport!$H$2:$H$675,Program_data!$F1275,EIAwtransport!$I$2:$I$675,Program_data!P$2)</f>
        <v>614176841.51999986</v>
      </c>
      <c r="Q1275" s="5">
        <f>SUMIFS(EIAwtransport!$J$2:$J$675,EIAwtransport!$E$2:$E$675,Program_data!$E1275,EIAwtransport!$H$2:$H$675,Program_data!$F1275,EIAwtransport!$I$2:$I$675,Program_data!Q$2)</f>
        <v>16513</v>
      </c>
      <c r="R1275" s="8">
        <f>SUMIFS(EIAwtransport!$J$2:$J$675,EIAwtransport!$E$2:$E$675,Program_data!$E1275,EIAwtransport!$I$2:$I$675,Program_data!R$2)</f>
        <v>3425062807.5999999</v>
      </c>
      <c r="S1275" s="5">
        <f>SUMIFS(EIAwtransport!$J$2:$J$675,EIAwtransport!$E$2:$E$675,Program_data!$E1275,EIAwtransport!$I$2:$I$675,Program_data!S$2)</f>
        <v>884953189.29599977</v>
      </c>
      <c r="T1275" s="5">
        <f>SUMIFS(EIAwtransport!$J$2:$J$675,EIAwtransport!$E$2:$E$675,Program_data!$E1275,EIAwtransport!$I$2:$I$675,Program_data!T$2)</f>
        <v>3728492</v>
      </c>
      <c r="U1275" s="24">
        <f t="shared" si="400"/>
        <v>1.8599305816225225E-6</v>
      </c>
      <c r="V1275" s="24">
        <f t="shared" si="397"/>
        <v>1.9578216648658133E-6</v>
      </c>
      <c r="W1275" s="24">
        <f t="shared" si="401"/>
        <v>4.1904057163575635E-5</v>
      </c>
      <c r="X1275" s="25">
        <f t="shared" si="402"/>
        <v>1.5654693144119236E-5</v>
      </c>
      <c r="Y1275" s="8">
        <f t="shared" si="393"/>
        <v>5.0434369289647576E-3</v>
      </c>
      <c r="Z1275" s="27">
        <f t="shared" si="394"/>
        <v>3.5184782294418568E-3</v>
      </c>
      <c r="AE1275" s="20">
        <f t="shared" si="398"/>
        <v>175885.02654629882</v>
      </c>
      <c r="AF1275" s="20">
        <f t="shared" si="399"/>
        <v>4623834790.2600002</v>
      </c>
      <c r="AG1275">
        <f t="shared" si="387"/>
        <v>1798651.0294022672</v>
      </c>
      <c r="AH1275">
        <f t="shared" si="388"/>
        <v>1893316.8730550183</v>
      </c>
      <c r="AI1275">
        <f t="shared" si="389"/>
        <v>93344862406.942062</v>
      </c>
    </row>
    <row r="1276" spans="1:35" x14ac:dyDescent="0.25">
      <c r="B1276" s="4">
        <v>2024</v>
      </c>
      <c r="C1276" s="4" t="s">
        <v>33</v>
      </c>
      <c r="D1276" s="4" t="s">
        <v>77</v>
      </c>
      <c r="E1276" s="4" t="str">
        <f t="shared" si="408"/>
        <v>Enbridge-CAN</v>
      </c>
      <c r="F1276" s="4" t="s">
        <v>146</v>
      </c>
      <c r="G1276" s="4"/>
      <c r="H1276" s="4" t="s">
        <v>684</v>
      </c>
      <c r="I1276" s="61"/>
      <c r="J1276" s="4" t="s">
        <v>21</v>
      </c>
      <c r="K1276" s="69">
        <v>5960.3284329313947</v>
      </c>
      <c r="L1276" s="5">
        <v>6274.0299294014694</v>
      </c>
      <c r="M1276" s="8">
        <f t="shared" si="406"/>
        <v>13714.013541951113</v>
      </c>
      <c r="N1276" s="8">
        <v>12449.017021866477</v>
      </c>
      <c r="O1276" s="8">
        <f>SUMIFS(EIAwtransport!$J$2:$J$675,EIAwtransport!$E$2:$E$675,Program_data!$E1276,EIAwtransport!$H$2:$H$675,Program_data!$F1276,EIAwtransport!$I$2:$I$675,Program_data!O$2)</f>
        <v>2377068394.8298411</v>
      </c>
      <c r="P1276" s="5">
        <f>SUMIFS(EIAwtransport!$J$2:$J$675,EIAwtransport!$E$2:$E$675,Program_data!$E1276,EIAwtransport!$H$2:$H$675,Program_data!$F1276,EIAwtransport!$I$2:$I$675,Program_data!P$2)</f>
        <v>614176841.51999986</v>
      </c>
      <c r="Q1276" s="5">
        <f>SUMIFS(EIAwtransport!$J$2:$J$675,EIAwtransport!$E$2:$E$675,Program_data!$E1276,EIAwtransport!$H$2:$H$675,Program_data!$F1276,EIAwtransport!$I$2:$I$675,Program_data!Q$2)</f>
        <v>16513</v>
      </c>
      <c r="R1276" s="8">
        <f>SUMIFS(EIAwtransport!$J$2:$J$675,EIAwtransport!$E$2:$E$675,Program_data!$E1276,EIAwtransport!$I$2:$I$675,Program_data!R$2)</f>
        <v>3425062807.5999999</v>
      </c>
      <c r="S1276" s="5">
        <f>SUMIFS(EIAwtransport!$J$2:$J$675,EIAwtransport!$E$2:$E$675,Program_data!$E1276,EIAwtransport!$I$2:$I$675,Program_data!S$2)</f>
        <v>884953189.29599977</v>
      </c>
      <c r="T1276" s="5">
        <f>SUMIFS(EIAwtransport!$J$2:$J$675,EIAwtransport!$E$2:$E$675,Program_data!$E1276,EIAwtransport!$I$2:$I$675,Program_data!T$2)</f>
        <v>3728492</v>
      </c>
      <c r="U1276" s="24">
        <f t="shared" si="400"/>
        <v>6.5011492615520298E-7</v>
      </c>
      <c r="V1276" s="24">
        <f t="shared" si="397"/>
        <v>6.8433150121600323E-7</v>
      </c>
      <c r="W1276" s="24">
        <f t="shared" si="401"/>
        <v>4.0040181194693938E-6</v>
      </c>
      <c r="X1276" s="25">
        <f t="shared" si="402"/>
        <v>1.4958378554874551E-6</v>
      </c>
      <c r="Y1276" s="8">
        <f t="shared" si="393"/>
        <v>4.8191068394993634E-4</v>
      </c>
      <c r="Z1276" s="27">
        <f t="shared" si="394"/>
        <v>3.3619777026959517E-4</v>
      </c>
      <c r="AE1276" s="20">
        <f t="shared" si="398"/>
        <v>16806.172979519746</v>
      </c>
      <c r="AF1276" s="20">
        <f t="shared" si="399"/>
        <v>4623834790.2600002</v>
      </c>
      <c r="AG1276">
        <f t="shared" si="387"/>
        <v>628695.44310560357</v>
      </c>
      <c r="AH1276">
        <f t="shared" si="388"/>
        <v>661784.67695326707</v>
      </c>
      <c r="AI1276">
        <f t="shared" si="389"/>
        <v>93344862406.942062</v>
      </c>
    </row>
    <row r="1277" spans="1:35" x14ac:dyDescent="0.25">
      <c r="B1277" s="4">
        <v>2024</v>
      </c>
      <c r="C1277" s="4" t="s">
        <v>33</v>
      </c>
      <c r="D1277" s="4" t="s">
        <v>77</v>
      </c>
      <c r="E1277" s="4" t="str">
        <f t="shared" ref="E1277:E1287" si="409">D1277&amp;"-"&amp;C1277</f>
        <v>Enbridge-CAN</v>
      </c>
      <c r="F1277" s="4" t="s">
        <v>146</v>
      </c>
      <c r="G1277" s="4"/>
      <c r="H1277" s="4" t="s">
        <v>685</v>
      </c>
      <c r="I1277" s="61"/>
      <c r="J1277" s="4" t="s">
        <v>21</v>
      </c>
      <c r="K1277" s="69">
        <v>35273.41404848759</v>
      </c>
      <c r="L1277" s="5">
        <v>70546.82809697518</v>
      </c>
      <c r="M1277" s="8">
        <f t="shared" ref="M1277:M1287" si="410">N1277/SUM($N$1277:$N$1287)*SUM($M$1292,$M$1265)</f>
        <v>125606.71283569503</v>
      </c>
      <c r="N1277" s="8">
        <v>110334.92501352767</v>
      </c>
      <c r="O1277" s="8">
        <f>SUMIFS(EIAwtransport!$J$2:$J$675,EIAwtransport!$E$2:$E$675,Program_data!$E1277,EIAwtransport!$H$2:$H$675,Program_data!$F1277,EIAwtransport!$I$2:$I$675,Program_data!O$2)</f>
        <v>2377068394.8298411</v>
      </c>
      <c r="P1277" s="5">
        <f>SUMIFS(EIAwtransport!$J$2:$J$675,EIAwtransport!$E$2:$E$675,Program_data!$E1277,EIAwtransport!$H$2:$H$675,Program_data!$F1277,EIAwtransport!$I$2:$I$675,Program_data!P$2)</f>
        <v>614176841.51999986</v>
      </c>
      <c r="Q1277" s="5">
        <f>SUMIFS(EIAwtransport!$J$2:$J$675,EIAwtransport!$E$2:$E$675,Program_data!$E1277,EIAwtransport!$H$2:$H$675,Program_data!$F1277,EIAwtransport!$I$2:$I$675,Program_data!Q$2)</f>
        <v>16513</v>
      </c>
      <c r="R1277" s="8">
        <f>SUMIFS(EIAwtransport!$J$2:$J$675,EIAwtransport!$E$2:$E$675,Program_data!$E1277,EIAwtransport!$I$2:$I$675,Program_data!R$2)</f>
        <v>3425062807.5999999</v>
      </c>
      <c r="S1277" s="5">
        <f>SUMIFS(EIAwtransport!$J$2:$J$675,EIAwtransport!$E$2:$E$675,Program_data!$E1277,EIAwtransport!$I$2:$I$675,Program_data!S$2)</f>
        <v>884953189.29599977</v>
      </c>
      <c r="T1277" s="5">
        <f>SUMIFS(EIAwtransport!$J$2:$J$675,EIAwtransport!$E$2:$E$675,Program_data!$E1277,EIAwtransport!$I$2:$I$675,Program_data!T$2)</f>
        <v>3728492</v>
      </c>
      <c r="U1277" s="24">
        <f t="shared" si="400"/>
        <v>3.8474008986944631E-6</v>
      </c>
      <c r="V1277" s="24">
        <f t="shared" si="397"/>
        <v>7.6948017973889263E-6</v>
      </c>
      <c r="W1277" s="24">
        <f t="shared" si="401"/>
        <v>3.6672820293099909E-5</v>
      </c>
      <c r="X1277" s="25">
        <f t="shared" si="402"/>
        <v>1.3700385768777915E-5</v>
      </c>
      <c r="Y1277" s="8">
        <f t="shared" si="393"/>
        <v>4.4138221612650651E-3</v>
      </c>
      <c r="Z1277" s="27">
        <f t="shared" si="394"/>
        <v>3.0792369175571097E-3</v>
      </c>
      <c r="AE1277" s="20">
        <f t="shared" ref="AE1277:AE1287" si="411">N1277*1.35</f>
        <v>148952.14876826236</v>
      </c>
      <c r="AF1277" s="20">
        <f t="shared" ref="AF1277:AF1287" si="412">R1277*1.35</f>
        <v>4623834790.2600002</v>
      </c>
      <c r="AG1277">
        <f t="shared" ref="AG1277:AG1287" si="413">K1277*105.48</f>
        <v>3720639.7138344711</v>
      </c>
      <c r="AH1277">
        <f t="shared" si="388"/>
        <v>7441279.4276689421</v>
      </c>
      <c r="AI1277">
        <f t="shared" ref="AI1277:AI1287" si="414">S1277*105.48</f>
        <v>93344862406.942062</v>
      </c>
    </row>
    <row r="1278" spans="1:35" x14ac:dyDescent="0.25">
      <c r="B1278" s="4">
        <v>2024</v>
      </c>
      <c r="C1278" s="4" t="s">
        <v>33</v>
      </c>
      <c r="D1278" s="4" t="s">
        <v>77</v>
      </c>
      <c r="E1278" s="4" t="str">
        <f t="shared" si="409"/>
        <v>Enbridge-CAN</v>
      </c>
      <c r="F1278" s="4" t="s">
        <v>146</v>
      </c>
      <c r="G1278" s="4"/>
      <c r="H1278" s="4" t="s">
        <v>686</v>
      </c>
      <c r="I1278" s="61"/>
      <c r="J1278" s="4" t="s">
        <v>21</v>
      </c>
      <c r="K1278" s="69">
        <v>144706.17938224314</v>
      </c>
      <c r="L1278" s="5">
        <v>233397.063519747</v>
      </c>
      <c r="M1278" s="8">
        <f t="shared" si="410"/>
        <v>348025.18794180232</v>
      </c>
      <c r="N1278" s="8">
        <v>305710.83461604029</v>
      </c>
      <c r="O1278" s="8">
        <f>SUMIFS(EIAwtransport!$J$2:$J$675,EIAwtransport!$E$2:$E$675,Program_data!$E1278,EIAwtransport!$H$2:$H$675,Program_data!$F1278,EIAwtransport!$I$2:$I$675,Program_data!O$2)</f>
        <v>2377068394.8298411</v>
      </c>
      <c r="P1278" s="5">
        <f>SUMIFS(EIAwtransport!$J$2:$J$675,EIAwtransport!$E$2:$E$675,Program_data!$E1278,EIAwtransport!$H$2:$H$675,Program_data!$F1278,EIAwtransport!$I$2:$I$675,Program_data!P$2)</f>
        <v>614176841.51999986</v>
      </c>
      <c r="Q1278" s="5">
        <f>SUMIFS(EIAwtransport!$J$2:$J$675,EIAwtransport!$E$2:$E$675,Program_data!$E1278,EIAwtransport!$H$2:$H$675,Program_data!$F1278,EIAwtransport!$I$2:$I$675,Program_data!Q$2)</f>
        <v>16513</v>
      </c>
      <c r="R1278" s="8">
        <f>SUMIFS(EIAwtransport!$J$2:$J$675,EIAwtransport!$E$2:$E$675,Program_data!$E1278,EIAwtransport!$I$2:$I$675,Program_data!R$2)</f>
        <v>3425062807.5999999</v>
      </c>
      <c r="S1278" s="5">
        <f>SUMIFS(EIAwtransport!$J$2:$J$675,EIAwtransport!$E$2:$E$675,Program_data!$E1278,EIAwtransport!$I$2:$I$675,Program_data!S$2)</f>
        <v>884953189.29599977</v>
      </c>
      <c r="T1278" s="5">
        <f>SUMIFS(EIAwtransport!$J$2:$J$675,EIAwtransport!$E$2:$E$675,Program_data!$E1278,EIAwtransport!$I$2:$I$675,Program_data!T$2)</f>
        <v>3728492</v>
      </c>
      <c r="U1278" s="24">
        <f t="shared" si="400"/>
        <v>1.578363477480728E-5</v>
      </c>
      <c r="V1278" s="24">
        <f t="shared" si="397"/>
        <v>2.5457475443237548E-5</v>
      </c>
      <c r="W1278" s="24">
        <f t="shared" si="401"/>
        <v>1.0161133021256026E-4</v>
      </c>
      <c r="X1278" s="25">
        <f t="shared" si="402"/>
        <v>3.7960386227853982E-5</v>
      </c>
      <c r="Y1278" s="8">
        <f t="shared" si="393"/>
        <v>1.2229611400032038E-2</v>
      </c>
      <c r="Z1278" s="27">
        <f t="shared" si="394"/>
        <v>8.5318052097419911E-3</v>
      </c>
      <c r="AE1278" s="20">
        <f t="shared" si="411"/>
        <v>412709.6267316544</v>
      </c>
      <c r="AF1278" s="20">
        <f t="shared" si="412"/>
        <v>4623834790.2600002</v>
      </c>
      <c r="AG1278">
        <f t="shared" si="413"/>
        <v>15263607.801239006</v>
      </c>
      <c r="AH1278">
        <f t="shared" si="388"/>
        <v>24618722.260062914</v>
      </c>
      <c r="AI1278">
        <f t="shared" si="414"/>
        <v>93344862406.942062</v>
      </c>
    </row>
    <row r="1279" spans="1:35" x14ac:dyDescent="0.25">
      <c r="B1279" s="4">
        <v>2024</v>
      </c>
      <c r="C1279" s="4" t="s">
        <v>33</v>
      </c>
      <c r="D1279" s="4" t="s">
        <v>77</v>
      </c>
      <c r="E1279" s="4" t="str">
        <f t="shared" si="409"/>
        <v>Enbridge-CAN</v>
      </c>
      <c r="F1279" s="4" t="s">
        <v>146</v>
      </c>
      <c r="G1279" s="4"/>
      <c r="H1279" s="4" t="s">
        <v>687</v>
      </c>
      <c r="I1279" s="61"/>
      <c r="J1279" s="4" t="s">
        <v>21</v>
      </c>
      <c r="K1279" s="69">
        <v>9886.5672778434728</v>
      </c>
      <c r="L1279" s="5">
        <v>123582.09097304345</v>
      </c>
      <c r="M1279" s="8">
        <f t="shared" si="410"/>
        <v>93380.387249486346</v>
      </c>
      <c r="N1279" s="8">
        <v>82026.810449085344</v>
      </c>
      <c r="O1279" s="8">
        <f>SUMIFS(EIAwtransport!$J$2:$J$675,EIAwtransport!$E$2:$E$675,Program_data!$E1279,EIAwtransport!$H$2:$H$675,Program_data!$F1279,EIAwtransport!$I$2:$I$675,Program_data!O$2)</f>
        <v>2377068394.8298411</v>
      </c>
      <c r="P1279" s="5">
        <f>SUMIFS(EIAwtransport!$J$2:$J$675,EIAwtransport!$E$2:$E$675,Program_data!$E1279,EIAwtransport!$H$2:$H$675,Program_data!$F1279,EIAwtransport!$I$2:$I$675,Program_data!P$2)</f>
        <v>614176841.51999986</v>
      </c>
      <c r="Q1279" s="5">
        <f>SUMIFS(EIAwtransport!$J$2:$J$675,EIAwtransport!$E$2:$E$675,Program_data!$E1279,EIAwtransport!$H$2:$H$675,Program_data!$F1279,EIAwtransport!$I$2:$I$675,Program_data!Q$2)</f>
        <v>16513</v>
      </c>
      <c r="R1279" s="8">
        <f>SUMIFS(EIAwtransport!$J$2:$J$675,EIAwtransport!$E$2:$E$675,Program_data!$E1279,EIAwtransport!$I$2:$I$675,Program_data!R$2)</f>
        <v>3425062807.5999999</v>
      </c>
      <c r="S1279" s="5">
        <f>SUMIFS(EIAwtransport!$J$2:$J$675,EIAwtransport!$E$2:$E$675,Program_data!$E1279,EIAwtransport!$I$2:$I$675,Program_data!S$2)</f>
        <v>884953189.29599977</v>
      </c>
      <c r="T1279" s="5">
        <f>SUMIFS(EIAwtransport!$J$2:$J$675,EIAwtransport!$E$2:$E$675,Program_data!$E1279,EIAwtransport!$I$2:$I$675,Program_data!T$2)</f>
        <v>3728492</v>
      </c>
      <c r="U1279" s="24">
        <f t="shared" si="400"/>
        <v>1.0783642257449467E-6</v>
      </c>
      <c r="V1279" s="24">
        <f t="shared" si="397"/>
        <v>1.3479552821811839E-5</v>
      </c>
      <c r="W1279" s="24">
        <f t="shared" si="401"/>
        <v>2.7263846678163425E-5</v>
      </c>
      <c r="X1279" s="25">
        <f t="shared" si="402"/>
        <v>1.0185342006595904E-5</v>
      </c>
      <c r="Y1279" s="8">
        <f t="shared" si="393"/>
        <v>3.2813884971931795E-3</v>
      </c>
      <c r="Z1279" s="27">
        <f t="shared" si="394"/>
        <v>2.2892115341838965E-3</v>
      </c>
      <c r="AE1279" s="20">
        <f t="shared" si="411"/>
        <v>110736.19410626522</v>
      </c>
      <c r="AF1279" s="20">
        <f t="shared" si="412"/>
        <v>4623834790.2600002</v>
      </c>
      <c r="AG1279">
        <f t="shared" si="413"/>
        <v>1042835.1164669296</v>
      </c>
      <c r="AH1279">
        <f t="shared" si="388"/>
        <v>13035438.955836624</v>
      </c>
      <c r="AI1279">
        <f t="shared" si="414"/>
        <v>93344862406.942062</v>
      </c>
    </row>
    <row r="1280" spans="1:35" x14ac:dyDescent="0.25">
      <c r="B1280" s="4">
        <v>2024</v>
      </c>
      <c r="C1280" s="4" t="s">
        <v>33</v>
      </c>
      <c r="D1280" s="4" t="s">
        <v>77</v>
      </c>
      <c r="E1280" s="4" t="str">
        <f t="shared" si="409"/>
        <v>Enbridge-CAN</v>
      </c>
      <c r="F1280" s="4" t="s">
        <v>146</v>
      </c>
      <c r="G1280" s="4"/>
      <c r="H1280" s="4" t="s">
        <v>688</v>
      </c>
      <c r="I1280" s="61"/>
      <c r="J1280" s="4" t="s">
        <v>21</v>
      </c>
      <c r="K1280" s="69">
        <v>46448.042142535778</v>
      </c>
      <c r="L1280" s="5">
        <v>51608.935713928629</v>
      </c>
      <c r="M1280" s="8">
        <f t="shared" si="410"/>
        <v>155005.88610944172</v>
      </c>
      <c r="N1280" s="8">
        <v>136159.62423053267</v>
      </c>
      <c r="O1280" s="8">
        <f>SUMIFS(EIAwtransport!$J$2:$J$675,EIAwtransport!$E$2:$E$675,Program_data!$E1280,EIAwtransport!$H$2:$H$675,Program_data!$F1280,EIAwtransport!$I$2:$I$675,Program_data!O$2)</f>
        <v>2377068394.8298411</v>
      </c>
      <c r="P1280" s="5">
        <f>SUMIFS(EIAwtransport!$J$2:$J$675,EIAwtransport!$E$2:$E$675,Program_data!$E1280,EIAwtransport!$H$2:$H$675,Program_data!$F1280,EIAwtransport!$I$2:$I$675,Program_data!P$2)</f>
        <v>614176841.51999986</v>
      </c>
      <c r="Q1280" s="5">
        <f>SUMIFS(EIAwtransport!$J$2:$J$675,EIAwtransport!$E$2:$E$675,Program_data!$E1280,EIAwtransport!$H$2:$H$675,Program_data!$F1280,EIAwtransport!$I$2:$I$675,Program_data!Q$2)</f>
        <v>16513</v>
      </c>
      <c r="R1280" s="8">
        <f>SUMIFS(EIAwtransport!$J$2:$J$675,EIAwtransport!$E$2:$E$675,Program_data!$E1280,EIAwtransport!$I$2:$I$675,Program_data!R$2)</f>
        <v>3425062807.5999999</v>
      </c>
      <c r="S1280" s="5">
        <f>SUMIFS(EIAwtransport!$J$2:$J$675,EIAwtransport!$E$2:$E$675,Program_data!$E1280,EIAwtransport!$I$2:$I$675,Program_data!S$2)</f>
        <v>884953189.29599977</v>
      </c>
      <c r="T1280" s="5">
        <f>SUMIFS(EIAwtransport!$J$2:$J$675,EIAwtransport!$E$2:$E$675,Program_data!$E1280,EIAwtransport!$I$2:$I$675,Program_data!T$2)</f>
        <v>3728492</v>
      </c>
      <c r="U1280" s="24">
        <f t="shared" si="400"/>
        <v>5.0662586512363037E-6</v>
      </c>
      <c r="V1280" s="24">
        <f t="shared" si="397"/>
        <v>5.6291762791514472E-6</v>
      </c>
      <c r="W1280" s="24">
        <f t="shared" si="401"/>
        <v>4.5256363114128408E-5</v>
      </c>
      <c r="X1280" s="25">
        <f t="shared" si="402"/>
        <v>1.6907061638564809E-5</v>
      </c>
      <c r="Y1280" s="8">
        <f t="shared" si="393"/>
        <v>5.4469096419340023E-3</v>
      </c>
      <c r="Z1280" s="27">
        <f t="shared" si="394"/>
        <v>3.7999549241543901E-3</v>
      </c>
      <c r="AE1280" s="20">
        <f t="shared" si="411"/>
        <v>183815.49271121912</v>
      </c>
      <c r="AF1280" s="20">
        <f t="shared" si="412"/>
        <v>4623834790.2600002</v>
      </c>
      <c r="AG1280">
        <f t="shared" si="413"/>
        <v>4899339.4851946738</v>
      </c>
      <c r="AH1280">
        <f t="shared" si="388"/>
        <v>5443710.5391051918</v>
      </c>
      <c r="AI1280">
        <f t="shared" si="414"/>
        <v>93344862406.942062</v>
      </c>
    </row>
    <row r="1281" spans="1:37" x14ac:dyDescent="0.25">
      <c r="B1281" s="4">
        <v>2024</v>
      </c>
      <c r="C1281" s="4" t="s">
        <v>33</v>
      </c>
      <c r="D1281" s="4" t="s">
        <v>77</v>
      </c>
      <c r="E1281" s="4" t="str">
        <f t="shared" si="409"/>
        <v>Enbridge-CAN</v>
      </c>
      <c r="F1281" s="4" t="s">
        <v>146</v>
      </c>
      <c r="G1281" s="4"/>
      <c r="H1281" s="4" t="s">
        <v>689</v>
      </c>
      <c r="I1281" s="61"/>
      <c r="J1281" s="4" t="s">
        <v>21</v>
      </c>
      <c r="K1281" s="69">
        <v>81387.116229410196</v>
      </c>
      <c r="L1281" s="5">
        <v>162774.23245882039</v>
      </c>
      <c r="M1281" s="8">
        <f t="shared" si="410"/>
        <v>172472.73280841226</v>
      </c>
      <c r="N1281" s="8">
        <v>151502.77888560796</v>
      </c>
      <c r="O1281" s="8">
        <f>SUMIFS(EIAwtransport!$J$2:$J$675,EIAwtransport!$E$2:$E$675,Program_data!$E1281,EIAwtransport!$H$2:$H$675,Program_data!$F1281,EIAwtransport!$I$2:$I$675,Program_data!O$2)</f>
        <v>2377068394.8298411</v>
      </c>
      <c r="P1281" s="5">
        <f>SUMIFS(EIAwtransport!$J$2:$J$675,EIAwtransport!$E$2:$E$675,Program_data!$E1281,EIAwtransport!$H$2:$H$675,Program_data!$F1281,EIAwtransport!$I$2:$I$675,Program_data!P$2)</f>
        <v>614176841.51999986</v>
      </c>
      <c r="Q1281" s="5">
        <f>SUMIFS(EIAwtransport!$J$2:$J$675,EIAwtransport!$E$2:$E$675,Program_data!$E1281,EIAwtransport!$H$2:$H$675,Program_data!$F1281,EIAwtransport!$I$2:$I$675,Program_data!Q$2)</f>
        <v>16513</v>
      </c>
      <c r="R1281" s="8">
        <f>SUMIFS(EIAwtransport!$J$2:$J$675,EIAwtransport!$E$2:$E$675,Program_data!$E1281,EIAwtransport!$I$2:$I$675,Program_data!R$2)</f>
        <v>3425062807.5999999</v>
      </c>
      <c r="S1281" s="5">
        <f>SUMIFS(EIAwtransport!$J$2:$J$675,EIAwtransport!$E$2:$E$675,Program_data!$E1281,EIAwtransport!$I$2:$I$675,Program_data!S$2)</f>
        <v>884953189.29599977</v>
      </c>
      <c r="T1281" s="5">
        <f>SUMIFS(EIAwtransport!$J$2:$J$675,EIAwtransport!$E$2:$E$675,Program_data!$E1281,EIAwtransport!$I$2:$I$675,Program_data!T$2)</f>
        <v>3728492</v>
      </c>
      <c r="U1281" s="24">
        <f t="shared" si="400"/>
        <v>8.8771918616312525E-6</v>
      </c>
      <c r="V1281" s="24">
        <f t="shared" si="397"/>
        <v>1.7754383723262505E-5</v>
      </c>
      <c r="W1281" s="24">
        <f t="shared" si="401"/>
        <v>5.0356078850789556E-5</v>
      </c>
      <c r="X1281" s="25">
        <f t="shared" si="402"/>
        <v>1.8812234798004392E-5</v>
      </c>
      <c r="Y1281" s="8">
        <f t="shared" si="393"/>
        <v>6.0606949509101529E-3</v>
      </c>
      <c r="Z1281" s="27">
        <f t="shared" si="394"/>
        <v>4.2281530512651259E-3</v>
      </c>
      <c r="AE1281" s="20">
        <f t="shared" si="411"/>
        <v>204528.75149557076</v>
      </c>
      <c r="AF1281" s="20">
        <f t="shared" si="412"/>
        <v>4623834790.2600002</v>
      </c>
      <c r="AG1281">
        <f t="shared" si="413"/>
        <v>8584713.0198781881</v>
      </c>
      <c r="AH1281">
        <f t="shared" si="388"/>
        <v>17169426.039756376</v>
      </c>
      <c r="AI1281">
        <f t="shared" si="414"/>
        <v>93344862406.942062</v>
      </c>
    </row>
    <row r="1282" spans="1:37" x14ac:dyDescent="0.25">
      <c r="B1282" s="4">
        <v>2024</v>
      </c>
      <c r="C1282" s="4" t="s">
        <v>33</v>
      </c>
      <c r="D1282" s="4" t="s">
        <v>77</v>
      </c>
      <c r="E1282" s="4" t="str">
        <f t="shared" si="409"/>
        <v>Enbridge-CAN</v>
      </c>
      <c r="F1282" s="4" t="s">
        <v>146</v>
      </c>
      <c r="G1282" s="4"/>
      <c r="H1282" s="4" t="s">
        <v>690</v>
      </c>
      <c r="I1282" s="61"/>
      <c r="J1282" s="5" t="s">
        <v>71</v>
      </c>
      <c r="K1282" s="69">
        <v>12967.304158388257</v>
      </c>
      <c r="L1282" s="5">
        <v>43224.347194627524</v>
      </c>
      <c r="M1282" s="8">
        <f t="shared" si="410"/>
        <v>29200.266721597534</v>
      </c>
      <c r="N1282" s="8">
        <v>25649.976552741173</v>
      </c>
      <c r="O1282" s="8">
        <f>SUMIFS(EIAwtransport!$J$2:$J$675,EIAwtransport!$E$2:$E$675,Program_data!$E1282,EIAwtransport!$H$2:$H$675,Program_data!$F1282,EIAwtransport!$I$2:$I$675,Program_data!O$2)</f>
        <v>2377068394.8298411</v>
      </c>
      <c r="P1282" s="5">
        <f>SUMIFS(EIAwtransport!$J$2:$J$675,EIAwtransport!$E$2:$E$675,Program_data!$E1282,EIAwtransport!$H$2:$H$675,Program_data!$F1282,EIAwtransport!$I$2:$I$675,Program_data!P$2)</f>
        <v>614176841.51999986</v>
      </c>
      <c r="Q1282" s="5">
        <f>SUMIFS(EIAwtransport!$J$2:$J$675,EIAwtransport!$E$2:$E$675,Program_data!$E1282,EIAwtransport!$H$2:$H$675,Program_data!$F1282,EIAwtransport!$I$2:$I$675,Program_data!Q$2)</f>
        <v>16513</v>
      </c>
      <c r="R1282" s="8">
        <f>SUMIFS(EIAwtransport!$J$2:$J$675,EIAwtransport!$E$2:$E$675,Program_data!$E1282,EIAwtransport!$I$2:$I$675,Program_data!R$2)</f>
        <v>3425062807.5999999</v>
      </c>
      <c r="S1282" s="5">
        <f>SUMIFS(EIAwtransport!$J$2:$J$675,EIAwtransport!$E$2:$E$675,Program_data!$E1282,EIAwtransport!$I$2:$I$675,Program_data!S$2)</f>
        <v>884953189.29599977</v>
      </c>
      <c r="T1282" s="5">
        <f>SUMIFS(EIAwtransport!$J$2:$J$675,EIAwtransport!$E$2:$E$675,Program_data!$E1282,EIAwtransport!$I$2:$I$675,Program_data!T$2)</f>
        <v>3728492</v>
      </c>
      <c r="U1282" s="24">
        <f t="shared" si="400"/>
        <v>1.4143915188942865E-6</v>
      </c>
      <c r="V1282" s="24">
        <f t="shared" si="397"/>
        <v>4.7146383963142887E-6</v>
      </c>
      <c r="W1282" s="24">
        <f t="shared" si="401"/>
        <v>8.5254689802487622E-6</v>
      </c>
      <c r="X1282" s="25">
        <f t="shared" si="402"/>
        <v>3.1849804011701375E-6</v>
      </c>
      <c r="Y1282" s="8">
        <f t="shared" si="393"/>
        <v>1.0260979008282064E-3</v>
      </c>
      <c r="Z1282" s="27">
        <f t="shared" si="394"/>
        <v>7.1584183091610572E-4</v>
      </c>
      <c r="AE1282" s="20">
        <f t="shared" si="411"/>
        <v>34627.468346200585</v>
      </c>
      <c r="AF1282" s="20">
        <f t="shared" si="412"/>
        <v>4623834790.2600002</v>
      </c>
      <c r="AG1282">
        <f t="shared" si="413"/>
        <v>1367791.2426267934</v>
      </c>
      <c r="AH1282">
        <f t="shared" si="388"/>
        <v>4559304.142089311</v>
      </c>
      <c r="AI1282">
        <f t="shared" si="414"/>
        <v>93344862406.942062</v>
      </c>
    </row>
    <row r="1283" spans="1:37" x14ac:dyDescent="0.25">
      <c r="B1283" s="4">
        <v>2024</v>
      </c>
      <c r="C1283" s="4" t="s">
        <v>33</v>
      </c>
      <c r="D1283" s="4" t="s">
        <v>77</v>
      </c>
      <c r="E1283" s="4" t="str">
        <f t="shared" si="409"/>
        <v>Enbridge-CAN</v>
      </c>
      <c r="F1283" s="4" t="s">
        <v>146</v>
      </c>
      <c r="G1283" s="4"/>
      <c r="H1283" s="4" t="s">
        <v>691</v>
      </c>
      <c r="I1283" s="61"/>
      <c r="J1283" s="4" t="s">
        <v>21</v>
      </c>
      <c r="K1283" s="69">
        <v>99458.856545935691</v>
      </c>
      <c r="L1283" s="5">
        <v>331529.52181978559</v>
      </c>
      <c r="M1283" s="8">
        <f t="shared" si="410"/>
        <v>590882.42202689417</v>
      </c>
      <c r="N1283" s="8">
        <v>519040.47366823378</v>
      </c>
      <c r="O1283" s="8">
        <f>SUMIFS(EIAwtransport!$J$2:$J$675,EIAwtransport!$E$2:$E$675,Program_data!$E1283,EIAwtransport!$H$2:$H$675,Program_data!$F1283,EIAwtransport!$I$2:$I$675,Program_data!O$2)</f>
        <v>2377068394.8298411</v>
      </c>
      <c r="P1283" s="5">
        <f>SUMIFS(EIAwtransport!$J$2:$J$675,EIAwtransport!$E$2:$E$675,Program_data!$E1283,EIAwtransport!$H$2:$H$675,Program_data!$F1283,EIAwtransport!$I$2:$I$675,Program_data!P$2)</f>
        <v>614176841.51999986</v>
      </c>
      <c r="Q1283" s="5">
        <f>SUMIFS(EIAwtransport!$J$2:$J$675,EIAwtransport!$E$2:$E$675,Program_data!$E1283,EIAwtransport!$H$2:$H$675,Program_data!$F1283,EIAwtransport!$I$2:$I$675,Program_data!Q$2)</f>
        <v>16513</v>
      </c>
      <c r="R1283" s="8">
        <f>SUMIFS(EIAwtransport!$J$2:$J$675,EIAwtransport!$E$2:$E$675,Program_data!$E1283,EIAwtransport!$I$2:$I$675,Program_data!R$2)</f>
        <v>3425062807.5999999</v>
      </c>
      <c r="S1283" s="5">
        <f>SUMIFS(EIAwtransport!$J$2:$J$675,EIAwtransport!$E$2:$E$675,Program_data!$E1283,EIAwtransport!$I$2:$I$675,Program_data!S$2)</f>
        <v>884953189.29599977</v>
      </c>
      <c r="T1283" s="5">
        <f>SUMIFS(EIAwtransport!$J$2:$J$675,EIAwtransport!$E$2:$E$675,Program_data!$E1283,EIAwtransport!$I$2:$I$675,Program_data!T$2)</f>
        <v>3728492</v>
      </c>
      <c r="U1283" s="24">
        <f t="shared" si="400"/>
        <v>1.0848342990898092E-5</v>
      </c>
      <c r="V1283" s="24">
        <f t="shared" si="397"/>
        <v>3.6161143302993632E-5</v>
      </c>
      <c r="W1283" s="24">
        <f t="shared" si="401"/>
        <v>1.7251725157149325E-4</v>
      </c>
      <c r="X1283" s="25">
        <f t="shared" si="402"/>
        <v>6.4449717240412901E-5</v>
      </c>
      <c r="Y1283" s="8">
        <f t="shared" si="393"/>
        <v>2.0763618999056589E-2</v>
      </c>
      <c r="Z1283" s="27">
        <f t="shared" si="394"/>
        <v>1.4485427782994375E-2</v>
      </c>
      <c r="AE1283" s="20">
        <f t="shared" si="411"/>
        <v>700704.63945211563</v>
      </c>
      <c r="AF1283" s="20">
        <f t="shared" si="412"/>
        <v>4623834790.2600002</v>
      </c>
      <c r="AG1283">
        <f t="shared" si="413"/>
        <v>10490920.188465297</v>
      </c>
      <c r="AH1283">
        <f t="shared" si="388"/>
        <v>34969733.961550988</v>
      </c>
      <c r="AI1283">
        <f t="shared" si="414"/>
        <v>93344862406.942062</v>
      </c>
    </row>
    <row r="1284" spans="1:37" x14ac:dyDescent="0.25">
      <c r="B1284" s="4">
        <v>2024</v>
      </c>
      <c r="C1284" s="4" t="s">
        <v>33</v>
      </c>
      <c r="D1284" s="4" t="s">
        <v>77</v>
      </c>
      <c r="E1284" s="4" t="str">
        <f t="shared" si="409"/>
        <v>Enbridge-CAN</v>
      </c>
      <c r="F1284" s="4" t="s">
        <v>146</v>
      </c>
      <c r="G1284" s="4"/>
      <c r="H1284" s="4" t="s">
        <v>692</v>
      </c>
      <c r="I1284" s="61"/>
      <c r="J1284" s="5" t="s">
        <v>71</v>
      </c>
      <c r="K1284" s="69">
        <v>3585.383552982536</v>
      </c>
      <c r="L1284" s="5">
        <v>3774.0879505079333</v>
      </c>
      <c r="M1284" s="8">
        <f t="shared" si="410"/>
        <v>8579.2098424847754</v>
      </c>
      <c r="N1284" s="8">
        <v>7536.1137416604251</v>
      </c>
      <c r="O1284" s="8">
        <f>SUMIFS(EIAwtransport!$J$2:$J$675,EIAwtransport!$E$2:$E$675,Program_data!$E1284,EIAwtransport!$H$2:$H$675,Program_data!$F1284,EIAwtransport!$I$2:$I$675,Program_data!O$2)</f>
        <v>2377068394.8298411</v>
      </c>
      <c r="P1284" s="5">
        <f>SUMIFS(EIAwtransport!$J$2:$J$675,EIAwtransport!$E$2:$E$675,Program_data!$E1284,EIAwtransport!$H$2:$H$675,Program_data!$F1284,EIAwtransport!$I$2:$I$675,Program_data!P$2)</f>
        <v>614176841.51999986</v>
      </c>
      <c r="Q1284" s="5">
        <f>SUMIFS(EIAwtransport!$J$2:$J$675,EIAwtransport!$E$2:$E$675,Program_data!$E1284,EIAwtransport!$H$2:$H$675,Program_data!$F1284,EIAwtransport!$I$2:$I$675,Program_data!Q$2)</f>
        <v>16513</v>
      </c>
      <c r="R1284" s="8">
        <f>SUMIFS(EIAwtransport!$J$2:$J$675,EIAwtransport!$E$2:$E$675,Program_data!$E1284,EIAwtransport!$I$2:$I$675,Program_data!R$2)</f>
        <v>3425062807.5999999</v>
      </c>
      <c r="S1284" s="5">
        <f>SUMIFS(EIAwtransport!$J$2:$J$675,EIAwtransport!$E$2:$E$675,Program_data!$E1284,EIAwtransport!$I$2:$I$675,Program_data!S$2)</f>
        <v>884953189.29599977</v>
      </c>
      <c r="T1284" s="5">
        <f>SUMIFS(EIAwtransport!$J$2:$J$675,EIAwtransport!$E$2:$E$675,Program_data!$E1284,EIAwtransport!$I$2:$I$675,Program_data!T$2)</f>
        <v>3728492</v>
      </c>
      <c r="U1284" s="24">
        <f t="shared" si="400"/>
        <v>3.910709602690362E-7</v>
      </c>
      <c r="V1284" s="24">
        <f t="shared" si="397"/>
        <v>4.116536423884593E-7</v>
      </c>
      <c r="W1284" s="24">
        <f t="shared" si="401"/>
        <v>2.504832852538659E-6</v>
      </c>
      <c r="X1284" s="25">
        <f t="shared" si="402"/>
        <v>9.3576594578260193E-7</v>
      </c>
      <c r="Y1284" s="8">
        <f t="shared" ref="Y1284:Y1347" si="415">IFERROR(M1284/SUMIFS($K$3:$K$1492,$E$3:$E$1492,E1284,$B$3:$B$1492,B1284,$F$3:$F$1492,F1284,$A$3:$A$1492,""),"")</f>
        <v>3.014735890623639E-4</v>
      </c>
      <c r="Z1284" s="27">
        <f t="shared" ref="Z1284:Z1347" si="416">IFERROR(M1284/SUMIFS($K$3:$K$1492,$E$3:$E$1492,E1284,$B$3:$B$1492,B1284,$A$3:$A$1492,""),"")</f>
        <v>2.1031853373159137E-4</v>
      </c>
      <c r="AE1284" s="20">
        <f t="shared" si="411"/>
        <v>10173.753551241574</v>
      </c>
      <c r="AF1284" s="20">
        <f t="shared" si="412"/>
        <v>4623834790.2600002</v>
      </c>
      <c r="AG1284">
        <f t="shared" si="413"/>
        <v>378186.25716859789</v>
      </c>
      <c r="AH1284">
        <f t="shared" si="388"/>
        <v>398090.79701957683</v>
      </c>
      <c r="AI1284">
        <f t="shared" si="414"/>
        <v>93344862406.942062</v>
      </c>
    </row>
    <row r="1285" spans="1:37" x14ac:dyDescent="0.25">
      <c r="B1285" s="4">
        <v>2024</v>
      </c>
      <c r="C1285" s="4" t="s">
        <v>33</v>
      </c>
      <c r="D1285" s="4" t="s">
        <v>77</v>
      </c>
      <c r="E1285" s="4" t="str">
        <f t="shared" si="409"/>
        <v>Enbridge-CAN</v>
      </c>
      <c r="F1285" s="4" t="s">
        <v>146</v>
      </c>
      <c r="G1285" s="4"/>
      <c r="H1285" s="4" t="s">
        <v>693</v>
      </c>
      <c r="I1285" s="61"/>
      <c r="J1285" s="4" t="s">
        <v>21</v>
      </c>
      <c r="K1285" s="69">
        <v>99328.531925095464</v>
      </c>
      <c r="L1285" s="5">
        <v>104556.34939483735</v>
      </c>
      <c r="M1285" s="8">
        <f t="shared" si="410"/>
        <v>201460.87417471947</v>
      </c>
      <c r="N1285" s="8">
        <v>176966.42116814145</v>
      </c>
      <c r="O1285" s="8">
        <f>SUMIFS(EIAwtransport!$J$2:$J$675,EIAwtransport!$E$2:$E$675,Program_data!$E1285,EIAwtransport!$H$2:$H$675,Program_data!$F1285,EIAwtransport!$I$2:$I$675,Program_data!O$2)</f>
        <v>2377068394.8298411</v>
      </c>
      <c r="P1285" s="5">
        <f>SUMIFS(EIAwtransport!$J$2:$J$675,EIAwtransport!$E$2:$E$675,Program_data!$E1285,EIAwtransport!$H$2:$H$675,Program_data!$F1285,EIAwtransport!$I$2:$I$675,Program_data!P$2)</f>
        <v>614176841.51999986</v>
      </c>
      <c r="Q1285" s="5">
        <f>SUMIFS(EIAwtransport!$J$2:$J$675,EIAwtransport!$E$2:$E$675,Program_data!$E1285,EIAwtransport!$H$2:$H$675,Program_data!$F1285,EIAwtransport!$I$2:$I$675,Program_data!Q$2)</f>
        <v>16513</v>
      </c>
      <c r="R1285" s="8">
        <f>SUMIFS(EIAwtransport!$J$2:$J$675,EIAwtransport!$E$2:$E$675,Program_data!$E1285,EIAwtransport!$I$2:$I$675,Program_data!R$2)</f>
        <v>3425062807.5999999</v>
      </c>
      <c r="S1285" s="5">
        <f>SUMIFS(EIAwtransport!$J$2:$J$675,EIAwtransport!$E$2:$E$675,Program_data!$E1285,EIAwtransport!$I$2:$I$675,Program_data!S$2)</f>
        <v>884953189.29599977</v>
      </c>
      <c r="T1285" s="5">
        <f>SUMIFS(EIAwtransport!$J$2:$J$675,EIAwtransport!$E$2:$E$675,Program_data!$E1285,EIAwtransport!$I$2:$I$675,Program_data!T$2)</f>
        <v>3728492</v>
      </c>
      <c r="U1285" s="24">
        <f t="shared" si="400"/>
        <v>1.083412800556513E-5</v>
      </c>
      <c r="V1285" s="24">
        <f t="shared" si="397"/>
        <v>1.1404345269015931E-5</v>
      </c>
      <c r="W1285" s="24">
        <f t="shared" si="401"/>
        <v>5.881961455646606E-5</v>
      </c>
      <c r="X1285" s="25">
        <f t="shared" si="402"/>
        <v>2.1974077907120578E-5</v>
      </c>
      <c r="Y1285" s="8">
        <f t="shared" si="415"/>
        <v>7.079338762916121E-3</v>
      </c>
      <c r="Z1285" s="27">
        <f t="shared" si="416"/>
        <v>4.9387946487668413E-3</v>
      </c>
      <c r="AE1285" s="20">
        <f t="shared" si="411"/>
        <v>238904.66857699095</v>
      </c>
      <c r="AF1285" s="20">
        <f t="shared" si="412"/>
        <v>4623834790.2600002</v>
      </c>
      <c r="AG1285">
        <f t="shared" si="413"/>
        <v>10477173.54745907</v>
      </c>
      <c r="AH1285">
        <f t="shared" si="388"/>
        <v>11028603.734167444</v>
      </c>
      <c r="AI1285">
        <f t="shared" si="414"/>
        <v>93344862406.942062</v>
      </c>
    </row>
    <row r="1286" spans="1:37" x14ac:dyDescent="0.25">
      <c r="B1286" s="4">
        <v>2024</v>
      </c>
      <c r="C1286" s="4" t="s">
        <v>33</v>
      </c>
      <c r="D1286" s="4" t="s">
        <v>77</v>
      </c>
      <c r="E1286" s="4" t="str">
        <f t="shared" si="409"/>
        <v>Enbridge-CAN</v>
      </c>
      <c r="F1286" s="4" t="s">
        <v>146</v>
      </c>
      <c r="G1286" s="4"/>
      <c r="H1286" s="4" t="s">
        <v>694</v>
      </c>
      <c r="I1286" s="61"/>
      <c r="J1286" s="4" t="s">
        <v>21</v>
      </c>
      <c r="K1286" s="69">
        <v>57953.728916388078</v>
      </c>
      <c r="L1286" s="5">
        <v>61003.925175145334</v>
      </c>
      <c r="M1286" s="8">
        <f t="shared" si="410"/>
        <v>77767.304190521463</v>
      </c>
      <c r="N1286" s="8">
        <v>68312.03112201007</v>
      </c>
      <c r="O1286" s="8">
        <f>SUMIFS(EIAwtransport!$J$2:$J$675,EIAwtransport!$E$2:$E$675,Program_data!$E1286,EIAwtransport!$H$2:$H$675,Program_data!$F1286,EIAwtransport!$I$2:$I$675,Program_data!O$2)</f>
        <v>2377068394.8298411</v>
      </c>
      <c r="P1286" s="5">
        <f>SUMIFS(EIAwtransport!$J$2:$J$675,EIAwtransport!$E$2:$E$675,Program_data!$E1286,EIAwtransport!$H$2:$H$675,Program_data!$F1286,EIAwtransport!$I$2:$I$675,Program_data!P$2)</f>
        <v>614176841.51999986</v>
      </c>
      <c r="Q1286" s="5">
        <f>SUMIFS(EIAwtransport!$J$2:$J$675,EIAwtransport!$E$2:$E$675,Program_data!$E1286,EIAwtransport!$H$2:$H$675,Program_data!$F1286,EIAwtransport!$I$2:$I$675,Program_data!Q$2)</f>
        <v>16513</v>
      </c>
      <c r="R1286" s="8">
        <f>SUMIFS(EIAwtransport!$J$2:$J$675,EIAwtransport!$E$2:$E$675,Program_data!$E1286,EIAwtransport!$I$2:$I$675,Program_data!R$2)</f>
        <v>3425062807.5999999</v>
      </c>
      <c r="S1286" s="5">
        <f>SUMIFS(EIAwtransport!$J$2:$J$675,EIAwtransport!$E$2:$E$675,Program_data!$E1286,EIAwtransport!$I$2:$I$675,Program_data!S$2)</f>
        <v>884953189.29599977</v>
      </c>
      <c r="T1286" s="5">
        <f>SUMIFS(EIAwtransport!$J$2:$J$675,EIAwtransport!$E$2:$E$675,Program_data!$E1286,EIAwtransport!$I$2:$I$675,Program_data!T$2)</f>
        <v>3728492</v>
      </c>
      <c r="U1286" s="24">
        <f t="shared" si="400"/>
        <v>6.3212261906121635E-6</v>
      </c>
      <c r="V1286" s="24">
        <f t="shared" si="397"/>
        <v>6.6539223059075389E-6</v>
      </c>
      <c r="W1286" s="24">
        <f t="shared" si="401"/>
        <v>2.270536587473978E-5</v>
      </c>
      <c r="X1286" s="25">
        <f t="shared" si="402"/>
        <v>8.4823656598810798E-6</v>
      </c>
      <c r="Y1286" s="8">
        <f t="shared" si="415"/>
        <v>2.7327444760613133E-3</v>
      </c>
      <c r="Z1286" s="27">
        <f t="shared" si="416"/>
        <v>1.9064582508069292E-3</v>
      </c>
      <c r="AE1286" s="20">
        <f t="shared" si="411"/>
        <v>92221.2420147136</v>
      </c>
      <c r="AF1286" s="20">
        <f t="shared" si="412"/>
        <v>4623834790.2600002</v>
      </c>
      <c r="AG1286">
        <f t="shared" si="413"/>
        <v>6112959.3261006149</v>
      </c>
      <c r="AH1286">
        <f t="shared" si="388"/>
        <v>6434694.0274743298</v>
      </c>
      <c r="AI1286">
        <f t="shared" si="414"/>
        <v>93344862406.942062</v>
      </c>
    </row>
    <row r="1287" spans="1:37" x14ac:dyDescent="0.25">
      <c r="B1287" s="4">
        <v>2024</v>
      </c>
      <c r="C1287" s="4" t="s">
        <v>33</v>
      </c>
      <c r="D1287" s="4" t="s">
        <v>77</v>
      </c>
      <c r="E1287" s="4" t="str">
        <f t="shared" si="409"/>
        <v>Enbridge-CAN</v>
      </c>
      <c r="F1287" s="4" t="s">
        <v>146</v>
      </c>
      <c r="G1287" s="4"/>
      <c r="H1287" s="4" t="s">
        <v>695</v>
      </c>
      <c r="I1287" s="61"/>
      <c r="J1287" s="4" t="s">
        <v>21</v>
      </c>
      <c r="K1287" s="69">
        <v>42674.857630490762</v>
      </c>
      <c r="L1287" s="5">
        <v>46385.714815750827</v>
      </c>
      <c r="M1287" s="8">
        <f t="shared" si="410"/>
        <v>123026.03226694508</v>
      </c>
      <c r="N1287" s="8">
        <v>108068.01434761955</v>
      </c>
      <c r="O1287" s="8">
        <f>SUMIFS(EIAwtransport!$J$2:$J$675,EIAwtransport!$E$2:$E$675,Program_data!$E1287,EIAwtransport!$H$2:$H$675,Program_data!$F1287,EIAwtransport!$I$2:$I$675,Program_data!O$2)</f>
        <v>2377068394.8298411</v>
      </c>
      <c r="P1287" s="5">
        <f>SUMIFS(EIAwtransport!$J$2:$J$675,EIAwtransport!$E$2:$E$675,Program_data!$E1287,EIAwtransport!$H$2:$H$675,Program_data!$F1287,EIAwtransport!$I$2:$I$675,Program_data!P$2)</f>
        <v>614176841.51999986</v>
      </c>
      <c r="Q1287" s="5">
        <f>SUMIFS(EIAwtransport!$J$2:$J$675,EIAwtransport!$E$2:$E$675,Program_data!$E1287,EIAwtransport!$H$2:$H$675,Program_data!$F1287,EIAwtransport!$I$2:$I$675,Program_data!Q$2)</f>
        <v>16513</v>
      </c>
      <c r="R1287" s="8">
        <f>SUMIFS(EIAwtransport!$J$2:$J$675,EIAwtransport!$E$2:$E$675,Program_data!$E1287,EIAwtransport!$I$2:$I$675,Program_data!R$2)</f>
        <v>3425062807.5999999</v>
      </c>
      <c r="S1287" s="5">
        <f>SUMIFS(EIAwtransport!$J$2:$J$675,EIAwtransport!$E$2:$E$675,Program_data!$E1287,EIAwtransport!$I$2:$I$675,Program_data!S$2)</f>
        <v>884953189.29599977</v>
      </c>
      <c r="T1287" s="5">
        <f>SUMIFS(EIAwtransport!$J$2:$J$675,EIAwtransport!$E$2:$E$675,Program_data!$E1287,EIAwtransport!$I$2:$I$675,Program_data!T$2)</f>
        <v>3728492</v>
      </c>
      <c r="U1287" s="24">
        <f t="shared" si="400"/>
        <v>4.6547035502010967E-6</v>
      </c>
      <c r="V1287" s="24">
        <f t="shared" si="397"/>
        <v>5.0594603806533659E-6</v>
      </c>
      <c r="W1287" s="24">
        <f t="shared" si="401"/>
        <v>3.5919350732476502E-5</v>
      </c>
      <c r="X1287" s="25">
        <f t="shared" si="402"/>
        <v>1.3418901455243552E-5</v>
      </c>
      <c r="Y1287" s="8">
        <f t="shared" si="415"/>
        <v>4.3231369993948186E-3</v>
      </c>
      <c r="Z1287" s="27">
        <f t="shared" si="416"/>
        <v>3.0159717727227578E-3</v>
      </c>
      <c r="AE1287" s="20">
        <f t="shared" si="411"/>
        <v>145891.81936928642</v>
      </c>
      <c r="AF1287" s="20">
        <f t="shared" si="412"/>
        <v>4623834790.2600002</v>
      </c>
      <c r="AG1287">
        <f t="shared" si="413"/>
        <v>4501343.9828641657</v>
      </c>
      <c r="AH1287">
        <f t="shared" si="388"/>
        <v>4892765.1987653971</v>
      </c>
      <c r="AI1287">
        <f t="shared" si="414"/>
        <v>93344862406.942062</v>
      </c>
    </row>
    <row r="1288" spans="1:37" x14ac:dyDescent="0.25">
      <c r="A1288" s="62" t="s">
        <v>310</v>
      </c>
      <c r="B1288" s="63">
        <v>2024</v>
      </c>
      <c r="C1288" s="63" t="s">
        <v>33</v>
      </c>
      <c r="D1288" s="63" t="s">
        <v>77</v>
      </c>
      <c r="E1288" s="63" t="str">
        <f t="shared" si="396"/>
        <v>Enbridge-CAN</v>
      </c>
      <c r="F1288" s="63" t="s">
        <v>146</v>
      </c>
      <c r="G1288" s="63"/>
      <c r="H1288" s="63" t="s">
        <v>658</v>
      </c>
      <c r="I1288" s="65"/>
      <c r="J1288" s="4" t="s">
        <v>21</v>
      </c>
      <c r="K1288" s="66"/>
      <c r="L1288" s="65"/>
      <c r="M1288" s="66">
        <f>509006.91868*0.74</f>
        <v>376665.11982319999</v>
      </c>
      <c r="N1288" s="66">
        <f>462055.529952*0.74</f>
        <v>341921.09216448001</v>
      </c>
      <c r="O1288" s="66">
        <f>SUMIFS(EIAwtransport!$J$2:$J$675,EIAwtransport!$E$2:$E$675,Program_data!$E1288,EIAwtransport!$H$2:$H$675,Program_data!$F1288,EIAwtransport!$I$2:$I$675,Program_data!O$2)</f>
        <v>2377068394.8298411</v>
      </c>
      <c r="P1288" s="65">
        <f>SUMIFS(EIAwtransport!$J$2:$J$675,EIAwtransport!$E$2:$E$675,Program_data!$E1288,EIAwtransport!$H$2:$H$675,Program_data!$F1288,EIAwtransport!$I$2:$I$675,Program_data!P$2)</f>
        <v>614176841.51999986</v>
      </c>
      <c r="Q1288" s="65">
        <f>SUMIFS(EIAwtransport!$J$2:$J$675,EIAwtransport!$E$2:$E$675,Program_data!$E1288,EIAwtransport!$H$2:$H$675,Program_data!$F1288,EIAwtransport!$I$2:$I$675,Program_data!Q$2)</f>
        <v>16513</v>
      </c>
      <c r="R1288" s="66">
        <f>SUMIFS(EIAwtransport!$J$2:$J$675,EIAwtransport!$E$2:$E$675,Program_data!$E1288,EIAwtransport!$I$2:$I$675,Program_data!R$2)</f>
        <v>3425062807.5999999</v>
      </c>
      <c r="S1288" s="65">
        <f>SUMIFS(EIAwtransport!$J$2:$J$675,EIAwtransport!$E$2:$E$675,Program_data!$E1288,EIAwtransport!$I$2:$I$675,Program_data!S$2)</f>
        <v>884953189.29599977</v>
      </c>
      <c r="T1288" s="65">
        <f>SUMIFS(EIAwtransport!$J$2:$J$675,EIAwtransport!$E$2:$E$675,Program_data!$E1288,EIAwtransport!$I$2:$I$675,Program_data!T$2)</f>
        <v>3728492</v>
      </c>
      <c r="U1288" s="67">
        <f t="shared" si="400"/>
        <v>0</v>
      </c>
      <c r="V1288" s="67">
        <f t="shared" si="397"/>
        <v>0</v>
      </c>
      <c r="W1288" s="67">
        <f t="shared" si="401"/>
        <v>1.0997320077967729E-4</v>
      </c>
      <c r="X1288" s="68">
        <f t="shared" si="402"/>
        <v>4.1084248848794756E-5</v>
      </c>
      <c r="Y1288" s="8">
        <f t="shared" si="415"/>
        <v>1.3236019124439193E-2</v>
      </c>
      <c r="Z1288" s="27">
        <f t="shared" si="416"/>
        <v>9.2339104840108918E-3</v>
      </c>
      <c r="AA1288" s="62"/>
      <c r="AB1288" s="62"/>
      <c r="AC1288" s="62"/>
      <c r="AD1288" s="62"/>
      <c r="AE1288" s="20">
        <f t="shared" si="398"/>
        <v>461593.47442204802</v>
      </c>
      <c r="AF1288" s="20">
        <f t="shared" si="399"/>
        <v>4623834790.2600002</v>
      </c>
      <c r="AG1288">
        <f t="shared" si="387"/>
        <v>0</v>
      </c>
      <c r="AH1288">
        <f t="shared" si="388"/>
        <v>0</v>
      </c>
      <c r="AI1288">
        <f t="shared" si="389"/>
        <v>93344862406.942062</v>
      </c>
      <c r="AJ1288" s="62"/>
      <c r="AK1288" s="62"/>
    </row>
    <row r="1289" spans="1:37" x14ac:dyDescent="0.25">
      <c r="B1289" s="4">
        <v>2024</v>
      </c>
      <c r="C1289" s="4" t="s">
        <v>33</v>
      </c>
      <c r="D1289" s="4" t="s">
        <v>77</v>
      </c>
      <c r="E1289" s="4" t="str">
        <f t="shared" si="396"/>
        <v>Enbridge-CAN</v>
      </c>
      <c r="F1289" s="4" t="s">
        <v>146</v>
      </c>
      <c r="G1289" s="4"/>
      <c r="H1289" s="4" t="s">
        <v>524</v>
      </c>
      <c r="I1289" s="5"/>
      <c r="J1289" s="4" t="s">
        <v>21</v>
      </c>
      <c r="K1289" s="69">
        <v>671133.37741646287</v>
      </c>
      <c r="L1289" s="5">
        <v>831552.08402421605</v>
      </c>
      <c r="M1289" s="8">
        <f>517150.7239328*0.74+M1294</f>
        <v>1913457.6785513598</v>
      </c>
      <c r="N1289" s="8">
        <f>111132.2369088*0.74+N1294</f>
        <v>411189.27656256</v>
      </c>
      <c r="O1289" s="8">
        <f>SUMIFS(EIAwtransport!$J$2:$J$675,EIAwtransport!$E$2:$E$675,Program_data!$E1289,EIAwtransport!$H$2:$H$675,Program_data!$F1289,EIAwtransport!$I$2:$I$675,Program_data!O$2)</f>
        <v>2377068394.8298411</v>
      </c>
      <c r="P1289" s="5">
        <f>SUMIFS(EIAwtransport!$J$2:$J$675,EIAwtransport!$E$2:$E$675,Program_data!$E1289,EIAwtransport!$H$2:$H$675,Program_data!$F1289,EIAwtransport!$I$2:$I$675,Program_data!P$2)</f>
        <v>614176841.51999986</v>
      </c>
      <c r="Q1289" s="5">
        <f>SUMIFS(EIAwtransport!$J$2:$J$675,EIAwtransport!$E$2:$E$675,Program_data!$E1289,EIAwtransport!$H$2:$H$675,Program_data!$F1289,EIAwtransport!$I$2:$I$675,Program_data!Q$2)</f>
        <v>16513</v>
      </c>
      <c r="R1289" s="8">
        <f>SUMIFS(EIAwtransport!$J$2:$J$675,EIAwtransport!$E$2:$E$675,Program_data!$E1289,EIAwtransport!$I$2:$I$675,Program_data!R$2)</f>
        <v>3425062807.5999999</v>
      </c>
      <c r="S1289" s="5">
        <f>SUMIFS(EIAwtransport!$J$2:$J$675,EIAwtransport!$E$2:$E$675,Program_data!$E1289,EIAwtransport!$I$2:$I$675,Program_data!S$2)</f>
        <v>884953189.29599977</v>
      </c>
      <c r="T1289" s="5">
        <f>SUMIFS(EIAwtransport!$J$2:$J$675,EIAwtransport!$E$2:$E$675,Program_data!$E1289,EIAwtransport!$I$2:$I$675,Program_data!T$2)</f>
        <v>3728492</v>
      </c>
      <c r="U1289" s="24">
        <f t="shared" si="400"/>
        <v>7.3202983863895717E-5</v>
      </c>
      <c r="V1289" s="24">
        <f t="shared" si="397"/>
        <v>9.0700441726116347E-5</v>
      </c>
      <c r="W1289" s="24">
        <f t="shared" si="401"/>
        <v>5.5866352999586375E-4</v>
      </c>
      <c r="X1289" s="25">
        <f t="shared" si="402"/>
        <v>2.0870786088220952E-4</v>
      </c>
      <c r="Y1289" s="8">
        <f t="shared" si="415"/>
        <v>6.7238937438642232E-2</v>
      </c>
      <c r="Z1289" s="27">
        <f t="shared" si="416"/>
        <v>4.6908237553240716E-2</v>
      </c>
      <c r="AE1289" s="20">
        <f t="shared" si="398"/>
        <v>555105.52335945598</v>
      </c>
      <c r="AF1289" s="20">
        <f t="shared" si="399"/>
        <v>4623834790.2600002</v>
      </c>
      <c r="AG1289">
        <f t="shared" si="387"/>
        <v>70791148.649888501</v>
      </c>
      <c r="AH1289">
        <f t="shared" si="388"/>
        <v>87712113.822874308</v>
      </c>
      <c r="AI1289">
        <f t="shared" si="389"/>
        <v>93344862406.942062</v>
      </c>
    </row>
    <row r="1290" spans="1:37" x14ac:dyDescent="0.25">
      <c r="A1290" t="s">
        <v>310</v>
      </c>
      <c r="B1290" s="58">
        <v>2024</v>
      </c>
      <c r="C1290" s="58" t="s">
        <v>33</v>
      </c>
      <c r="D1290" s="58" t="s">
        <v>77</v>
      </c>
      <c r="E1290" s="58" t="str">
        <f t="shared" si="396"/>
        <v>Enbridge-CAN</v>
      </c>
      <c r="F1290" s="4" t="s">
        <v>146</v>
      </c>
      <c r="G1290" s="58"/>
      <c r="H1290" s="58" t="s">
        <v>660</v>
      </c>
      <c r="I1290" s="57"/>
      <c r="J1290" s="4" t="s">
        <v>21</v>
      </c>
      <c r="K1290" s="57">
        <v>2820921.8480000002</v>
      </c>
      <c r="L1290" s="57">
        <f>(K1290/55.1)*100</f>
        <v>5119640.377495463</v>
      </c>
      <c r="M1290" s="59">
        <f>SUM(M1291:M1294)</f>
        <v>7558408.1008370873</v>
      </c>
      <c r="N1290" s="59">
        <f>SUM(N1291:N1294)</f>
        <v>5812711.7066484476</v>
      </c>
      <c r="O1290" s="8">
        <f>SUMIFS(EIAwtransport!$J$2:$J$675,EIAwtransport!$E$2:$E$675,Program_data!$E1290,EIAwtransport!$H$2:$H$675,Program_data!$F1290,EIAwtransport!$I$2:$I$675,Program_data!O$2)</f>
        <v>2377068394.8298411</v>
      </c>
      <c r="P1290" s="5">
        <f>SUMIFS(EIAwtransport!$J$2:$J$675,EIAwtransport!$E$2:$E$675,Program_data!$E1290,EIAwtransport!$H$2:$H$675,Program_data!$F1290,EIAwtransport!$I$2:$I$675,Program_data!P$2)</f>
        <v>614176841.51999986</v>
      </c>
      <c r="Q1290" s="5">
        <f>SUMIFS(EIAwtransport!$J$2:$J$675,EIAwtransport!$E$2:$E$675,Program_data!$E1290,EIAwtransport!$H$2:$H$675,Program_data!$F1290,EIAwtransport!$I$2:$I$675,Program_data!Q$2)</f>
        <v>16513</v>
      </c>
      <c r="R1290" s="8">
        <f>SUMIFS(EIAwtransport!$J$2:$J$675,EIAwtransport!$E$2:$E$675,Program_data!$E1290,EIAwtransport!$I$2:$I$675,Program_data!R$2)</f>
        <v>3425062807.5999999</v>
      </c>
      <c r="S1290" s="5">
        <f>SUMIFS(EIAwtransport!$J$2:$J$675,EIAwtransport!$E$2:$E$675,Program_data!$E1290,EIAwtransport!$I$2:$I$675,Program_data!S$2)</f>
        <v>884953189.29599977</v>
      </c>
      <c r="T1290" s="5">
        <f>SUMIFS(EIAwtransport!$J$2:$J$675,EIAwtransport!$E$2:$E$675,Program_data!$E1290,EIAwtransport!$I$2:$I$675,Program_data!T$2)</f>
        <v>3728492</v>
      </c>
      <c r="U1290" s="24">
        <f t="shared" si="400"/>
        <v>3.0768831273953183E-4</v>
      </c>
      <c r="V1290" s="24">
        <f t="shared" si="397"/>
        <v>5.5841799045287083E-4</v>
      </c>
      <c r="W1290" s="24">
        <f t="shared" si="401"/>
        <v>2.2067940138398201E-3</v>
      </c>
      <c r="X1290" s="25">
        <f t="shared" si="402"/>
        <v>8.2442334841435576E-4</v>
      </c>
      <c r="Y1290" s="8">
        <f t="shared" si="415"/>
        <v>0.265602597394615</v>
      </c>
      <c r="Z1290" s="27">
        <f t="shared" si="416"/>
        <v>0.18529367369485222</v>
      </c>
      <c r="AE1290" s="20">
        <f t="shared" si="398"/>
        <v>7847160.8039754052</v>
      </c>
      <c r="AF1290" s="20">
        <f t="shared" si="399"/>
        <v>4623834790.2600002</v>
      </c>
      <c r="AG1290">
        <f t="shared" si="387"/>
        <v>297550836.52704006</v>
      </c>
      <c r="AH1290">
        <f t="shared" si="388"/>
        <v>540019667.0182215</v>
      </c>
      <c r="AI1290">
        <f t="shared" si="389"/>
        <v>93344862406.942062</v>
      </c>
    </row>
    <row r="1291" spans="1:37" x14ac:dyDescent="0.25">
      <c r="B1291" s="4">
        <v>2024</v>
      </c>
      <c r="C1291" s="4" t="s">
        <v>33</v>
      </c>
      <c r="D1291" s="4" t="s">
        <v>77</v>
      </c>
      <c r="E1291" s="4" t="str">
        <f t="shared" si="396"/>
        <v>Enbridge-CAN</v>
      </c>
      <c r="F1291" s="4" t="s">
        <v>146</v>
      </c>
      <c r="G1291" s="4"/>
      <c r="H1291" s="4" t="s">
        <v>661</v>
      </c>
      <c r="I1291" s="5"/>
      <c r="J1291" s="5" t="s">
        <v>61</v>
      </c>
      <c r="K1291" s="69"/>
      <c r="L1291" s="5"/>
      <c r="M1291" s="8">
        <f>2523639.288*0.74</f>
        <v>1867493.0731200001</v>
      </c>
      <c r="N1291" s="8">
        <f>2337766.56*0.74</f>
        <v>1729947.2544</v>
      </c>
      <c r="O1291" s="8">
        <f>SUMIFS(EIAwtransport!$J$2:$J$675,EIAwtransport!$E$2:$E$675,Program_data!$E1291,EIAwtransport!$H$2:$H$675,Program_data!$F1291,EIAwtransport!$I$2:$I$675,Program_data!O$2)</f>
        <v>2377068394.8298411</v>
      </c>
      <c r="P1291" s="5">
        <f>SUMIFS(EIAwtransport!$J$2:$J$675,EIAwtransport!$E$2:$E$675,Program_data!$E1291,EIAwtransport!$H$2:$H$675,Program_data!$F1291,EIAwtransport!$I$2:$I$675,Program_data!P$2)</f>
        <v>614176841.51999986</v>
      </c>
      <c r="Q1291" s="5">
        <f>SUMIFS(EIAwtransport!$J$2:$J$675,EIAwtransport!$E$2:$E$675,Program_data!$E1291,EIAwtransport!$H$2:$H$675,Program_data!$F1291,EIAwtransport!$I$2:$I$675,Program_data!Q$2)</f>
        <v>16513</v>
      </c>
      <c r="R1291" s="8">
        <f>SUMIFS(EIAwtransport!$J$2:$J$675,EIAwtransport!$E$2:$E$675,Program_data!$E1291,EIAwtransport!$I$2:$I$675,Program_data!R$2)</f>
        <v>3425062807.5999999</v>
      </c>
      <c r="S1291" s="5">
        <f>SUMIFS(EIAwtransport!$J$2:$J$675,EIAwtransport!$E$2:$E$675,Program_data!$E1291,EIAwtransport!$I$2:$I$675,Program_data!S$2)</f>
        <v>884953189.29599977</v>
      </c>
      <c r="T1291" s="5">
        <f>SUMIFS(EIAwtransport!$J$2:$J$675,EIAwtransport!$E$2:$E$675,Program_data!$E1291,EIAwtransport!$I$2:$I$675,Program_data!T$2)</f>
        <v>3728492</v>
      </c>
      <c r="U1291" s="24">
        <f t="shared" si="400"/>
        <v>0</v>
      </c>
      <c r="V1291" s="24">
        <f t="shared" si="397"/>
        <v>0</v>
      </c>
      <c r="W1291" s="24">
        <f t="shared" si="401"/>
        <v>5.4524345333935189E-4</v>
      </c>
      <c r="X1291" s="25">
        <f t="shared" si="402"/>
        <v>2.0369433244967229E-4</v>
      </c>
      <c r="Y1291" s="8">
        <f t="shared" si="415"/>
        <v>6.5623740372286979E-2</v>
      </c>
      <c r="Z1291" s="27">
        <f t="shared" si="416"/>
        <v>4.5781419513425195E-2</v>
      </c>
      <c r="AE1291" s="20">
        <f t="shared" si="398"/>
        <v>2335428.7934400002</v>
      </c>
      <c r="AF1291" s="20">
        <f t="shared" si="399"/>
        <v>4623834790.2600002</v>
      </c>
      <c r="AG1291">
        <f t="shared" si="387"/>
        <v>0</v>
      </c>
      <c r="AH1291">
        <f t="shared" si="388"/>
        <v>0</v>
      </c>
      <c r="AI1291">
        <f t="shared" si="389"/>
        <v>93344862406.942062</v>
      </c>
    </row>
    <row r="1292" spans="1:37" x14ac:dyDescent="0.25">
      <c r="A1292" t="s">
        <v>310</v>
      </c>
      <c r="B1292" s="4">
        <v>2024</v>
      </c>
      <c r="C1292" s="4" t="s">
        <v>33</v>
      </c>
      <c r="D1292" s="4" t="s">
        <v>77</v>
      </c>
      <c r="E1292" s="4" t="str">
        <f t="shared" si="396"/>
        <v>Enbridge-CAN</v>
      </c>
      <c r="F1292" s="4" t="s">
        <v>146</v>
      </c>
      <c r="G1292" s="4"/>
      <c r="H1292" s="4" t="s">
        <v>662</v>
      </c>
      <c r="I1292" s="5"/>
      <c r="J1292" s="4" t="s">
        <v>21</v>
      </c>
      <c r="K1292" s="69"/>
      <c r="L1292" s="5"/>
      <c r="M1292" s="8">
        <f>1040760.54928*0.74</f>
        <v>770162.80646720005</v>
      </c>
      <c r="N1292" s="8">
        <f>914220.542592*0.74</f>
        <v>676523.20151807996</v>
      </c>
      <c r="O1292" s="8">
        <f>SUMIFS(EIAwtransport!$J$2:$J$675,EIAwtransport!$E$2:$E$675,Program_data!$E1292,EIAwtransport!$H$2:$H$675,Program_data!$F1292,EIAwtransport!$I$2:$I$675,Program_data!O$2)</f>
        <v>2377068394.8298411</v>
      </c>
      <c r="P1292" s="5">
        <f>SUMIFS(EIAwtransport!$J$2:$J$675,EIAwtransport!$E$2:$E$675,Program_data!$E1292,EIAwtransport!$H$2:$H$675,Program_data!$F1292,EIAwtransport!$I$2:$I$675,Program_data!P$2)</f>
        <v>614176841.51999986</v>
      </c>
      <c r="Q1292" s="5">
        <f>SUMIFS(EIAwtransport!$J$2:$J$675,EIAwtransport!$E$2:$E$675,Program_data!$E1292,EIAwtransport!$H$2:$H$675,Program_data!$F1292,EIAwtransport!$I$2:$I$675,Program_data!Q$2)</f>
        <v>16513</v>
      </c>
      <c r="R1292" s="8">
        <f>SUMIFS(EIAwtransport!$J$2:$J$675,EIAwtransport!$E$2:$E$675,Program_data!$E1292,EIAwtransport!$I$2:$I$675,Program_data!R$2)</f>
        <v>3425062807.5999999</v>
      </c>
      <c r="S1292" s="5">
        <f>SUMIFS(EIAwtransport!$J$2:$J$675,EIAwtransport!$E$2:$E$675,Program_data!$E1292,EIAwtransport!$I$2:$I$675,Program_data!S$2)</f>
        <v>884953189.29599977</v>
      </c>
      <c r="T1292" s="5">
        <f>SUMIFS(EIAwtransport!$J$2:$J$675,EIAwtransport!$E$2:$E$675,Program_data!$E1292,EIAwtransport!$I$2:$I$675,Program_data!T$2)</f>
        <v>3728492</v>
      </c>
      <c r="U1292" s="24">
        <f t="shared" si="400"/>
        <v>0</v>
      </c>
      <c r="V1292" s="24">
        <f t="shared" si="397"/>
        <v>0</v>
      </c>
      <c r="W1292" s="24">
        <f t="shared" si="401"/>
        <v>2.2486092948668183E-4</v>
      </c>
      <c r="X1292" s="25">
        <f t="shared" si="402"/>
        <v>8.4004487619763148E-5</v>
      </c>
      <c r="Y1292" s="8">
        <f t="shared" si="415"/>
        <v>2.7063534951461538E-2</v>
      </c>
      <c r="Z1292" s="27">
        <f t="shared" si="416"/>
        <v>1.8880469782736446E-2</v>
      </c>
      <c r="AE1292" s="20">
        <f t="shared" si="398"/>
        <v>913306.32204940799</v>
      </c>
      <c r="AF1292" s="20">
        <f t="shared" si="399"/>
        <v>4623834790.2600002</v>
      </c>
      <c r="AG1292">
        <f t="shared" si="387"/>
        <v>0</v>
      </c>
      <c r="AH1292">
        <f t="shared" si="388"/>
        <v>0</v>
      </c>
      <c r="AI1292">
        <f t="shared" si="389"/>
        <v>93344862406.942062</v>
      </c>
    </row>
    <row r="1293" spans="1:37" x14ac:dyDescent="0.25">
      <c r="A1293" s="87" t="s">
        <v>310</v>
      </c>
      <c r="B1293" s="82">
        <v>2024</v>
      </c>
      <c r="C1293" s="82" t="s">
        <v>33</v>
      </c>
      <c r="D1293" s="82" t="s">
        <v>77</v>
      </c>
      <c r="E1293" s="82" t="str">
        <f t="shared" ref="E1293:E1320" si="417">D1293&amp;"-"&amp;C1293</f>
        <v>Enbridge-CAN</v>
      </c>
      <c r="F1293" s="82" t="s">
        <v>146</v>
      </c>
      <c r="G1293" s="82"/>
      <c r="H1293" s="82" t="s">
        <v>663</v>
      </c>
      <c r="I1293" s="83"/>
      <c r="J1293" s="4" t="s">
        <v>21</v>
      </c>
      <c r="K1293" s="84"/>
      <c r="L1293" s="83"/>
      <c r="M1293" s="84">
        <f>4581062.26812*0.74</f>
        <v>3389986.0784088001</v>
      </c>
      <c r="N1293" s="84">
        <f>4158499.769568*0.74</f>
        <v>3077289.8294803197</v>
      </c>
      <c r="O1293" s="84">
        <f>SUMIFS(EIAwtransport!$J$2:$J$675,EIAwtransport!$E$2:$E$675,Program_data!$E1293,EIAwtransport!$H$2:$H$675,Program_data!$F1293,EIAwtransport!$I$2:$I$675,Program_data!O$2)</f>
        <v>2377068394.8298411</v>
      </c>
      <c r="P1293" s="83">
        <f>SUMIFS(EIAwtransport!$J$2:$J$675,EIAwtransport!$E$2:$E$675,Program_data!$E1293,EIAwtransport!$H$2:$H$675,Program_data!$F1293,EIAwtransport!$I$2:$I$675,Program_data!P$2)</f>
        <v>614176841.51999986</v>
      </c>
      <c r="Q1293" s="83">
        <f>SUMIFS(EIAwtransport!$J$2:$J$675,EIAwtransport!$E$2:$E$675,Program_data!$E1293,EIAwtransport!$H$2:$H$675,Program_data!$F1293,EIAwtransport!$I$2:$I$675,Program_data!Q$2)</f>
        <v>16513</v>
      </c>
      <c r="R1293" s="84">
        <f>SUMIFS(EIAwtransport!$J$2:$J$675,EIAwtransport!$E$2:$E$675,Program_data!$E1293,EIAwtransport!$I$2:$I$675,Program_data!R$2)</f>
        <v>3425062807.5999999</v>
      </c>
      <c r="S1293" s="83">
        <f>SUMIFS(EIAwtransport!$J$2:$J$675,EIAwtransport!$E$2:$E$675,Program_data!$E1293,EIAwtransport!$I$2:$I$675,Program_data!S$2)</f>
        <v>884953189.29599977</v>
      </c>
      <c r="T1293" s="83">
        <f>SUMIFS(EIAwtransport!$J$2:$J$675,EIAwtransport!$E$2:$E$675,Program_data!$E1293,EIAwtransport!$I$2:$I$675,Program_data!T$2)</f>
        <v>3728492</v>
      </c>
      <c r="U1293" s="85">
        <f t="shared" si="400"/>
        <v>0</v>
      </c>
      <c r="V1293" s="85">
        <f t="shared" si="397"/>
        <v>0</v>
      </c>
      <c r="W1293" s="85">
        <f t="shared" si="401"/>
        <v>9.897588070170956E-4</v>
      </c>
      <c r="X1293" s="86">
        <f t="shared" si="402"/>
        <v>3.6975823963915285E-4</v>
      </c>
      <c r="Y1293" s="8">
        <f t="shared" si="415"/>
        <v>0.11912417211995276</v>
      </c>
      <c r="Z1293" s="27">
        <f t="shared" si="416"/>
        <v>8.3105194356098033E-2</v>
      </c>
      <c r="AA1293" s="87"/>
      <c r="AB1293" s="87"/>
      <c r="AC1293" s="87"/>
      <c r="AD1293" s="87"/>
      <c r="AE1293" s="88">
        <f t="shared" si="398"/>
        <v>4154341.269798432</v>
      </c>
      <c r="AF1293" s="88">
        <f t="shared" si="399"/>
        <v>4623834790.2600002</v>
      </c>
      <c r="AG1293" s="87">
        <f t="shared" ref="AG1293:AG1320" si="418">K1293*105.48</f>
        <v>0</v>
      </c>
      <c r="AH1293" s="87">
        <f t="shared" ref="AH1293:AH1320" si="419">L1293*105.48</f>
        <v>0</v>
      </c>
      <c r="AI1293" s="87">
        <f t="shared" ref="AI1293:AI1320" si="420">S1293*105.48</f>
        <v>93344862406.942062</v>
      </c>
      <c r="AJ1293" s="87"/>
      <c r="AK1293" s="87"/>
    </row>
    <row r="1294" spans="1:37" x14ac:dyDescent="0.25">
      <c r="A1294" t="s">
        <v>310</v>
      </c>
      <c r="B1294" s="4">
        <v>2024</v>
      </c>
      <c r="C1294" s="4" t="s">
        <v>33</v>
      </c>
      <c r="D1294" s="4" t="s">
        <v>77</v>
      </c>
      <c r="E1294" s="4" t="str">
        <f t="shared" si="417"/>
        <v>Enbridge-CAN</v>
      </c>
      <c r="F1294" s="4" t="s">
        <v>146</v>
      </c>
      <c r="G1294" s="4"/>
      <c r="H1294" s="4" t="s">
        <v>664</v>
      </c>
      <c r="I1294" s="5"/>
      <c r="J1294" s="4" t="s">
        <v>21</v>
      </c>
      <c r="K1294" s="8"/>
      <c r="L1294" s="5"/>
      <c r="M1294" s="8">
        <f>2068602.8957312*0.74</f>
        <v>1530766.1428410879</v>
      </c>
      <c r="N1294" s="8">
        <f>444528.9476352*0.74</f>
        <v>328951.42125004798</v>
      </c>
      <c r="O1294" s="8">
        <f>SUMIFS(EIAwtransport!$J$2:$J$675,EIAwtransport!$E$2:$E$675,Program_data!$E1294,EIAwtransport!$H$2:$H$675,Program_data!$F1294,EIAwtransport!$I$2:$I$675,Program_data!O$2)</f>
        <v>2377068394.8298411</v>
      </c>
      <c r="P1294" s="5">
        <f>SUMIFS(EIAwtransport!$J$2:$J$675,EIAwtransport!$E$2:$E$675,Program_data!$E1294,EIAwtransport!$H$2:$H$675,Program_data!$F1294,EIAwtransport!$I$2:$I$675,Program_data!P$2)</f>
        <v>614176841.51999986</v>
      </c>
      <c r="Q1294" s="5">
        <f>SUMIFS(EIAwtransport!$J$2:$J$675,EIAwtransport!$E$2:$E$675,Program_data!$E1294,EIAwtransport!$H$2:$H$675,Program_data!$F1294,EIAwtransport!$I$2:$I$675,Program_data!Q$2)</f>
        <v>16513</v>
      </c>
      <c r="R1294" s="8">
        <f>SUMIFS(EIAwtransport!$J$2:$J$675,EIAwtransport!$E$2:$E$675,Program_data!$E1294,EIAwtransport!$I$2:$I$675,Program_data!R$2)</f>
        <v>3425062807.5999999</v>
      </c>
      <c r="S1294" s="5">
        <f>SUMIFS(EIAwtransport!$J$2:$J$675,EIAwtransport!$E$2:$E$675,Program_data!$E1294,EIAwtransport!$I$2:$I$675,Program_data!S$2)</f>
        <v>884953189.29599977</v>
      </c>
      <c r="T1294" s="5">
        <f>SUMIFS(EIAwtransport!$J$2:$J$675,EIAwtransport!$E$2:$E$675,Program_data!$E1294,EIAwtransport!$I$2:$I$675,Program_data!T$2)</f>
        <v>3728492</v>
      </c>
      <c r="U1294" s="24">
        <f t="shared" si="400"/>
        <v>0</v>
      </c>
      <c r="V1294" s="24">
        <f t="shared" si="397"/>
        <v>0</v>
      </c>
      <c r="W1294" s="24">
        <f t="shared" si="401"/>
        <v>4.4693082399669098E-4</v>
      </c>
      <c r="X1294" s="25">
        <f t="shared" si="402"/>
        <v>1.669662887057676E-4</v>
      </c>
      <c r="Y1294" s="8">
        <f t="shared" si="415"/>
        <v>5.3791149950913782E-2</v>
      </c>
      <c r="Z1294" s="27">
        <f t="shared" si="416"/>
        <v>3.7526590042592574E-2</v>
      </c>
      <c r="AE1294" s="20">
        <f t="shared" si="398"/>
        <v>444084.41868756479</v>
      </c>
      <c r="AF1294" s="20">
        <f t="shared" si="399"/>
        <v>4623834790.2600002</v>
      </c>
      <c r="AG1294">
        <f t="shared" si="418"/>
        <v>0</v>
      </c>
      <c r="AH1294">
        <f t="shared" si="419"/>
        <v>0</v>
      </c>
      <c r="AI1294">
        <f t="shared" si="420"/>
        <v>93344862406.942062</v>
      </c>
    </row>
    <row r="1295" spans="1:37" x14ac:dyDescent="0.25">
      <c r="B1295" s="4">
        <v>2024</v>
      </c>
      <c r="C1295" s="4" t="s">
        <v>33</v>
      </c>
      <c r="D1295" s="4" t="s">
        <v>77</v>
      </c>
      <c r="E1295" s="4" t="str">
        <f t="shared" si="417"/>
        <v>Enbridge-CAN</v>
      </c>
      <c r="F1295" s="4" t="s">
        <v>146</v>
      </c>
      <c r="G1295" s="4"/>
      <c r="H1295" s="4" t="s">
        <v>665</v>
      </c>
      <c r="I1295" s="5"/>
      <c r="J1295" s="4" t="s">
        <v>61</v>
      </c>
      <c r="K1295" s="69">
        <v>14834654.911</v>
      </c>
      <c r="L1295" s="5">
        <f>(K1295/43.7)*100</f>
        <v>33946578.743707091</v>
      </c>
      <c r="M1295" s="8">
        <f>14815296*0.74</f>
        <v>10963319.039999999</v>
      </c>
      <c r="N1295" s="8">
        <f>14379552*0.74</f>
        <v>10640868.48</v>
      </c>
      <c r="O1295" s="8">
        <f>SUMIFS(EIAwtransport!$J$2:$J$675,EIAwtransport!$E$2:$E$675,Program_data!$E1295,EIAwtransport!$H$2:$H$675,Program_data!$F1295,EIAwtransport!$I$2:$I$675,Program_data!O$2)</f>
        <v>2377068394.8298411</v>
      </c>
      <c r="P1295" s="5">
        <f>SUMIFS(EIAwtransport!$J$2:$J$675,EIAwtransport!$E$2:$E$675,Program_data!$E1295,EIAwtransport!$H$2:$H$675,Program_data!$F1295,EIAwtransport!$I$2:$I$675,Program_data!P$2)</f>
        <v>614176841.51999986</v>
      </c>
      <c r="Q1295" s="5">
        <f>SUMIFS(EIAwtransport!$J$2:$J$675,EIAwtransport!$E$2:$E$675,Program_data!$E1295,EIAwtransport!$H$2:$H$675,Program_data!$F1295,EIAwtransport!$I$2:$I$675,Program_data!Q$2)</f>
        <v>16513</v>
      </c>
      <c r="R1295" s="8">
        <f>SUMIFS(EIAwtransport!$J$2:$J$675,EIAwtransport!$E$2:$E$675,Program_data!$E1295,EIAwtransport!$I$2:$I$675,Program_data!R$2)</f>
        <v>3425062807.5999999</v>
      </c>
      <c r="S1295" s="5">
        <f>SUMIFS(EIAwtransport!$J$2:$J$675,EIAwtransport!$E$2:$E$675,Program_data!$E1295,EIAwtransport!$I$2:$I$675,Program_data!S$2)</f>
        <v>884953189.29599977</v>
      </c>
      <c r="T1295" s="5">
        <f>SUMIFS(EIAwtransport!$J$2:$J$675,EIAwtransport!$E$2:$E$675,Program_data!$E1295,EIAwtransport!$I$2:$I$675,Program_data!T$2)</f>
        <v>3728492</v>
      </c>
      <c r="U1295" s="24">
        <f t="shared" si="400"/>
        <v>1.6180703279231009E-3</v>
      </c>
      <c r="V1295" s="24">
        <f t="shared" si="397"/>
        <v>3.702678095933869E-3</v>
      </c>
      <c r="W1295" s="24">
        <f t="shared" si="401"/>
        <v>3.2009103645261865E-3</v>
      </c>
      <c r="X1295" s="25">
        <f t="shared" si="402"/>
        <v>1.1958094974642429E-3</v>
      </c>
      <c r="Y1295" s="8">
        <f t="shared" si="415"/>
        <v>0.38525122939145723</v>
      </c>
      <c r="Z1295" s="27">
        <f t="shared" si="416"/>
        <v>0.26876474962834312</v>
      </c>
      <c r="AE1295" s="20">
        <f t="shared" si="398"/>
        <v>14365172.448000001</v>
      </c>
      <c r="AF1295" s="20">
        <f t="shared" si="399"/>
        <v>4623834790.2600002</v>
      </c>
      <c r="AG1295">
        <f t="shared" si="418"/>
        <v>1564759400.01228</v>
      </c>
      <c r="AH1295">
        <f t="shared" si="419"/>
        <v>3580685125.8862243</v>
      </c>
      <c r="AI1295">
        <f t="shared" si="420"/>
        <v>93344862406.942062</v>
      </c>
    </row>
    <row r="1296" spans="1:37" x14ac:dyDescent="0.25">
      <c r="B1296" s="4">
        <v>2024</v>
      </c>
      <c r="C1296" s="4" t="s">
        <v>33</v>
      </c>
      <c r="D1296" s="4" t="s">
        <v>77</v>
      </c>
      <c r="E1296" s="4" t="str">
        <f t="shared" si="417"/>
        <v>Enbridge-CAN</v>
      </c>
      <c r="F1296" s="4" t="s">
        <v>146</v>
      </c>
      <c r="G1296" s="4"/>
      <c r="H1296" s="5" t="s">
        <v>666</v>
      </c>
      <c r="I1296" s="5"/>
      <c r="J1296" s="5" t="s">
        <v>155</v>
      </c>
      <c r="K1296" s="89">
        <v>0</v>
      </c>
      <c r="L1296" s="5">
        <v>0</v>
      </c>
      <c r="M1296" s="8">
        <f>1171140*0.74</f>
        <v>866643.6</v>
      </c>
      <c r="N1296" s="8">
        <f>668100*0.74</f>
        <v>494394</v>
      </c>
      <c r="O1296" s="8">
        <f>SUMIFS(EIAwtransport!$J$2:$J$675,EIAwtransport!$E$2:$E$675,Program_data!$E1296,EIAwtransport!$H$2:$H$675,Program_data!$F1296,EIAwtransport!$I$2:$I$675,Program_data!O$2)</f>
        <v>2377068394.8298411</v>
      </c>
      <c r="P1296" s="5">
        <f>SUMIFS(EIAwtransport!$J$2:$J$675,EIAwtransport!$E$2:$E$675,Program_data!$E1296,EIAwtransport!$H$2:$H$675,Program_data!$F1296,EIAwtransport!$I$2:$I$675,Program_data!P$2)</f>
        <v>614176841.51999986</v>
      </c>
      <c r="Q1296" s="5">
        <f>SUMIFS(EIAwtransport!$J$2:$J$675,EIAwtransport!$E$2:$E$675,Program_data!$E1296,EIAwtransport!$H$2:$H$675,Program_data!$F1296,EIAwtransport!$I$2:$I$675,Program_data!Q$2)</f>
        <v>16513</v>
      </c>
      <c r="R1296" s="8">
        <f>SUMIFS(EIAwtransport!$J$2:$J$675,EIAwtransport!$E$2:$E$675,Program_data!$E1296,EIAwtransport!$I$2:$I$675,Program_data!R$2)</f>
        <v>3425062807.5999999</v>
      </c>
      <c r="S1296" s="5">
        <f>SUMIFS(EIAwtransport!$J$2:$J$675,EIAwtransport!$E$2:$E$675,Program_data!$E1296,EIAwtransport!$I$2:$I$675,Program_data!S$2)</f>
        <v>884953189.29599977</v>
      </c>
      <c r="T1296" s="5">
        <f>SUMIFS(EIAwtransport!$J$2:$J$675,EIAwtransport!$E$2:$E$675,Program_data!$E1296,EIAwtransport!$I$2:$I$675,Program_data!T$2)</f>
        <v>3728492</v>
      </c>
      <c r="U1296" s="24">
        <f t="shared" si="400"/>
        <v>0</v>
      </c>
      <c r="V1296" s="24">
        <f t="shared" si="397"/>
        <v>0</v>
      </c>
      <c r="W1296" s="24">
        <f t="shared" si="401"/>
        <v>2.5302998767700615E-4</v>
      </c>
      <c r="X1296" s="25">
        <f t="shared" si="402"/>
        <v>9.4528002333552663E-5</v>
      </c>
      <c r="Y1296" s="8">
        <f t="shared" si="415"/>
        <v>3.0453871781536541E-2</v>
      </c>
      <c r="Z1296" s="27">
        <f t="shared" si="416"/>
        <v>2.1245687489452644E-2</v>
      </c>
      <c r="AE1296" s="20">
        <f t="shared" si="398"/>
        <v>667431.9</v>
      </c>
      <c r="AF1296" s="20">
        <f t="shared" si="399"/>
        <v>4623834790.2600002</v>
      </c>
      <c r="AG1296">
        <f t="shared" si="418"/>
        <v>0</v>
      </c>
      <c r="AH1296">
        <f t="shared" si="419"/>
        <v>0</v>
      </c>
      <c r="AI1296">
        <f t="shared" si="420"/>
        <v>93344862406.942062</v>
      </c>
    </row>
    <row r="1297" spans="2:35" x14ac:dyDescent="0.25">
      <c r="B1297" s="4">
        <v>2024</v>
      </c>
      <c r="C1297" s="4" t="s">
        <v>33</v>
      </c>
      <c r="D1297" s="4" t="s">
        <v>77</v>
      </c>
      <c r="E1297" s="4" t="str">
        <f t="shared" si="417"/>
        <v>Enbridge-CAN</v>
      </c>
      <c r="F1297" s="4" t="s">
        <v>146</v>
      </c>
      <c r="G1297" s="4"/>
      <c r="H1297" s="5" t="s">
        <v>667</v>
      </c>
      <c r="I1297" s="5"/>
      <c r="J1297" s="5" t="s">
        <v>61</v>
      </c>
      <c r="K1297" s="69">
        <v>4652245.3909999998</v>
      </c>
      <c r="L1297" s="5">
        <f>(K1297/15.3)*100</f>
        <v>30406832.620915033</v>
      </c>
      <c r="M1297" s="8">
        <f>2723400*0.74</f>
        <v>2015316</v>
      </c>
      <c r="N1297" s="8">
        <f>2668932*0.74</f>
        <v>1975009.68</v>
      </c>
      <c r="O1297" s="8">
        <f>SUMIFS(EIAwtransport!$J$2:$J$675,EIAwtransport!$E$2:$E$675,Program_data!$E1297,EIAwtransport!$H$2:$H$675,Program_data!$F1297,EIAwtransport!$I$2:$I$675,Program_data!O$2)</f>
        <v>2377068394.8298411</v>
      </c>
      <c r="P1297" s="5">
        <f>SUMIFS(EIAwtransport!$J$2:$J$675,EIAwtransport!$E$2:$E$675,Program_data!$E1297,EIAwtransport!$H$2:$H$675,Program_data!$F1297,EIAwtransport!$I$2:$I$675,Program_data!P$2)</f>
        <v>614176841.51999986</v>
      </c>
      <c r="Q1297" s="5">
        <f>SUMIFS(EIAwtransport!$J$2:$J$675,EIAwtransport!$E$2:$E$675,Program_data!$E1297,EIAwtransport!$H$2:$H$675,Program_data!$F1297,EIAwtransport!$I$2:$I$675,Program_data!Q$2)</f>
        <v>16513</v>
      </c>
      <c r="R1297" s="8">
        <f>SUMIFS(EIAwtransport!$J$2:$J$675,EIAwtransport!$E$2:$E$675,Program_data!$E1297,EIAwtransport!$I$2:$I$675,Program_data!R$2)</f>
        <v>3425062807.5999999</v>
      </c>
      <c r="S1297" s="5">
        <f>SUMIFS(EIAwtransport!$J$2:$J$675,EIAwtransport!$E$2:$E$675,Program_data!$E1297,EIAwtransport!$I$2:$I$675,Program_data!S$2)</f>
        <v>884953189.29599977</v>
      </c>
      <c r="T1297" s="5">
        <f>SUMIFS(EIAwtransport!$J$2:$J$675,EIAwtransport!$E$2:$E$675,Program_data!$E1297,EIAwtransport!$I$2:$I$675,Program_data!T$2)</f>
        <v>3728492</v>
      </c>
      <c r="U1297" s="24">
        <f t="shared" si="400"/>
        <v>5.0743750161739802E-4</v>
      </c>
      <c r="V1297" s="24">
        <f t="shared" si="397"/>
        <v>3.3165849778914905E-3</v>
      </c>
      <c r="W1297" s="24">
        <f t="shared" si="401"/>
        <v>5.8840264053790193E-4</v>
      </c>
      <c r="X1297" s="25">
        <f t="shared" si="402"/>
        <v>2.1981792232798588E-4</v>
      </c>
      <c r="Y1297" s="8">
        <f t="shared" si="415"/>
        <v>7.0818240696959051E-2</v>
      </c>
      <c r="Z1297" s="27">
        <f t="shared" si="416"/>
        <v>4.9405284858151315E-2</v>
      </c>
      <c r="AE1297" s="20">
        <f t="shared" si="398"/>
        <v>2666263.068</v>
      </c>
      <c r="AF1297" s="20">
        <f t="shared" si="399"/>
        <v>4623834790.2600002</v>
      </c>
      <c r="AG1297">
        <f t="shared" si="418"/>
        <v>490718843.84267998</v>
      </c>
      <c r="AH1297">
        <f t="shared" si="419"/>
        <v>3207312704.8541179</v>
      </c>
      <c r="AI1297">
        <f t="shared" si="420"/>
        <v>93344862406.942062</v>
      </c>
    </row>
    <row r="1298" spans="2:35" x14ac:dyDescent="0.25">
      <c r="B1298" s="4">
        <v>2024</v>
      </c>
      <c r="C1298" s="4" t="s">
        <v>33</v>
      </c>
      <c r="D1298" s="4" t="s">
        <v>77</v>
      </c>
      <c r="E1298" s="4" t="str">
        <f t="shared" si="417"/>
        <v>Enbridge-CAN</v>
      </c>
      <c r="F1298" s="4" t="s">
        <v>143</v>
      </c>
      <c r="G1298" s="4">
        <v>1</v>
      </c>
      <c r="H1298" s="5" t="s">
        <v>668</v>
      </c>
      <c r="I1298" s="5"/>
      <c r="J1298" s="5" t="s">
        <v>27</v>
      </c>
      <c r="K1298" s="69">
        <v>978538.951</v>
      </c>
      <c r="L1298" s="5">
        <v>978538.951</v>
      </c>
      <c r="M1298" s="8">
        <f>15352622.52*0.74</f>
        <v>11360940.664799999</v>
      </c>
      <c r="N1298" s="8">
        <f>10158554.34*0.74</f>
        <v>7517330.2116</v>
      </c>
      <c r="O1298" s="8">
        <f>SUMIFS(EIAwtransport!$J$2:$J$675,EIAwtransport!$E$2:$E$675,Program_data!$E1298,EIAwtransport!$H$2:$H$675,Program_data!$F1298,EIAwtransport!$I$2:$I$675,Program_data!O$2)</f>
        <v>0</v>
      </c>
      <c r="P1298" s="5">
        <f>SUMIFS(EIAwtransport!$J$2:$J$675,EIAwtransport!$E$2:$E$675,Program_data!$E1298,EIAwtransport!$H$2:$H$675,Program_data!$F1298,EIAwtransport!$I$2:$I$675,Program_data!P$2)</f>
        <v>0</v>
      </c>
      <c r="Q1298" s="5">
        <f>SUMIFS(EIAwtransport!$J$2:$J$675,EIAwtransport!$E$2:$E$675,Program_data!$E1298,EIAwtransport!$H$2:$H$675,Program_data!$F1298,EIAwtransport!$I$2:$I$675,Program_data!Q$2)</f>
        <v>0</v>
      </c>
      <c r="R1298" s="8">
        <f>SUMIFS(EIAwtransport!$J$2:$J$675,EIAwtransport!$E$2:$E$675,Program_data!$E1298,EIAwtransport!$I$2:$I$675,Program_data!R$2)</f>
        <v>3425062807.5999999</v>
      </c>
      <c r="S1298" s="5">
        <f>SUMIFS(EIAwtransport!$J$2:$J$675,EIAwtransport!$E$2:$E$675,Program_data!$E1298,EIAwtransport!$I$2:$I$675,Program_data!S$2)</f>
        <v>884953189.29599977</v>
      </c>
      <c r="T1298" s="5">
        <f>SUMIFS(EIAwtransport!$J$2:$J$675,EIAwtransport!$E$2:$E$675,Program_data!$E1298,EIAwtransport!$I$2:$I$675,Program_data!T$2)</f>
        <v>3728492</v>
      </c>
      <c r="U1298" s="24">
        <f t="shared" si="400"/>
        <v>1.067328394781894E-4</v>
      </c>
      <c r="V1298" s="24">
        <f t="shared" si="397"/>
        <v>1.067328394781894E-4</v>
      </c>
      <c r="W1298" s="24">
        <f t="shared" si="401"/>
        <v>3.317002140687985E-3</v>
      </c>
      <c r="X1298" s="25">
        <f t="shared" si="402"/>
        <v>1.2391795493251988E-3</v>
      </c>
      <c r="Y1298" s="8">
        <f t="shared" si="415"/>
        <v>4.4508656979974912</v>
      </c>
      <c r="Z1298" s="27">
        <f t="shared" si="416"/>
        <v>0.278512406888547</v>
      </c>
      <c r="AE1298" s="20">
        <f t="shared" si="398"/>
        <v>10148395.785660001</v>
      </c>
      <c r="AF1298" s="20">
        <f t="shared" si="399"/>
        <v>4623834790.2600002</v>
      </c>
      <c r="AG1298">
        <f t="shared" si="418"/>
        <v>103216288.55148001</v>
      </c>
      <c r="AH1298">
        <f t="shared" si="419"/>
        <v>103216288.55148001</v>
      </c>
      <c r="AI1298">
        <f t="shared" si="420"/>
        <v>93344862406.942062</v>
      </c>
    </row>
    <row r="1299" spans="2:35" x14ac:dyDescent="0.25">
      <c r="B1299" s="4">
        <v>2024</v>
      </c>
      <c r="C1299" s="4" t="s">
        <v>33</v>
      </c>
      <c r="D1299" s="4" t="s">
        <v>77</v>
      </c>
      <c r="E1299" s="4" t="str">
        <f t="shared" si="417"/>
        <v>Enbridge-CAN</v>
      </c>
      <c r="F1299" s="4" t="s">
        <v>143</v>
      </c>
      <c r="G1299" s="4">
        <v>1</v>
      </c>
      <c r="H1299" s="5" t="s">
        <v>669</v>
      </c>
      <c r="I1299" s="5"/>
      <c r="J1299" s="4" t="s">
        <v>21</v>
      </c>
      <c r="K1299" s="69">
        <v>1573984.858</v>
      </c>
      <c r="L1299" s="5">
        <v>1573984.858</v>
      </c>
      <c r="M1299" s="8">
        <f>7624375.5436*0.74</f>
        <v>5642037.9022639999</v>
      </c>
      <c r="N1299" s="8">
        <f>6518674.6836*0.74</f>
        <v>4823819.2658639997</v>
      </c>
      <c r="O1299" s="8">
        <f>SUMIFS(EIAwtransport!$J$2:$J$675,EIAwtransport!$E$2:$E$675,Program_data!$E1299,EIAwtransport!$H$2:$H$675,Program_data!$F1299,EIAwtransport!$I$2:$I$675,Program_data!O$2)</f>
        <v>0</v>
      </c>
      <c r="P1299" s="5">
        <f>SUMIFS(EIAwtransport!$J$2:$J$675,EIAwtransport!$E$2:$E$675,Program_data!$E1299,EIAwtransport!$H$2:$H$675,Program_data!$F1299,EIAwtransport!$I$2:$I$675,Program_data!P$2)</f>
        <v>0</v>
      </c>
      <c r="Q1299" s="5">
        <f>SUMIFS(EIAwtransport!$J$2:$J$675,EIAwtransport!$E$2:$E$675,Program_data!$E1299,EIAwtransport!$H$2:$H$675,Program_data!$F1299,EIAwtransport!$I$2:$I$675,Program_data!Q$2)</f>
        <v>0</v>
      </c>
      <c r="R1299" s="8">
        <f>SUMIFS(EIAwtransport!$J$2:$J$675,EIAwtransport!$E$2:$E$675,Program_data!$E1299,EIAwtransport!$I$2:$I$675,Program_data!R$2)</f>
        <v>3425062807.5999999</v>
      </c>
      <c r="S1299" s="5">
        <f>SUMIFS(EIAwtransport!$J$2:$J$675,EIAwtransport!$E$2:$E$675,Program_data!$E1299,EIAwtransport!$I$2:$I$675,Program_data!S$2)</f>
        <v>884953189.29599977</v>
      </c>
      <c r="T1299" s="5">
        <f>SUMIFS(EIAwtransport!$J$2:$J$675,EIAwtransport!$E$2:$E$675,Program_data!$E1299,EIAwtransport!$I$2:$I$675,Program_data!T$2)</f>
        <v>3728492</v>
      </c>
      <c r="U1299" s="24">
        <f t="shared" si="400"/>
        <v>1.7168031279524889E-4</v>
      </c>
      <c r="V1299" s="24">
        <f t="shared" si="397"/>
        <v>1.7168031279524889E-4</v>
      </c>
      <c r="W1299" s="24">
        <f t="shared" si="401"/>
        <v>1.6472801286284945E-3</v>
      </c>
      <c r="X1299" s="25">
        <f t="shared" si="402"/>
        <v>6.1539780826997857E-4</v>
      </c>
      <c r="Y1299" s="8">
        <f t="shared" si="415"/>
        <v>2.2103762097617325</v>
      </c>
      <c r="Z1299" s="27">
        <f t="shared" si="416"/>
        <v>0.13831403598335915</v>
      </c>
      <c r="AE1299" s="20">
        <f t="shared" si="398"/>
        <v>6512156.0089164004</v>
      </c>
      <c r="AF1299" s="20">
        <f t="shared" si="399"/>
        <v>4623834790.2600002</v>
      </c>
      <c r="AG1299">
        <f t="shared" si="418"/>
        <v>166023922.82184002</v>
      </c>
      <c r="AH1299">
        <f t="shared" si="419"/>
        <v>166023922.82184002</v>
      </c>
      <c r="AI1299">
        <f t="shared" si="420"/>
        <v>93344862406.942062</v>
      </c>
    </row>
    <row r="1300" spans="2:35" x14ac:dyDescent="0.25">
      <c r="B1300" s="4">
        <v>2024</v>
      </c>
      <c r="C1300" s="4" t="s">
        <v>33</v>
      </c>
      <c r="D1300" s="4" t="s">
        <v>77</v>
      </c>
      <c r="E1300" s="4" t="str">
        <f t="shared" si="417"/>
        <v>Enbridge-CAN</v>
      </c>
      <c r="F1300" s="4" t="s">
        <v>306</v>
      </c>
      <c r="G1300" s="4"/>
      <c r="H1300" s="5" t="s">
        <v>155</v>
      </c>
      <c r="I1300" s="5"/>
      <c r="J1300" s="5" t="s">
        <v>155</v>
      </c>
      <c r="K1300" s="69">
        <v>0</v>
      </c>
      <c r="L1300" s="5">
        <v>0</v>
      </c>
      <c r="M1300" s="8">
        <f>19608479.9989137*0.74</f>
        <v>14510275.199196139</v>
      </c>
      <c r="N1300" s="8"/>
      <c r="O1300" s="8">
        <f>SUMIFS(EIAwtransport!$J$2:$J$675,EIAwtransport!$E$2:$E$675,Program_data!$E1300,EIAwtransport!$H$2:$H$675,Program_data!$F1300,EIAwtransport!$I$2:$I$675,Program_data!O$2)</f>
        <v>0</v>
      </c>
      <c r="P1300" s="5">
        <f>SUMIFS(EIAwtransport!$J$2:$J$675,EIAwtransport!$E$2:$E$675,Program_data!$E1300,EIAwtransport!$H$2:$H$675,Program_data!$F1300,EIAwtransport!$I$2:$I$675,Program_data!P$2)</f>
        <v>0</v>
      </c>
      <c r="Q1300" s="5">
        <f>SUMIFS(EIAwtransport!$J$2:$J$675,EIAwtransport!$E$2:$E$675,Program_data!$E1300,EIAwtransport!$H$2:$H$675,Program_data!$F1300,EIAwtransport!$I$2:$I$675,Program_data!Q$2)</f>
        <v>0</v>
      </c>
      <c r="R1300" s="8">
        <f>SUMIFS(EIAwtransport!$J$2:$J$675,EIAwtransport!$E$2:$E$675,Program_data!$E1300,EIAwtransport!$I$2:$I$675,Program_data!R$2)</f>
        <v>3425062807.5999999</v>
      </c>
      <c r="S1300" s="5">
        <f>SUMIFS(EIAwtransport!$J$2:$J$675,EIAwtransport!$E$2:$E$675,Program_data!$E1300,EIAwtransport!$I$2:$I$675,Program_data!S$2)</f>
        <v>884953189.29599977</v>
      </c>
      <c r="T1300" s="5">
        <f>SUMIFS(EIAwtransport!$J$2:$J$675,EIAwtransport!$E$2:$E$675,Program_data!$E1300,EIAwtransport!$I$2:$I$675,Program_data!T$2)</f>
        <v>3728492</v>
      </c>
      <c r="U1300" s="24">
        <f t="shared" si="400"/>
        <v>0</v>
      </c>
      <c r="V1300" s="24">
        <f t="shared" si="397"/>
        <v>0</v>
      </c>
      <c r="W1300" s="24">
        <f t="shared" si="401"/>
        <v>4.2364990116381942E-3</v>
      </c>
      <c r="X1300" s="25">
        <f t="shared" si="402"/>
        <v>1.582689040673818E-3</v>
      </c>
      <c r="Y1300" s="8" t="str">
        <f t="shared" si="415"/>
        <v/>
      </c>
      <c r="Z1300" s="27">
        <f t="shared" si="416"/>
        <v>0.3557180509589829</v>
      </c>
      <c r="AE1300" s="20">
        <f t="shared" si="398"/>
        <v>0</v>
      </c>
      <c r="AF1300" s="20">
        <f t="shared" si="399"/>
        <v>4623834790.2600002</v>
      </c>
      <c r="AG1300">
        <f t="shared" si="418"/>
        <v>0</v>
      </c>
      <c r="AH1300">
        <f t="shared" si="419"/>
        <v>0</v>
      </c>
      <c r="AI1300">
        <f t="shared" si="420"/>
        <v>93344862406.942062</v>
      </c>
    </row>
    <row r="1301" spans="2:35" x14ac:dyDescent="0.25">
      <c r="B1301" s="58">
        <v>2025</v>
      </c>
      <c r="C1301" s="58" t="s">
        <v>33</v>
      </c>
      <c r="D1301" s="58" t="s">
        <v>77</v>
      </c>
      <c r="E1301" s="58" t="str">
        <f t="shared" si="417"/>
        <v>Enbridge-CAN</v>
      </c>
      <c r="F1301" s="4" t="s">
        <v>135</v>
      </c>
      <c r="G1301" s="58"/>
      <c r="H1301" s="57" t="s">
        <v>652</v>
      </c>
      <c r="I1301" s="57"/>
      <c r="J1301" s="58" t="s">
        <v>142</v>
      </c>
      <c r="K1301" s="57">
        <v>11076978.901000001</v>
      </c>
      <c r="L1301" s="57">
        <f>(K1301/92.9)*100</f>
        <v>11923551.023681378</v>
      </c>
      <c r="M1301" s="59">
        <f>SUM(M1302:M1304)</f>
        <v>60037420.338843442</v>
      </c>
      <c r="N1301" s="59">
        <f>SUM(N1302:N1304)</f>
        <v>54525844.888681039</v>
      </c>
      <c r="O1301" s="8">
        <f>SUMIFS(EIAwtransport!$J$2:$J$675,EIAwtransport!$E$2:$E$675,Program_data!$E1301,EIAwtransport!$H$2:$H$675,Program_data!$F1301,EIAwtransport!$I$2:$I$675,Program_data!O$2)</f>
        <v>1047994412.7701588</v>
      </c>
      <c r="P1301" s="5">
        <f>SUMIFS(EIAwtransport!$J$2:$J$675,EIAwtransport!$E$2:$E$675,Program_data!$E1301,EIAwtransport!$H$2:$H$675,Program_data!$F1301,EIAwtransport!$I$2:$I$675,Program_data!P$2)</f>
        <v>270776347.77599996</v>
      </c>
      <c r="Q1301" s="5">
        <f>SUMIFS(EIAwtransport!$J$2:$J$675,EIAwtransport!$E$2:$E$675,Program_data!$E1301,EIAwtransport!$H$2:$H$675,Program_data!$F1301,EIAwtransport!$I$2:$I$675,Program_data!Q$2)</f>
        <v>3711979</v>
      </c>
      <c r="R1301" s="8">
        <f>SUMIFS(EIAwtransport!$J$2:$J$675,EIAwtransport!$E$2:$E$675,Program_data!$E1301,EIAwtransport!$I$2:$I$675,Program_data!R$2)</f>
        <v>3425062807.5999999</v>
      </c>
      <c r="S1301" s="5">
        <f>SUMIFS(EIAwtransport!$J$2:$J$675,EIAwtransport!$E$2:$E$675,Program_data!$E1301,EIAwtransport!$I$2:$I$675,Program_data!S$2)</f>
        <v>884953189.29599977</v>
      </c>
      <c r="T1301" s="5">
        <f>SUMIFS(EIAwtransport!$J$2:$J$675,EIAwtransport!$E$2:$E$675,Program_data!$E1301,EIAwtransport!$I$2:$I$675,Program_data!T$2)</f>
        <v>3728492</v>
      </c>
      <c r="U1301" s="24">
        <f t="shared" ref="U1301:U1364" si="421">IFERROR(K1301/10.36/S1301,"")</f>
        <v>1.2082067961990855E-3</v>
      </c>
      <c r="V1301" s="24">
        <f t="shared" si="397"/>
        <v>1.3005455287395968E-3</v>
      </c>
      <c r="W1301" s="24">
        <f t="shared" ref="W1301:W1364" si="422">IFERROR(M1301/R1301,"")</f>
        <v>1.7528852377721123E-2</v>
      </c>
      <c r="X1301" s="25">
        <f t="shared" ref="X1301:X1364" si="423">IFERROR(M1301/S1301/10.36,"")</f>
        <v>6.5485020715443758E-3</v>
      </c>
      <c r="Y1301" s="8">
        <f t="shared" si="415"/>
        <v>5.420017576581591</v>
      </c>
      <c r="Z1301" s="27">
        <f t="shared" si="416"/>
        <v>1.4085405217428699</v>
      </c>
      <c r="AE1301" s="20">
        <f t="shared" si="398"/>
        <v>73609890.599719405</v>
      </c>
      <c r="AF1301" s="20">
        <f t="shared" si="399"/>
        <v>4623834790.2600002</v>
      </c>
      <c r="AG1301">
        <f t="shared" si="418"/>
        <v>1168399734.4774802</v>
      </c>
      <c r="AH1301">
        <f t="shared" si="419"/>
        <v>1257696161.9779117</v>
      </c>
      <c r="AI1301">
        <f t="shared" si="420"/>
        <v>93344862406.942062</v>
      </c>
    </row>
    <row r="1302" spans="2:35" x14ac:dyDescent="0.25">
      <c r="B1302" s="4">
        <v>2025</v>
      </c>
      <c r="C1302" s="4" t="s">
        <v>33</v>
      </c>
      <c r="D1302" s="4" t="s">
        <v>77</v>
      </c>
      <c r="E1302" s="4" t="str">
        <f t="shared" si="417"/>
        <v>Enbridge-CAN</v>
      </c>
      <c r="F1302" s="4" t="s">
        <v>135</v>
      </c>
      <c r="G1302" s="4"/>
      <c r="H1302" s="5" t="s">
        <v>461</v>
      </c>
      <c r="I1302" s="5"/>
      <c r="J1302" s="5"/>
      <c r="K1302" s="5"/>
      <c r="L1302" s="5"/>
      <c r="M1302" s="8">
        <f>71768971.571126*0.74</f>
        <v>53109038.962633237</v>
      </c>
      <c r="N1302" s="8">
        <f>66772991.8354949*0.74</f>
        <v>49412013.958266221</v>
      </c>
      <c r="O1302" s="8">
        <f>SUMIFS(EIAwtransport!$J$2:$J$675,EIAwtransport!$E$2:$E$675,Program_data!$E1302,EIAwtransport!$H$2:$H$675,Program_data!$F1302,EIAwtransport!$I$2:$I$675,Program_data!O$2)</f>
        <v>1047994412.7701588</v>
      </c>
      <c r="P1302" s="5">
        <f>SUMIFS(EIAwtransport!$J$2:$J$675,EIAwtransport!$E$2:$E$675,Program_data!$E1302,EIAwtransport!$H$2:$H$675,Program_data!$F1302,EIAwtransport!$I$2:$I$675,Program_data!P$2)</f>
        <v>270776347.77599996</v>
      </c>
      <c r="Q1302" s="5">
        <f>SUMIFS(EIAwtransport!$J$2:$J$675,EIAwtransport!$E$2:$E$675,Program_data!$E1302,EIAwtransport!$H$2:$H$675,Program_data!$F1302,EIAwtransport!$I$2:$I$675,Program_data!Q$2)</f>
        <v>3711979</v>
      </c>
      <c r="R1302" s="8">
        <f>SUMIFS(EIAwtransport!$J$2:$J$675,EIAwtransport!$E$2:$E$675,Program_data!$E1302,EIAwtransport!$I$2:$I$675,Program_data!R$2)</f>
        <v>3425062807.5999999</v>
      </c>
      <c r="S1302" s="5">
        <f>SUMIFS(EIAwtransport!$J$2:$J$675,EIAwtransport!$E$2:$E$675,Program_data!$E1302,EIAwtransport!$I$2:$I$675,Program_data!S$2)</f>
        <v>884953189.29599977</v>
      </c>
      <c r="T1302" s="5">
        <f>SUMIFS(EIAwtransport!$J$2:$J$675,EIAwtransport!$E$2:$E$675,Program_data!$E1302,EIAwtransport!$I$2:$I$675,Program_data!T$2)</f>
        <v>3728492</v>
      </c>
      <c r="U1302" s="24">
        <f t="shared" si="421"/>
        <v>0</v>
      </c>
      <c r="V1302" s="24">
        <f t="shared" si="397"/>
        <v>0</v>
      </c>
      <c r="W1302" s="24">
        <f t="shared" si="422"/>
        <v>1.5506004399331775E-2</v>
      </c>
      <c r="X1302" s="25">
        <f t="shared" si="423"/>
        <v>5.7927980533088045E-3</v>
      </c>
      <c r="Y1302" s="8">
        <f t="shared" si="415"/>
        <v>4.7945418545338834</v>
      </c>
      <c r="Z1302" s="27">
        <f t="shared" si="416"/>
        <v>1.2459934658666729</v>
      </c>
      <c r="AE1302" s="20">
        <f t="shared" si="398"/>
        <v>66706218.843659401</v>
      </c>
      <c r="AF1302" s="20">
        <f t="shared" si="399"/>
        <v>4623834790.2600002</v>
      </c>
      <c r="AG1302">
        <f t="shared" si="418"/>
        <v>0</v>
      </c>
      <c r="AH1302">
        <f t="shared" si="419"/>
        <v>0</v>
      </c>
      <c r="AI1302">
        <f t="shared" si="420"/>
        <v>93344862406.942062</v>
      </c>
    </row>
    <row r="1303" spans="2:35" x14ac:dyDescent="0.25">
      <c r="B1303" s="4">
        <v>2025</v>
      </c>
      <c r="C1303" s="4" t="s">
        <v>33</v>
      </c>
      <c r="D1303" s="4" t="s">
        <v>77</v>
      </c>
      <c r="E1303" s="4" t="str">
        <f t="shared" si="417"/>
        <v>Enbridge-CAN</v>
      </c>
      <c r="F1303" s="4" t="s">
        <v>135</v>
      </c>
      <c r="G1303" s="4"/>
      <c r="H1303" s="5" t="s">
        <v>653</v>
      </c>
      <c r="I1303" s="5"/>
      <c r="J1303" s="5"/>
      <c r="K1303" s="5"/>
      <c r="L1303" s="5"/>
      <c r="M1303" s="8">
        <f>5030036.5098192*0.74</f>
        <v>3722227.0172662083</v>
      </c>
      <c r="N1303" s="8">
        <f>3875761.2423984*0.74</f>
        <v>2868063.319374816</v>
      </c>
      <c r="O1303" s="8">
        <f>SUMIFS(EIAwtransport!$J$2:$J$675,EIAwtransport!$E$2:$E$675,Program_data!$E1303,EIAwtransport!$H$2:$H$675,Program_data!$F1303,EIAwtransport!$I$2:$I$675,Program_data!O$2)</f>
        <v>1047994412.7701588</v>
      </c>
      <c r="P1303" s="5">
        <f>SUMIFS(EIAwtransport!$J$2:$J$675,EIAwtransport!$E$2:$E$675,Program_data!$E1303,EIAwtransport!$H$2:$H$675,Program_data!$F1303,EIAwtransport!$I$2:$I$675,Program_data!P$2)</f>
        <v>270776347.77599996</v>
      </c>
      <c r="Q1303" s="5">
        <f>SUMIFS(EIAwtransport!$J$2:$J$675,EIAwtransport!$E$2:$E$675,Program_data!$E1303,EIAwtransport!$H$2:$H$675,Program_data!$F1303,EIAwtransport!$I$2:$I$675,Program_data!Q$2)</f>
        <v>3711979</v>
      </c>
      <c r="R1303" s="8">
        <f>SUMIFS(EIAwtransport!$J$2:$J$675,EIAwtransport!$E$2:$E$675,Program_data!$E1303,EIAwtransport!$I$2:$I$675,Program_data!R$2)</f>
        <v>3425062807.5999999</v>
      </c>
      <c r="S1303" s="5">
        <f>SUMIFS(EIAwtransport!$J$2:$J$675,EIAwtransport!$E$2:$E$675,Program_data!$E1303,EIAwtransport!$I$2:$I$675,Program_data!S$2)</f>
        <v>884953189.29599977</v>
      </c>
      <c r="T1303" s="5">
        <f>SUMIFS(EIAwtransport!$J$2:$J$675,EIAwtransport!$E$2:$E$675,Program_data!$E1303,EIAwtransport!$I$2:$I$675,Program_data!T$2)</f>
        <v>3728492</v>
      </c>
      <c r="U1303" s="24">
        <f t="shared" si="421"/>
        <v>0</v>
      </c>
      <c r="V1303" s="24">
        <f t="shared" si="397"/>
        <v>0</v>
      </c>
      <c r="W1303" s="24">
        <f t="shared" si="422"/>
        <v>1.086761681860788E-3</v>
      </c>
      <c r="X1303" s="25">
        <f t="shared" si="423"/>
        <v>4.0599697981286994E-4</v>
      </c>
      <c r="Y1303" s="8">
        <f t="shared" si="415"/>
        <v>0.33603269000811903</v>
      </c>
      <c r="Z1303" s="27">
        <f t="shared" si="416"/>
        <v>8.7327329444790575E-2</v>
      </c>
      <c r="AE1303" s="20">
        <f t="shared" si="398"/>
        <v>3871885.4811560018</v>
      </c>
      <c r="AF1303" s="20">
        <f t="shared" si="399"/>
        <v>4623834790.2600002</v>
      </c>
      <c r="AG1303">
        <f t="shared" si="418"/>
        <v>0</v>
      </c>
      <c r="AH1303">
        <f t="shared" si="419"/>
        <v>0</v>
      </c>
      <c r="AI1303">
        <f t="shared" si="420"/>
        <v>93344862406.942062</v>
      </c>
    </row>
    <row r="1304" spans="2:35" x14ac:dyDescent="0.25">
      <c r="B1304" s="4">
        <v>2025</v>
      </c>
      <c r="C1304" s="4" t="s">
        <v>33</v>
      </c>
      <c r="D1304" s="4" t="s">
        <v>77</v>
      </c>
      <c r="E1304" s="4" t="str">
        <f t="shared" si="417"/>
        <v>Enbridge-CAN</v>
      </c>
      <c r="F1304" s="4" t="s">
        <v>135</v>
      </c>
      <c r="G1304" s="4"/>
      <c r="H1304" s="5" t="s">
        <v>654</v>
      </c>
      <c r="I1304" s="5"/>
      <c r="J1304" s="5"/>
      <c r="K1304" s="5"/>
      <c r="L1304" s="5"/>
      <c r="M1304" s="8">
        <f>4332641.0256*0.74</f>
        <v>3206154.3589440002</v>
      </c>
      <c r="N1304" s="8">
        <f>3034821.096*0.74</f>
        <v>2245767.6110399999</v>
      </c>
      <c r="O1304" s="8">
        <f>SUMIFS(EIAwtransport!$J$2:$J$675,EIAwtransport!$E$2:$E$675,Program_data!$E1304,EIAwtransport!$H$2:$H$675,Program_data!$F1304,EIAwtransport!$I$2:$I$675,Program_data!O$2)</f>
        <v>1047994412.7701588</v>
      </c>
      <c r="P1304" s="5">
        <f>SUMIFS(EIAwtransport!$J$2:$J$675,EIAwtransport!$E$2:$E$675,Program_data!$E1304,EIAwtransport!$H$2:$H$675,Program_data!$F1304,EIAwtransport!$I$2:$I$675,Program_data!P$2)</f>
        <v>270776347.77599996</v>
      </c>
      <c r="Q1304" s="5">
        <f>SUMIFS(EIAwtransport!$J$2:$J$675,EIAwtransport!$E$2:$E$675,Program_data!$E1304,EIAwtransport!$H$2:$H$675,Program_data!$F1304,EIAwtransport!$I$2:$I$675,Program_data!Q$2)</f>
        <v>3711979</v>
      </c>
      <c r="R1304" s="8">
        <f>SUMIFS(EIAwtransport!$J$2:$J$675,EIAwtransport!$E$2:$E$675,Program_data!$E1304,EIAwtransport!$I$2:$I$675,Program_data!R$2)</f>
        <v>3425062807.5999999</v>
      </c>
      <c r="S1304" s="5">
        <f>SUMIFS(EIAwtransport!$J$2:$J$675,EIAwtransport!$E$2:$E$675,Program_data!$E1304,EIAwtransport!$I$2:$I$675,Program_data!S$2)</f>
        <v>884953189.29599977</v>
      </c>
      <c r="T1304" s="5">
        <f>SUMIFS(EIAwtransport!$J$2:$J$675,EIAwtransport!$E$2:$E$675,Program_data!$E1304,EIAwtransport!$I$2:$I$675,Program_data!T$2)</f>
        <v>3728492</v>
      </c>
      <c r="U1304" s="24">
        <f t="shared" si="421"/>
        <v>0</v>
      </c>
      <c r="V1304" s="24">
        <f t="shared" si="397"/>
        <v>0</v>
      </c>
      <c r="W1304" s="24">
        <f t="shared" si="422"/>
        <v>9.3608629652856129E-4</v>
      </c>
      <c r="X1304" s="25">
        <f t="shared" si="423"/>
        <v>3.497070384227017E-4</v>
      </c>
      <c r="Y1304" s="8">
        <f t="shared" si="415"/>
        <v>0.28944303203958949</v>
      </c>
      <c r="Z1304" s="27">
        <f t="shared" si="416"/>
        <v>7.5219726431406397E-2</v>
      </c>
      <c r="AE1304" s="20">
        <f t="shared" si="398"/>
        <v>3031786.2749040001</v>
      </c>
      <c r="AF1304" s="20">
        <f t="shared" si="399"/>
        <v>4623834790.2600002</v>
      </c>
      <c r="AG1304">
        <f t="shared" si="418"/>
        <v>0</v>
      </c>
      <c r="AH1304">
        <f t="shared" si="419"/>
        <v>0</v>
      </c>
      <c r="AI1304">
        <f t="shared" si="420"/>
        <v>93344862406.942062</v>
      </c>
    </row>
    <row r="1305" spans="2:35" x14ac:dyDescent="0.25">
      <c r="B1305" s="58">
        <v>2025</v>
      </c>
      <c r="C1305" s="58" t="s">
        <v>33</v>
      </c>
      <c r="D1305" s="58" t="s">
        <v>77</v>
      </c>
      <c r="E1305" s="58" t="str">
        <f t="shared" si="417"/>
        <v>Enbridge-CAN</v>
      </c>
      <c r="F1305" s="58" t="s">
        <v>146</v>
      </c>
      <c r="G1305" s="58"/>
      <c r="H1305" s="57" t="s">
        <v>655</v>
      </c>
      <c r="I1305" s="57"/>
      <c r="J1305" s="58" t="s">
        <v>142</v>
      </c>
      <c r="K1305" s="57">
        <v>6189318.5199999996</v>
      </c>
      <c r="L1305" s="57">
        <f>(K1305/55.1)*100</f>
        <v>11232882.976406531</v>
      </c>
      <c r="M1305" s="59">
        <f>SUM(M1306:M1309)</f>
        <v>9572264.6208685581</v>
      </c>
      <c r="N1305" s="59">
        <f>SUM(N1306:N1309)</f>
        <v>8525907.422701193</v>
      </c>
      <c r="O1305" s="8">
        <f>SUMIFS(EIAwtransport!$J$2:$J$675,EIAwtransport!$E$2:$E$675,Program_data!$E1305,EIAwtransport!$H$2:$H$675,Program_data!$F1305,EIAwtransport!$I$2:$I$675,Program_data!O$2)</f>
        <v>2377068394.8298411</v>
      </c>
      <c r="P1305" s="5">
        <f>SUMIFS(EIAwtransport!$J$2:$J$675,EIAwtransport!$E$2:$E$675,Program_data!$E1305,EIAwtransport!$H$2:$H$675,Program_data!$F1305,EIAwtransport!$I$2:$I$675,Program_data!P$2)</f>
        <v>614176841.51999986</v>
      </c>
      <c r="Q1305" s="5">
        <f>SUMIFS(EIAwtransport!$J$2:$J$675,EIAwtransport!$E$2:$E$675,Program_data!$E1305,EIAwtransport!$H$2:$H$675,Program_data!$F1305,EIAwtransport!$I$2:$I$675,Program_data!Q$2)</f>
        <v>16513</v>
      </c>
      <c r="R1305" s="8">
        <f>SUMIFS(EIAwtransport!$J$2:$J$675,EIAwtransport!$E$2:$E$675,Program_data!$E1305,EIAwtransport!$I$2:$I$675,Program_data!R$2)</f>
        <v>3425062807.5999999</v>
      </c>
      <c r="S1305" s="5">
        <f>SUMIFS(EIAwtransport!$J$2:$J$675,EIAwtransport!$E$2:$E$675,Program_data!$E1305,EIAwtransport!$I$2:$I$675,Program_data!S$2)</f>
        <v>884953189.29599977</v>
      </c>
      <c r="T1305" s="5">
        <f>SUMIFS(EIAwtransport!$J$2:$J$675,EIAwtransport!$E$2:$E$675,Program_data!$E1305,EIAwtransport!$I$2:$I$675,Program_data!T$2)</f>
        <v>3728492</v>
      </c>
      <c r="U1305" s="24">
        <f t="shared" si="421"/>
        <v>6.7509171648144726E-4</v>
      </c>
      <c r="V1305" s="24">
        <f t="shared" si="397"/>
        <v>1.2252118266450945E-3</v>
      </c>
      <c r="W1305" s="24">
        <f t="shared" si="422"/>
        <v>2.7947705366536059E-3</v>
      </c>
      <c r="X1305" s="25">
        <f t="shared" si="423"/>
        <v>1.0440820798986422E-3</v>
      </c>
      <c r="Y1305" s="8">
        <f t="shared" si="415"/>
        <v>0.33072474720128331</v>
      </c>
      <c r="Z1305" s="27">
        <f t="shared" si="416"/>
        <v>0.22457531531573374</v>
      </c>
      <c r="AE1305" s="20">
        <f t="shared" si="398"/>
        <v>11509975.020646611</v>
      </c>
      <c r="AF1305" s="20">
        <f t="shared" si="399"/>
        <v>4623834790.2600002</v>
      </c>
      <c r="AG1305">
        <f t="shared" si="418"/>
        <v>652849317.48959994</v>
      </c>
      <c r="AH1305">
        <f t="shared" si="419"/>
        <v>1184844496.351361</v>
      </c>
      <c r="AI1305">
        <f t="shared" si="420"/>
        <v>93344862406.942062</v>
      </c>
    </row>
    <row r="1306" spans="2:35" x14ac:dyDescent="0.25">
      <c r="B1306" s="4">
        <v>2025</v>
      </c>
      <c r="C1306" s="4" t="s">
        <v>33</v>
      </c>
      <c r="D1306" s="4" t="s">
        <v>77</v>
      </c>
      <c r="E1306" s="4" t="str">
        <f t="shared" si="417"/>
        <v>Enbridge-CAN</v>
      </c>
      <c r="F1306" s="4" t="s">
        <v>146</v>
      </c>
      <c r="G1306" s="4"/>
      <c r="H1306" s="5" t="s">
        <v>656</v>
      </c>
      <c r="I1306" s="5"/>
      <c r="J1306" s="5"/>
      <c r="K1306" s="5"/>
      <c r="L1306" s="5"/>
      <c r="M1306" s="8">
        <f>10296448.29504*0.74</f>
        <v>7619371.7383296005</v>
      </c>
      <c r="N1306" s="8">
        <f>9538087.5648*0.74</f>
        <v>7058184.7979520001</v>
      </c>
      <c r="O1306" s="8">
        <f>SUMIFS(EIAwtransport!$J$2:$J$675,EIAwtransport!$E$2:$E$675,Program_data!$E1306,EIAwtransport!$H$2:$H$675,Program_data!$F1306,EIAwtransport!$I$2:$I$675,Program_data!O$2)</f>
        <v>2377068394.8298411</v>
      </c>
      <c r="P1306" s="5">
        <f>SUMIFS(EIAwtransport!$J$2:$J$675,EIAwtransport!$E$2:$E$675,Program_data!$E1306,EIAwtransport!$H$2:$H$675,Program_data!$F1306,EIAwtransport!$I$2:$I$675,Program_data!P$2)</f>
        <v>614176841.51999986</v>
      </c>
      <c r="Q1306" s="5">
        <f>SUMIFS(EIAwtransport!$J$2:$J$675,EIAwtransport!$E$2:$E$675,Program_data!$E1306,EIAwtransport!$H$2:$H$675,Program_data!$F1306,EIAwtransport!$I$2:$I$675,Program_data!Q$2)</f>
        <v>16513</v>
      </c>
      <c r="R1306" s="8">
        <f>SUMIFS(EIAwtransport!$J$2:$J$675,EIAwtransport!$E$2:$E$675,Program_data!$E1306,EIAwtransport!$I$2:$I$675,Program_data!R$2)</f>
        <v>3425062807.5999999</v>
      </c>
      <c r="S1306" s="5">
        <f>SUMIFS(EIAwtransport!$J$2:$J$675,EIAwtransport!$E$2:$E$675,Program_data!$E1306,EIAwtransport!$I$2:$I$675,Program_data!S$2)</f>
        <v>884953189.29599977</v>
      </c>
      <c r="T1306" s="5">
        <f>SUMIFS(EIAwtransport!$J$2:$J$675,EIAwtransport!$E$2:$E$675,Program_data!$E1306,EIAwtransport!$I$2:$I$675,Program_data!T$2)</f>
        <v>3728492</v>
      </c>
      <c r="U1306" s="24">
        <f t="shared" si="421"/>
        <v>0</v>
      </c>
      <c r="V1306" s="24">
        <f t="shared" si="397"/>
        <v>0</v>
      </c>
      <c r="W1306" s="24">
        <f t="shared" si="422"/>
        <v>2.2245932896245556E-3</v>
      </c>
      <c r="X1306" s="25">
        <f t="shared" si="423"/>
        <v>8.3107287639466298E-4</v>
      </c>
      <c r="Y1306" s="8">
        <f t="shared" si="415"/>
        <v>0.26325168513394176</v>
      </c>
      <c r="Z1306" s="27">
        <f t="shared" si="416"/>
        <v>0.17875841072265494</v>
      </c>
      <c r="AE1306" s="20">
        <f t="shared" si="398"/>
        <v>9528549.4772351999</v>
      </c>
      <c r="AF1306" s="20">
        <f t="shared" si="399"/>
        <v>4623834790.2600002</v>
      </c>
      <c r="AG1306">
        <f t="shared" si="418"/>
        <v>0</v>
      </c>
      <c r="AH1306">
        <f t="shared" si="419"/>
        <v>0</v>
      </c>
      <c r="AI1306">
        <f t="shared" si="420"/>
        <v>93344862406.942062</v>
      </c>
    </row>
    <row r="1307" spans="2:35" x14ac:dyDescent="0.25">
      <c r="B1307" s="4">
        <v>2025</v>
      </c>
      <c r="C1307" s="4" t="s">
        <v>33</v>
      </c>
      <c r="D1307" s="4" t="s">
        <v>77</v>
      </c>
      <c r="E1307" s="4" t="str">
        <f t="shared" si="417"/>
        <v>Enbridge-CAN</v>
      </c>
      <c r="F1307" s="4" t="s">
        <v>146</v>
      </c>
      <c r="G1307" s="4"/>
      <c r="H1307" s="5" t="s">
        <v>657</v>
      </c>
      <c r="I1307" s="5"/>
      <c r="J1307" s="5"/>
      <c r="K1307" s="5"/>
      <c r="L1307" s="5"/>
      <c r="M1307" s="8">
        <f>1592363.6403984*0.74</f>
        <v>1178349.093894816</v>
      </c>
      <c r="N1307" s="8">
        <f>1398757.43016576*0.74</f>
        <v>1035080.4983226624</v>
      </c>
      <c r="O1307" s="8">
        <f>SUMIFS(EIAwtransport!$J$2:$J$675,EIAwtransport!$E$2:$E$675,Program_data!$E1307,EIAwtransport!$H$2:$H$675,Program_data!$F1307,EIAwtransport!$I$2:$I$675,Program_data!O$2)</f>
        <v>2377068394.8298411</v>
      </c>
      <c r="P1307" s="5">
        <f>SUMIFS(EIAwtransport!$J$2:$J$675,EIAwtransport!$E$2:$E$675,Program_data!$E1307,EIAwtransport!$H$2:$H$675,Program_data!$F1307,EIAwtransport!$I$2:$I$675,Program_data!P$2)</f>
        <v>614176841.51999986</v>
      </c>
      <c r="Q1307" s="5">
        <f>SUMIFS(EIAwtransport!$J$2:$J$675,EIAwtransport!$E$2:$E$675,Program_data!$E1307,EIAwtransport!$H$2:$H$675,Program_data!$F1307,EIAwtransport!$I$2:$I$675,Program_data!Q$2)</f>
        <v>16513</v>
      </c>
      <c r="R1307" s="8">
        <f>SUMIFS(EIAwtransport!$J$2:$J$675,EIAwtransport!$E$2:$E$675,Program_data!$E1307,EIAwtransport!$I$2:$I$675,Program_data!R$2)</f>
        <v>3425062807.5999999</v>
      </c>
      <c r="S1307" s="5">
        <f>SUMIFS(EIAwtransport!$J$2:$J$675,EIAwtransport!$E$2:$E$675,Program_data!$E1307,EIAwtransport!$I$2:$I$675,Program_data!S$2)</f>
        <v>884953189.29599977</v>
      </c>
      <c r="T1307" s="5">
        <f>SUMIFS(EIAwtransport!$J$2:$J$675,EIAwtransport!$E$2:$E$675,Program_data!$E1307,EIAwtransport!$I$2:$I$675,Program_data!T$2)</f>
        <v>3728492</v>
      </c>
      <c r="U1307" s="24">
        <f t="shared" si="421"/>
        <v>0</v>
      </c>
      <c r="V1307" s="24">
        <f t="shared" si="397"/>
        <v>0</v>
      </c>
      <c r="W1307" s="24">
        <f t="shared" si="422"/>
        <v>3.4403722211462319E-4</v>
      </c>
      <c r="X1307" s="25">
        <f t="shared" si="423"/>
        <v>1.2852686605823759E-4</v>
      </c>
      <c r="Y1307" s="8">
        <f t="shared" si="415"/>
        <v>4.0712331055246492E-2</v>
      </c>
      <c r="Z1307" s="27">
        <f t="shared" si="416"/>
        <v>2.7645299184115735E-2</v>
      </c>
      <c r="AE1307" s="20">
        <f t="shared" si="398"/>
        <v>1397358.6727355944</v>
      </c>
      <c r="AF1307" s="20">
        <f t="shared" si="399"/>
        <v>4623834790.2600002</v>
      </c>
      <c r="AG1307">
        <f t="shared" si="418"/>
        <v>0</v>
      </c>
      <c r="AH1307">
        <f t="shared" si="419"/>
        <v>0</v>
      </c>
      <c r="AI1307">
        <f t="shared" si="420"/>
        <v>93344862406.942062</v>
      </c>
    </row>
    <row r="1308" spans="2:35" x14ac:dyDescent="0.25">
      <c r="B1308" s="4">
        <v>2025</v>
      </c>
      <c r="C1308" s="4" t="s">
        <v>33</v>
      </c>
      <c r="D1308" s="4" t="s">
        <v>77</v>
      </c>
      <c r="E1308" s="4" t="str">
        <f t="shared" si="417"/>
        <v>Enbridge-CAN</v>
      </c>
      <c r="F1308" s="4" t="s">
        <v>146</v>
      </c>
      <c r="G1308" s="4"/>
      <c r="H1308" s="5" t="s">
        <v>658</v>
      </c>
      <c r="I1308" s="5"/>
      <c r="J1308" s="5"/>
      <c r="K1308" s="5"/>
      <c r="L1308" s="5"/>
      <c r="M1308" s="8">
        <f>519187.0570536*0.74</f>
        <v>384198.42221966397</v>
      </c>
      <c r="N1308" s="8">
        <f>471296.64055104*0.74</f>
        <v>348759.51400776958</v>
      </c>
      <c r="O1308" s="8">
        <f>SUMIFS(EIAwtransport!$J$2:$J$675,EIAwtransport!$E$2:$E$675,Program_data!$E1308,EIAwtransport!$H$2:$H$675,Program_data!$F1308,EIAwtransport!$I$2:$I$675,Program_data!O$2)</f>
        <v>2377068394.8298411</v>
      </c>
      <c r="P1308" s="5">
        <f>SUMIFS(EIAwtransport!$J$2:$J$675,EIAwtransport!$E$2:$E$675,Program_data!$E1308,EIAwtransport!$H$2:$H$675,Program_data!$F1308,EIAwtransport!$I$2:$I$675,Program_data!P$2)</f>
        <v>614176841.51999986</v>
      </c>
      <c r="Q1308" s="5">
        <f>SUMIFS(EIAwtransport!$J$2:$J$675,EIAwtransport!$E$2:$E$675,Program_data!$E1308,EIAwtransport!$H$2:$H$675,Program_data!$F1308,EIAwtransport!$I$2:$I$675,Program_data!Q$2)</f>
        <v>16513</v>
      </c>
      <c r="R1308" s="8">
        <f>SUMIFS(EIAwtransport!$J$2:$J$675,EIAwtransport!$E$2:$E$675,Program_data!$E1308,EIAwtransport!$I$2:$I$675,Program_data!R$2)</f>
        <v>3425062807.5999999</v>
      </c>
      <c r="S1308" s="5">
        <f>SUMIFS(EIAwtransport!$J$2:$J$675,EIAwtransport!$E$2:$E$675,Program_data!$E1308,EIAwtransport!$I$2:$I$675,Program_data!S$2)</f>
        <v>884953189.29599977</v>
      </c>
      <c r="T1308" s="5">
        <f>SUMIFS(EIAwtransport!$J$2:$J$675,EIAwtransport!$E$2:$E$675,Program_data!$E1308,EIAwtransport!$I$2:$I$675,Program_data!T$2)</f>
        <v>3728492</v>
      </c>
      <c r="U1308" s="24">
        <f t="shared" si="421"/>
        <v>0</v>
      </c>
      <c r="V1308" s="24">
        <f t="shared" si="397"/>
        <v>0</v>
      </c>
      <c r="W1308" s="24">
        <f t="shared" si="422"/>
        <v>1.1217266479527083E-4</v>
      </c>
      <c r="X1308" s="25">
        <f t="shared" si="423"/>
        <v>4.1905933825770657E-5</v>
      </c>
      <c r="Y1308" s="8">
        <f t="shared" si="415"/>
        <v>1.3274176080205449E-2</v>
      </c>
      <c r="Z1308" s="27">
        <f t="shared" si="416"/>
        <v>9.0136958422237529E-3</v>
      </c>
      <c r="AE1308" s="20">
        <f t="shared" si="398"/>
        <v>470825.34391048894</v>
      </c>
      <c r="AF1308" s="20">
        <f t="shared" si="399"/>
        <v>4623834790.2600002</v>
      </c>
      <c r="AG1308">
        <f t="shared" si="418"/>
        <v>0</v>
      </c>
      <c r="AH1308">
        <f t="shared" si="419"/>
        <v>0</v>
      </c>
      <c r="AI1308">
        <f t="shared" si="420"/>
        <v>93344862406.942062</v>
      </c>
    </row>
    <row r="1309" spans="2:35" x14ac:dyDescent="0.25">
      <c r="B1309" s="4">
        <v>2025</v>
      </c>
      <c r="C1309" s="4" t="s">
        <v>33</v>
      </c>
      <c r="D1309" s="4" t="s">
        <v>77</v>
      </c>
      <c r="E1309" s="4" t="str">
        <f t="shared" si="417"/>
        <v>Enbridge-CAN</v>
      </c>
      <c r="F1309" s="4" t="s">
        <v>146</v>
      </c>
      <c r="G1309" s="4"/>
      <c r="H1309" s="5" t="s">
        <v>659</v>
      </c>
      <c r="I1309" s="5"/>
      <c r="J1309" s="5"/>
      <c r="K1309" s="5"/>
      <c r="L1309" s="5"/>
      <c r="M1309" s="8">
        <f>527493.738411456*0.74</f>
        <v>390345.36642447743</v>
      </c>
      <c r="N1309" s="8">
        <f>113354.881646976*0.74</f>
        <v>83882.612418762248</v>
      </c>
      <c r="O1309" s="8">
        <f>SUMIFS(EIAwtransport!$J$2:$J$675,EIAwtransport!$E$2:$E$675,Program_data!$E1309,EIAwtransport!$H$2:$H$675,Program_data!$F1309,EIAwtransport!$I$2:$I$675,Program_data!O$2)</f>
        <v>2377068394.8298411</v>
      </c>
      <c r="P1309" s="5">
        <f>SUMIFS(EIAwtransport!$J$2:$J$675,EIAwtransport!$E$2:$E$675,Program_data!$E1309,EIAwtransport!$H$2:$H$675,Program_data!$F1309,EIAwtransport!$I$2:$I$675,Program_data!P$2)</f>
        <v>614176841.51999986</v>
      </c>
      <c r="Q1309" s="5">
        <f>SUMIFS(EIAwtransport!$J$2:$J$675,EIAwtransport!$E$2:$E$675,Program_data!$E1309,EIAwtransport!$H$2:$H$675,Program_data!$F1309,EIAwtransport!$I$2:$I$675,Program_data!Q$2)</f>
        <v>16513</v>
      </c>
      <c r="R1309" s="8">
        <f>SUMIFS(EIAwtransport!$J$2:$J$675,EIAwtransport!$E$2:$E$675,Program_data!$E1309,EIAwtransport!$I$2:$I$675,Program_data!R$2)</f>
        <v>3425062807.5999999</v>
      </c>
      <c r="S1309" s="5">
        <f>SUMIFS(EIAwtransport!$J$2:$J$675,EIAwtransport!$E$2:$E$675,Program_data!$E1309,EIAwtransport!$I$2:$I$675,Program_data!S$2)</f>
        <v>884953189.29599977</v>
      </c>
      <c r="T1309" s="5">
        <f>SUMIFS(EIAwtransport!$J$2:$J$675,EIAwtransport!$E$2:$E$675,Program_data!$E1309,EIAwtransport!$I$2:$I$675,Program_data!T$2)</f>
        <v>3728492</v>
      </c>
      <c r="U1309" s="24">
        <f t="shared" si="421"/>
        <v>0</v>
      </c>
      <c r="V1309" s="24">
        <f t="shared" si="397"/>
        <v>0</v>
      </c>
      <c r="W1309" s="24">
        <f t="shared" si="422"/>
        <v>1.139673601191562E-4</v>
      </c>
      <c r="X1309" s="25">
        <f t="shared" si="423"/>
        <v>4.2576403619970739E-5</v>
      </c>
      <c r="Y1309" s="8">
        <f t="shared" si="415"/>
        <v>1.3486554931889645E-2</v>
      </c>
      <c r="Z1309" s="27">
        <f t="shared" si="416"/>
        <v>9.1579095667393366E-3</v>
      </c>
      <c r="AE1309" s="20">
        <f t="shared" si="398"/>
        <v>113241.52676532904</v>
      </c>
      <c r="AF1309" s="20">
        <f t="shared" si="399"/>
        <v>4623834790.2600002</v>
      </c>
      <c r="AG1309">
        <f t="shared" si="418"/>
        <v>0</v>
      </c>
      <c r="AH1309">
        <f t="shared" si="419"/>
        <v>0</v>
      </c>
      <c r="AI1309">
        <f t="shared" si="420"/>
        <v>93344862406.942062</v>
      </c>
    </row>
    <row r="1310" spans="2:35" x14ac:dyDescent="0.25">
      <c r="B1310" s="58">
        <v>2025</v>
      </c>
      <c r="C1310" s="58" t="s">
        <v>33</v>
      </c>
      <c r="D1310" s="58" t="s">
        <v>77</v>
      </c>
      <c r="E1310" s="58" t="str">
        <f t="shared" si="417"/>
        <v>Enbridge-CAN</v>
      </c>
      <c r="F1310" s="58" t="s">
        <v>146</v>
      </c>
      <c r="G1310" s="58"/>
      <c r="H1310" s="57" t="s">
        <v>660</v>
      </c>
      <c r="I1310" s="57"/>
      <c r="J1310" s="58" t="s">
        <v>142</v>
      </c>
      <c r="K1310" s="57">
        <v>2877340.2850000001</v>
      </c>
      <c r="L1310" s="57">
        <f>(K1310/55.1)*100</f>
        <v>5222033.1851179674</v>
      </c>
      <c r="M1310" s="59">
        <f>SUM(M1311:M1314)</f>
        <v>7709576.2628538273</v>
      </c>
      <c r="N1310" s="59">
        <f>SUM(N1311:N1314)</f>
        <v>316673692.92170405</v>
      </c>
      <c r="O1310" s="8">
        <f>SUMIFS(EIAwtransport!$J$2:$J$675,EIAwtransport!$E$2:$E$675,Program_data!$E1310,EIAwtransport!$H$2:$H$675,Program_data!$F1310,EIAwtransport!$I$2:$I$675,Program_data!O$2)</f>
        <v>2377068394.8298411</v>
      </c>
      <c r="P1310" s="5">
        <f>SUMIFS(EIAwtransport!$J$2:$J$675,EIAwtransport!$E$2:$E$675,Program_data!$E1310,EIAwtransport!$H$2:$H$675,Program_data!$F1310,EIAwtransport!$I$2:$I$675,Program_data!P$2)</f>
        <v>614176841.51999986</v>
      </c>
      <c r="Q1310" s="5">
        <f>SUMIFS(EIAwtransport!$J$2:$J$675,EIAwtransport!$E$2:$E$675,Program_data!$E1310,EIAwtransport!$H$2:$H$675,Program_data!$F1310,EIAwtransport!$I$2:$I$675,Program_data!Q$2)</f>
        <v>16513</v>
      </c>
      <c r="R1310" s="8">
        <f>SUMIFS(EIAwtransport!$J$2:$J$675,EIAwtransport!$E$2:$E$675,Program_data!$E1310,EIAwtransport!$I$2:$I$675,Program_data!R$2)</f>
        <v>3425062807.5999999</v>
      </c>
      <c r="S1310" s="5">
        <f>SUMIFS(EIAwtransport!$J$2:$J$675,EIAwtransport!$E$2:$E$675,Program_data!$E1310,EIAwtransport!$I$2:$I$675,Program_data!S$2)</f>
        <v>884953189.29599977</v>
      </c>
      <c r="T1310" s="5">
        <f>SUMIFS(EIAwtransport!$J$2:$J$675,EIAwtransport!$E$2:$E$675,Program_data!$E1310,EIAwtransport!$I$2:$I$675,Program_data!T$2)</f>
        <v>3728492</v>
      </c>
      <c r="U1310" s="24">
        <f t="shared" si="421"/>
        <v>3.1384207899868546E-4</v>
      </c>
      <c r="V1310" s="24">
        <f t="shared" si="397"/>
        <v>5.6958635026984651E-4</v>
      </c>
      <c r="W1310" s="24">
        <f t="shared" si="422"/>
        <v>2.2509298941166159E-3</v>
      </c>
      <c r="X1310" s="25">
        <f t="shared" si="423"/>
        <v>8.4091181538264266E-4</v>
      </c>
      <c r="Y1310" s="8">
        <f t="shared" si="415"/>
        <v>0.26636827976972394</v>
      </c>
      <c r="Z1310" s="27">
        <f t="shared" si="416"/>
        <v>0.18087470298371194</v>
      </c>
      <c r="AE1310" s="20">
        <f t="shared" si="398"/>
        <v>427509485.44430047</v>
      </c>
      <c r="AF1310" s="20">
        <f t="shared" si="399"/>
        <v>4623834790.2600002</v>
      </c>
      <c r="AG1310">
        <f t="shared" si="418"/>
        <v>303501853.26180005</v>
      </c>
      <c r="AH1310">
        <f t="shared" si="419"/>
        <v>550820060.36624324</v>
      </c>
      <c r="AI1310">
        <f t="shared" si="420"/>
        <v>93344862406.942062</v>
      </c>
    </row>
    <row r="1311" spans="2:35" x14ac:dyDescent="0.25">
      <c r="B1311" s="4">
        <v>2025</v>
      </c>
      <c r="C1311" s="4" t="s">
        <v>33</v>
      </c>
      <c r="D1311" s="4" t="s">
        <v>77</v>
      </c>
      <c r="E1311" s="4" t="str">
        <f t="shared" si="417"/>
        <v>Enbridge-CAN</v>
      </c>
      <c r="F1311" s="4" t="s">
        <v>146</v>
      </c>
      <c r="G1311" s="4"/>
      <c r="H1311" s="5" t="s">
        <v>661</v>
      </c>
      <c r="I1311" s="5"/>
      <c r="J1311" s="5"/>
      <c r="K1311" s="5"/>
      <c r="L1311" s="5"/>
      <c r="M1311" s="8">
        <f>2574112.07376*0.74</f>
        <v>1904842.9345824001</v>
      </c>
      <c r="N1311" s="8">
        <f>2384521.8912*0.74</f>
        <v>1764546.199488</v>
      </c>
      <c r="O1311" s="8">
        <f>SUMIFS(EIAwtransport!$J$2:$J$675,EIAwtransport!$E$2:$E$675,Program_data!$E1311,EIAwtransport!$H$2:$H$675,Program_data!$F1311,EIAwtransport!$I$2:$I$675,Program_data!O$2)</f>
        <v>2377068394.8298411</v>
      </c>
      <c r="P1311" s="5">
        <f>SUMIFS(EIAwtransport!$J$2:$J$675,EIAwtransport!$E$2:$E$675,Program_data!$E1311,EIAwtransport!$H$2:$H$675,Program_data!$F1311,EIAwtransport!$I$2:$I$675,Program_data!P$2)</f>
        <v>614176841.51999986</v>
      </c>
      <c r="Q1311" s="5">
        <f>SUMIFS(EIAwtransport!$J$2:$J$675,EIAwtransport!$E$2:$E$675,Program_data!$E1311,EIAwtransport!$H$2:$H$675,Program_data!$F1311,EIAwtransport!$I$2:$I$675,Program_data!Q$2)</f>
        <v>16513</v>
      </c>
      <c r="R1311" s="8">
        <f>SUMIFS(EIAwtransport!$J$2:$J$675,EIAwtransport!$E$2:$E$675,Program_data!$E1311,EIAwtransport!$I$2:$I$675,Program_data!R$2)</f>
        <v>3425062807.5999999</v>
      </c>
      <c r="S1311" s="5">
        <f>SUMIFS(EIAwtransport!$J$2:$J$675,EIAwtransport!$E$2:$E$675,Program_data!$E1311,EIAwtransport!$I$2:$I$675,Program_data!S$2)</f>
        <v>884953189.29599977</v>
      </c>
      <c r="T1311" s="5">
        <f>SUMIFS(EIAwtransport!$J$2:$J$675,EIAwtransport!$E$2:$E$675,Program_data!$E1311,EIAwtransport!$I$2:$I$675,Program_data!T$2)</f>
        <v>3728492</v>
      </c>
      <c r="U1311" s="24">
        <f t="shared" si="421"/>
        <v>0</v>
      </c>
      <c r="V1311" s="24">
        <f t="shared" si="397"/>
        <v>0</v>
      </c>
      <c r="W1311" s="24">
        <f t="shared" si="422"/>
        <v>5.5614832240613891E-4</v>
      </c>
      <c r="X1311" s="25">
        <f t="shared" si="423"/>
        <v>2.0776821909866574E-4</v>
      </c>
      <c r="Y1311" s="8">
        <f t="shared" si="415"/>
        <v>6.581292128348544E-2</v>
      </c>
      <c r="Z1311" s="27">
        <f t="shared" si="416"/>
        <v>4.4689602680663736E-2</v>
      </c>
      <c r="AE1311" s="20">
        <f t="shared" si="398"/>
        <v>2382137.3693088</v>
      </c>
      <c r="AF1311" s="20">
        <f t="shared" si="399"/>
        <v>4623834790.2600002</v>
      </c>
      <c r="AG1311">
        <f t="shared" si="418"/>
        <v>0</v>
      </c>
      <c r="AH1311">
        <f t="shared" si="419"/>
        <v>0</v>
      </c>
      <c r="AI1311">
        <f t="shared" si="420"/>
        <v>93344862406.942062</v>
      </c>
    </row>
    <row r="1312" spans="2:35" x14ac:dyDescent="0.25">
      <c r="B1312" s="4">
        <v>2025</v>
      </c>
      <c r="C1312" s="4" t="s">
        <v>33</v>
      </c>
      <c r="D1312" s="4" t="s">
        <v>77</v>
      </c>
      <c r="E1312" s="4" t="str">
        <f t="shared" si="417"/>
        <v>Enbridge-CAN</v>
      </c>
      <c r="F1312" s="4" t="s">
        <v>146</v>
      </c>
      <c r="G1312" s="4"/>
      <c r="H1312" s="5" t="s">
        <v>662</v>
      </c>
      <c r="I1312" s="5"/>
      <c r="J1312" s="5"/>
      <c r="K1312" s="5"/>
      <c r="L1312" s="5"/>
      <c r="M1312" s="8">
        <f>1061575.7602656*0.74</f>
        <v>785566.06259654392</v>
      </c>
      <c r="N1312" s="8">
        <f>932504.95344384*0.74</f>
        <v>690053.66554844158</v>
      </c>
      <c r="O1312" s="8">
        <f>SUMIFS(EIAwtransport!$J$2:$J$675,EIAwtransport!$E$2:$E$675,Program_data!$E1312,EIAwtransport!$H$2:$H$675,Program_data!$F1312,EIAwtransport!$I$2:$I$675,Program_data!O$2)</f>
        <v>2377068394.8298411</v>
      </c>
      <c r="P1312" s="5">
        <f>SUMIFS(EIAwtransport!$J$2:$J$675,EIAwtransport!$E$2:$E$675,Program_data!$E1312,EIAwtransport!$H$2:$H$675,Program_data!$F1312,EIAwtransport!$I$2:$I$675,Program_data!P$2)</f>
        <v>614176841.51999986</v>
      </c>
      <c r="Q1312" s="5">
        <f>SUMIFS(EIAwtransport!$J$2:$J$675,EIAwtransport!$E$2:$E$675,Program_data!$E1312,EIAwtransport!$H$2:$H$675,Program_data!$F1312,EIAwtransport!$I$2:$I$675,Program_data!Q$2)</f>
        <v>16513</v>
      </c>
      <c r="R1312" s="8">
        <f>SUMIFS(EIAwtransport!$J$2:$J$675,EIAwtransport!$E$2:$E$675,Program_data!$E1312,EIAwtransport!$I$2:$I$675,Program_data!R$2)</f>
        <v>3425062807.5999999</v>
      </c>
      <c r="S1312" s="5">
        <f>SUMIFS(EIAwtransport!$J$2:$J$675,EIAwtransport!$E$2:$E$675,Program_data!$E1312,EIAwtransport!$I$2:$I$675,Program_data!S$2)</f>
        <v>884953189.29599977</v>
      </c>
      <c r="T1312" s="5">
        <f>SUMIFS(EIAwtransport!$J$2:$J$675,EIAwtransport!$E$2:$E$675,Program_data!$E1312,EIAwtransport!$I$2:$I$675,Program_data!T$2)</f>
        <v>3728492</v>
      </c>
      <c r="U1312" s="24">
        <f t="shared" si="421"/>
        <v>0</v>
      </c>
      <c r="V1312" s="24">
        <f t="shared" si="397"/>
        <v>0</v>
      </c>
      <c r="W1312" s="24">
        <f t="shared" si="422"/>
        <v>2.2935814807641542E-4</v>
      </c>
      <c r="X1312" s="25">
        <f t="shared" si="423"/>
        <v>8.5684577372158386E-5</v>
      </c>
      <c r="Y1312" s="8">
        <f t="shared" si="415"/>
        <v>2.7141554036830991E-2</v>
      </c>
      <c r="Z1312" s="27">
        <f t="shared" si="416"/>
        <v>1.8430199456077156E-2</v>
      </c>
      <c r="AE1312" s="20">
        <f t="shared" si="398"/>
        <v>931572.44849039614</v>
      </c>
      <c r="AF1312" s="20">
        <f t="shared" si="399"/>
        <v>4623834790.2600002</v>
      </c>
      <c r="AG1312">
        <f t="shared" si="418"/>
        <v>0</v>
      </c>
      <c r="AH1312">
        <f t="shared" si="419"/>
        <v>0</v>
      </c>
      <c r="AI1312">
        <f t="shared" si="420"/>
        <v>93344862406.942062</v>
      </c>
    </row>
    <row r="1313" spans="2:35" x14ac:dyDescent="0.25">
      <c r="B1313" s="4">
        <v>2025</v>
      </c>
      <c r="C1313" s="4" t="s">
        <v>33</v>
      </c>
      <c r="D1313" s="4" t="s">
        <v>77</v>
      </c>
      <c r="E1313" s="4" t="str">
        <f t="shared" si="417"/>
        <v>Enbridge-CAN</v>
      </c>
      <c r="F1313" s="4" t="s">
        <v>146</v>
      </c>
      <c r="G1313" s="4"/>
      <c r="H1313" s="5" t="s">
        <v>663</v>
      </c>
      <c r="I1313" s="5"/>
      <c r="J1313" s="5"/>
      <c r="K1313" s="5"/>
      <c r="L1313" s="5"/>
      <c r="M1313" s="8">
        <f>4672683.5134824*0.74</f>
        <v>3457785.7999769761</v>
      </c>
      <c r="N1313" s="8">
        <f>4241669.76495936*74</f>
        <v>313883562.6069926</v>
      </c>
      <c r="O1313" s="8">
        <f>SUMIFS(EIAwtransport!$J$2:$J$675,EIAwtransport!$E$2:$E$675,Program_data!$E1313,EIAwtransport!$H$2:$H$675,Program_data!$F1313,EIAwtransport!$I$2:$I$675,Program_data!O$2)</f>
        <v>2377068394.8298411</v>
      </c>
      <c r="P1313" s="5">
        <f>SUMIFS(EIAwtransport!$J$2:$J$675,EIAwtransport!$E$2:$E$675,Program_data!$E1313,EIAwtransport!$H$2:$H$675,Program_data!$F1313,EIAwtransport!$I$2:$I$675,Program_data!P$2)</f>
        <v>614176841.51999986</v>
      </c>
      <c r="Q1313" s="5">
        <f>SUMIFS(EIAwtransport!$J$2:$J$675,EIAwtransport!$E$2:$E$675,Program_data!$E1313,EIAwtransport!$H$2:$H$675,Program_data!$F1313,EIAwtransport!$I$2:$I$675,Program_data!Q$2)</f>
        <v>16513</v>
      </c>
      <c r="R1313" s="8">
        <f>SUMIFS(EIAwtransport!$J$2:$J$675,EIAwtransport!$E$2:$E$675,Program_data!$E1313,EIAwtransport!$I$2:$I$675,Program_data!R$2)</f>
        <v>3425062807.5999999</v>
      </c>
      <c r="S1313" s="5">
        <f>SUMIFS(EIAwtransport!$J$2:$J$675,EIAwtransport!$E$2:$E$675,Program_data!$E1313,EIAwtransport!$I$2:$I$675,Program_data!S$2)</f>
        <v>884953189.29599977</v>
      </c>
      <c r="T1313" s="5">
        <f>SUMIFS(EIAwtransport!$J$2:$J$675,EIAwtransport!$E$2:$E$675,Program_data!$E1313,EIAwtransport!$I$2:$I$675,Program_data!T$2)</f>
        <v>3728492</v>
      </c>
      <c r="U1313" s="24">
        <f t="shared" si="421"/>
        <v>0</v>
      </c>
      <c r="V1313" s="24">
        <f t="shared" si="397"/>
        <v>0</v>
      </c>
      <c r="W1313" s="24">
        <f t="shared" si="422"/>
        <v>1.0095539831574375E-3</v>
      </c>
      <c r="X1313" s="25">
        <f t="shared" si="423"/>
        <v>3.7715340443193588E-4</v>
      </c>
      <c r="Y1313" s="8">
        <f t="shared" si="415"/>
        <v>0.11946758472184904</v>
      </c>
      <c r="Z1313" s="27">
        <f t="shared" si="416"/>
        <v>8.1123262580013775E-2</v>
      </c>
      <c r="AE1313" s="20">
        <f t="shared" si="398"/>
        <v>423742809.51944005</v>
      </c>
      <c r="AF1313" s="20">
        <f t="shared" si="399"/>
        <v>4623834790.2600002</v>
      </c>
      <c r="AG1313">
        <f t="shared" si="418"/>
        <v>0</v>
      </c>
      <c r="AH1313">
        <f t="shared" si="419"/>
        <v>0</v>
      </c>
      <c r="AI1313">
        <f t="shared" si="420"/>
        <v>93344862406.942062</v>
      </c>
    </row>
    <row r="1314" spans="2:35" x14ac:dyDescent="0.25">
      <c r="B1314" s="4">
        <v>2025</v>
      </c>
      <c r="C1314" s="4" t="s">
        <v>33</v>
      </c>
      <c r="D1314" s="4" t="s">
        <v>77</v>
      </c>
      <c r="E1314" s="4" t="str">
        <f t="shared" si="417"/>
        <v>Enbridge-CAN</v>
      </c>
      <c r="F1314" s="4" t="s">
        <v>146</v>
      </c>
      <c r="G1314" s="4"/>
      <c r="H1314" s="5" t="s">
        <v>664</v>
      </c>
      <c r="I1314" s="5"/>
      <c r="J1314" s="5"/>
      <c r="K1314" s="5"/>
      <c r="L1314" s="5"/>
      <c r="M1314" s="8">
        <f>2109974.95364582*0.74</f>
        <v>1561381.4656979067</v>
      </c>
      <c r="N1314" s="8">
        <f>453419.526587904*0.74</f>
        <v>335530.44967504899</v>
      </c>
      <c r="O1314" s="8">
        <f>SUMIFS(EIAwtransport!$J$2:$J$675,EIAwtransport!$E$2:$E$675,Program_data!$E1314,EIAwtransport!$H$2:$H$675,Program_data!$F1314,EIAwtransport!$I$2:$I$675,Program_data!O$2)</f>
        <v>2377068394.8298411</v>
      </c>
      <c r="P1314" s="5">
        <f>SUMIFS(EIAwtransport!$J$2:$J$675,EIAwtransport!$E$2:$E$675,Program_data!$E1314,EIAwtransport!$H$2:$H$675,Program_data!$F1314,EIAwtransport!$I$2:$I$675,Program_data!P$2)</f>
        <v>614176841.51999986</v>
      </c>
      <c r="Q1314" s="5">
        <f>SUMIFS(EIAwtransport!$J$2:$J$675,EIAwtransport!$E$2:$E$675,Program_data!$E1314,EIAwtransport!$H$2:$H$675,Program_data!$F1314,EIAwtransport!$I$2:$I$675,Program_data!Q$2)</f>
        <v>16513</v>
      </c>
      <c r="R1314" s="8">
        <f>SUMIFS(EIAwtransport!$J$2:$J$675,EIAwtransport!$E$2:$E$675,Program_data!$E1314,EIAwtransport!$I$2:$I$675,Program_data!R$2)</f>
        <v>3425062807.5999999</v>
      </c>
      <c r="S1314" s="5">
        <f>SUMIFS(EIAwtransport!$J$2:$J$675,EIAwtransport!$E$2:$E$675,Program_data!$E1314,EIAwtransport!$I$2:$I$675,Program_data!S$2)</f>
        <v>884953189.29599977</v>
      </c>
      <c r="T1314" s="5">
        <f>SUMIFS(EIAwtransport!$J$2:$J$675,EIAwtransport!$E$2:$E$675,Program_data!$E1314,EIAwtransport!$I$2:$I$675,Program_data!T$2)</f>
        <v>3728492</v>
      </c>
      <c r="U1314" s="24">
        <f t="shared" si="421"/>
        <v>0</v>
      </c>
      <c r="V1314" s="24">
        <f t="shared" si="397"/>
        <v>0</v>
      </c>
      <c r="W1314" s="24">
        <f t="shared" si="422"/>
        <v>4.5586944047662395E-4</v>
      </c>
      <c r="X1314" s="25">
        <f t="shared" si="423"/>
        <v>1.7030561447988266E-4</v>
      </c>
      <c r="Y1314" s="8">
        <f t="shared" si="415"/>
        <v>5.3946219727558475E-2</v>
      </c>
      <c r="Z1314" s="27">
        <f t="shared" si="416"/>
        <v>3.663163826695727E-2</v>
      </c>
      <c r="AE1314" s="20">
        <f t="shared" si="398"/>
        <v>452966.10706131614</v>
      </c>
      <c r="AF1314" s="20">
        <f t="shared" si="399"/>
        <v>4623834790.2600002</v>
      </c>
      <c r="AG1314">
        <f t="shared" si="418"/>
        <v>0</v>
      </c>
      <c r="AH1314">
        <f t="shared" si="419"/>
        <v>0</v>
      </c>
      <c r="AI1314">
        <f t="shared" si="420"/>
        <v>93344862406.942062</v>
      </c>
    </row>
    <row r="1315" spans="2:35" x14ac:dyDescent="0.25">
      <c r="B1315" s="4">
        <v>2025</v>
      </c>
      <c r="C1315" s="4" t="s">
        <v>33</v>
      </c>
      <c r="D1315" s="4" t="s">
        <v>77</v>
      </c>
      <c r="E1315" s="4" t="str">
        <f t="shared" si="417"/>
        <v>Enbridge-CAN</v>
      </c>
      <c r="F1315" s="4" t="s">
        <v>146</v>
      </c>
      <c r="G1315" s="4"/>
      <c r="H1315" s="5" t="s">
        <v>665</v>
      </c>
      <c r="I1315" s="5"/>
      <c r="J1315" s="4" t="s">
        <v>61</v>
      </c>
      <c r="K1315" s="5">
        <v>15131348.009</v>
      </c>
      <c r="L1315" s="5">
        <f>(K1315/43.7)*100</f>
        <v>34625510.318077795</v>
      </c>
      <c r="M1315" s="8">
        <f>15111601.92*0.74</f>
        <v>11182585.4208</v>
      </c>
      <c r="N1315" s="8">
        <f>14667143.04*0.74</f>
        <v>10853685.849599998</v>
      </c>
      <c r="O1315" s="8">
        <f>SUMIFS(EIAwtransport!$J$2:$J$675,EIAwtransport!$E$2:$E$675,Program_data!$E1315,EIAwtransport!$H$2:$H$675,Program_data!$F1315,EIAwtransport!$I$2:$I$675,Program_data!O$2)</f>
        <v>2377068394.8298411</v>
      </c>
      <c r="P1315" s="5">
        <f>SUMIFS(EIAwtransport!$J$2:$J$675,EIAwtransport!$E$2:$E$675,Program_data!$E1315,EIAwtransport!$H$2:$H$675,Program_data!$F1315,EIAwtransport!$I$2:$I$675,Program_data!P$2)</f>
        <v>614176841.51999986</v>
      </c>
      <c r="Q1315" s="5">
        <f>SUMIFS(EIAwtransport!$J$2:$J$675,EIAwtransport!$E$2:$E$675,Program_data!$E1315,EIAwtransport!$H$2:$H$675,Program_data!$F1315,EIAwtransport!$I$2:$I$675,Program_data!Q$2)</f>
        <v>16513</v>
      </c>
      <c r="R1315" s="8">
        <f>SUMIFS(EIAwtransport!$J$2:$J$675,EIAwtransport!$E$2:$E$675,Program_data!$E1315,EIAwtransport!$I$2:$I$675,Program_data!R$2)</f>
        <v>3425062807.5999999</v>
      </c>
      <c r="S1315" s="5">
        <f>SUMIFS(EIAwtransport!$J$2:$J$675,EIAwtransport!$E$2:$E$675,Program_data!$E1315,EIAwtransport!$I$2:$I$675,Program_data!S$2)</f>
        <v>884953189.29599977</v>
      </c>
      <c r="T1315" s="5">
        <f>SUMIFS(EIAwtransport!$J$2:$J$675,EIAwtransport!$E$2:$E$675,Program_data!$E1315,EIAwtransport!$I$2:$I$675,Program_data!T$2)</f>
        <v>3728492</v>
      </c>
      <c r="U1315" s="24">
        <f t="shared" si="421"/>
        <v>1.6504317344575665E-3</v>
      </c>
      <c r="V1315" s="24">
        <f t="shared" si="397"/>
        <v>3.7767316577976347E-3</v>
      </c>
      <c r="W1315" s="24">
        <f t="shared" si="422"/>
        <v>3.2649285718167106E-3</v>
      </c>
      <c r="X1315" s="25">
        <f t="shared" si="423"/>
        <v>1.2197256874135279E-3</v>
      </c>
      <c r="Y1315" s="8">
        <f t="shared" si="415"/>
        <v>0.38636183628772885</v>
      </c>
      <c r="Z1315" s="27">
        <f t="shared" si="416"/>
        <v>0.26235512142511336</v>
      </c>
      <c r="AE1315" s="20">
        <f t="shared" si="398"/>
        <v>14652475.89696</v>
      </c>
      <c r="AF1315" s="20">
        <f t="shared" si="399"/>
        <v>4623834790.2600002</v>
      </c>
      <c r="AG1315">
        <f t="shared" si="418"/>
        <v>1596054587.98932</v>
      </c>
      <c r="AH1315">
        <f t="shared" si="419"/>
        <v>3652298828.3508458</v>
      </c>
      <c r="AI1315">
        <f t="shared" si="420"/>
        <v>93344862406.942062</v>
      </c>
    </row>
    <row r="1316" spans="2:35" x14ac:dyDescent="0.25">
      <c r="B1316" s="37">
        <v>2025</v>
      </c>
      <c r="C1316" s="37" t="s">
        <v>33</v>
      </c>
      <c r="D1316" s="37" t="s">
        <v>77</v>
      </c>
      <c r="E1316" s="37" t="str">
        <f t="shared" si="417"/>
        <v>Enbridge-CAN</v>
      </c>
      <c r="F1316" s="37" t="s">
        <v>146</v>
      </c>
      <c r="G1316" s="37"/>
      <c r="H1316" s="38" t="s">
        <v>666</v>
      </c>
      <c r="I1316" s="38"/>
      <c r="J1316" s="38" t="s">
        <v>155</v>
      </c>
      <c r="K1316" s="38"/>
      <c r="L1316" s="38"/>
      <c r="M1316" s="39">
        <f>1194562.8*0.74</f>
        <v>883976.47200000007</v>
      </c>
      <c r="N1316" s="39">
        <f>681462*0.74</f>
        <v>504281.88</v>
      </c>
      <c r="O1316" s="8">
        <f>SUMIFS(EIAwtransport!$J$2:$J$675,EIAwtransport!$E$2:$E$675,Program_data!$E1316,EIAwtransport!$H$2:$H$675,Program_data!$F1316,EIAwtransport!$I$2:$I$675,Program_data!O$2)</f>
        <v>2377068394.8298411</v>
      </c>
      <c r="P1316" s="5">
        <f>SUMIFS(EIAwtransport!$J$2:$J$675,EIAwtransport!$E$2:$E$675,Program_data!$E1316,EIAwtransport!$H$2:$H$675,Program_data!$F1316,EIAwtransport!$I$2:$I$675,Program_data!P$2)</f>
        <v>614176841.51999986</v>
      </c>
      <c r="Q1316" s="5">
        <f>SUMIFS(EIAwtransport!$J$2:$J$675,EIAwtransport!$E$2:$E$675,Program_data!$E1316,EIAwtransport!$H$2:$H$675,Program_data!$F1316,EIAwtransport!$I$2:$I$675,Program_data!Q$2)</f>
        <v>16513</v>
      </c>
      <c r="R1316" s="8">
        <f>SUMIFS(EIAwtransport!$J$2:$J$675,EIAwtransport!$E$2:$E$675,Program_data!$E1316,EIAwtransport!$I$2:$I$675,Program_data!R$2)</f>
        <v>3425062807.5999999</v>
      </c>
      <c r="S1316" s="5">
        <f>SUMIFS(EIAwtransport!$J$2:$J$675,EIAwtransport!$E$2:$E$675,Program_data!$E1316,EIAwtransport!$I$2:$I$675,Program_data!S$2)</f>
        <v>884953189.29599977</v>
      </c>
      <c r="T1316" s="5">
        <f>SUMIFS(EIAwtransport!$J$2:$J$675,EIAwtransport!$E$2:$E$675,Program_data!$E1316,EIAwtransport!$I$2:$I$675,Program_data!T$2)</f>
        <v>3728492</v>
      </c>
      <c r="U1316" s="24">
        <f t="shared" si="421"/>
        <v>0</v>
      </c>
      <c r="V1316" s="24">
        <f t="shared" si="397"/>
        <v>0</v>
      </c>
      <c r="W1316" s="24">
        <f t="shared" si="422"/>
        <v>2.5809058743054625E-4</v>
      </c>
      <c r="X1316" s="25">
        <f t="shared" si="423"/>
        <v>9.641856238022374E-5</v>
      </c>
      <c r="Y1316" s="8">
        <f t="shared" si="415"/>
        <v>3.0541664570860466E-2</v>
      </c>
      <c r="Z1316" s="27">
        <f t="shared" si="416"/>
        <v>2.073901033808621E-2</v>
      </c>
      <c r="AE1316" s="20">
        <f t="shared" si="398"/>
        <v>680780.53800000006</v>
      </c>
      <c r="AF1316" s="20">
        <f t="shared" si="399"/>
        <v>4623834790.2600002</v>
      </c>
      <c r="AG1316">
        <f t="shared" si="418"/>
        <v>0</v>
      </c>
      <c r="AH1316">
        <f t="shared" si="419"/>
        <v>0</v>
      </c>
      <c r="AI1316">
        <f t="shared" si="420"/>
        <v>93344862406.942062</v>
      </c>
    </row>
    <row r="1317" spans="2:35" x14ac:dyDescent="0.25">
      <c r="B1317" s="4">
        <v>2025</v>
      </c>
      <c r="C1317" s="4" t="s">
        <v>33</v>
      </c>
      <c r="D1317" s="4" t="s">
        <v>77</v>
      </c>
      <c r="E1317" s="4" t="str">
        <f t="shared" si="417"/>
        <v>Enbridge-CAN</v>
      </c>
      <c r="F1317" s="37" t="s">
        <v>146</v>
      </c>
      <c r="G1317" s="4"/>
      <c r="H1317" s="5" t="s">
        <v>667</v>
      </c>
      <c r="I1317" s="5"/>
      <c r="J1317" s="38"/>
      <c r="K1317" s="5">
        <v>4745290.2989999996</v>
      </c>
      <c r="L1317" s="5">
        <f>(K1317/15.3)*100</f>
        <v>31014969.274509802</v>
      </c>
      <c r="M1317" s="8">
        <f>2777868*0.74</f>
        <v>2055622.32</v>
      </c>
      <c r="N1317" s="8">
        <f>2722310.64*0.74</f>
        <v>2014509.8736</v>
      </c>
      <c r="O1317" s="8">
        <f>SUMIFS(EIAwtransport!$J$2:$J$675,EIAwtransport!$E$2:$E$675,Program_data!$E1317,EIAwtransport!$H$2:$H$675,Program_data!$F1317,EIAwtransport!$I$2:$I$675,Program_data!O$2)</f>
        <v>2377068394.8298411</v>
      </c>
      <c r="P1317" s="5">
        <f>SUMIFS(EIAwtransport!$J$2:$J$675,EIAwtransport!$E$2:$E$675,Program_data!$E1317,EIAwtransport!$H$2:$H$675,Program_data!$F1317,EIAwtransport!$I$2:$I$675,Program_data!P$2)</f>
        <v>614176841.51999986</v>
      </c>
      <c r="Q1317" s="5">
        <f>SUMIFS(EIAwtransport!$J$2:$J$675,EIAwtransport!$E$2:$E$675,Program_data!$E1317,EIAwtransport!$H$2:$H$675,Program_data!$F1317,EIAwtransport!$I$2:$I$675,Program_data!Q$2)</f>
        <v>16513</v>
      </c>
      <c r="R1317" s="8">
        <f>SUMIFS(EIAwtransport!$J$2:$J$675,EIAwtransport!$E$2:$E$675,Program_data!$E1317,EIAwtransport!$I$2:$I$675,Program_data!R$2)</f>
        <v>3425062807.5999999</v>
      </c>
      <c r="S1317" s="5">
        <f>SUMIFS(EIAwtransport!$J$2:$J$675,EIAwtransport!$E$2:$E$675,Program_data!$E1317,EIAwtransport!$I$2:$I$675,Program_data!S$2)</f>
        <v>884953189.29599977</v>
      </c>
      <c r="T1317" s="5">
        <f>SUMIFS(EIAwtransport!$J$2:$J$675,EIAwtransport!$E$2:$E$675,Program_data!$E1317,EIAwtransport!$I$2:$I$675,Program_data!T$2)</f>
        <v>3728492</v>
      </c>
      <c r="U1317" s="24">
        <f t="shared" si="421"/>
        <v>5.1758625166937924E-4</v>
      </c>
      <c r="V1317" s="24">
        <f t="shared" si="397"/>
        <v>3.3829166775776421E-3</v>
      </c>
      <c r="W1317" s="24">
        <f t="shared" si="422"/>
        <v>6.0017069334865997E-4</v>
      </c>
      <c r="X1317" s="25">
        <f t="shared" si="423"/>
        <v>2.242142807745456E-4</v>
      </c>
      <c r="Y1317" s="8">
        <f t="shared" si="415"/>
        <v>7.1022396376420743E-2</v>
      </c>
      <c r="Z1317" s="27">
        <f t="shared" si="416"/>
        <v>4.8227044379616425E-2</v>
      </c>
      <c r="AE1317" s="20">
        <f t="shared" si="398"/>
        <v>2719588.3293600003</v>
      </c>
      <c r="AF1317" s="20">
        <f t="shared" si="399"/>
        <v>4623834790.2600002</v>
      </c>
      <c r="AG1317">
        <f t="shared" si="418"/>
        <v>500533220.73851997</v>
      </c>
      <c r="AH1317">
        <f t="shared" si="419"/>
        <v>3271458959.075294</v>
      </c>
      <c r="AI1317">
        <f t="shared" si="420"/>
        <v>93344862406.942062</v>
      </c>
    </row>
    <row r="1318" spans="2:35" x14ac:dyDescent="0.25">
      <c r="B1318" s="4">
        <v>2025</v>
      </c>
      <c r="C1318" s="4" t="s">
        <v>33</v>
      </c>
      <c r="D1318" s="4" t="s">
        <v>77</v>
      </c>
      <c r="E1318" s="4" t="str">
        <f t="shared" si="417"/>
        <v>Enbridge-CAN</v>
      </c>
      <c r="F1318" s="4" t="s">
        <v>143</v>
      </c>
      <c r="G1318" s="4">
        <v>1</v>
      </c>
      <c r="H1318" s="4" t="s">
        <v>668</v>
      </c>
      <c r="I1318" s="5"/>
      <c r="J1318" s="5" t="s">
        <v>108</v>
      </c>
      <c r="K1318" s="5">
        <v>998109.73</v>
      </c>
      <c r="L1318" s="5">
        <v>998109.73</v>
      </c>
      <c r="M1318" s="8">
        <f>15659674.9704*0.74</f>
        <v>11588159.478095999</v>
      </c>
      <c r="N1318" s="8">
        <f>10361725.4268*0.74</f>
        <v>7667676.8158319993</v>
      </c>
      <c r="O1318" s="8">
        <f>SUMIFS(EIAwtransport!$J$2:$J$675,EIAwtransport!$E$2:$E$675,Program_data!$E1318,EIAwtransport!$H$2:$H$675,Program_data!$F1318,EIAwtransport!$I$2:$I$675,Program_data!O$2)</f>
        <v>0</v>
      </c>
      <c r="P1318" s="5">
        <f>SUMIFS(EIAwtransport!$J$2:$J$675,EIAwtransport!$E$2:$E$675,Program_data!$E1318,EIAwtransport!$H$2:$H$675,Program_data!$F1318,EIAwtransport!$I$2:$I$675,Program_data!P$2)</f>
        <v>0</v>
      </c>
      <c r="Q1318" s="5">
        <f>SUMIFS(EIAwtransport!$J$2:$J$675,EIAwtransport!$E$2:$E$675,Program_data!$E1318,EIAwtransport!$H$2:$H$675,Program_data!$F1318,EIAwtransport!$I$2:$I$675,Program_data!Q$2)</f>
        <v>0</v>
      </c>
      <c r="R1318" s="8">
        <f>SUMIFS(EIAwtransport!$J$2:$J$675,EIAwtransport!$E$2:$E$675,Program_data!$E1318,EIAwtransport!$I$2:$I$675,Program_data!R$2)</f>
        <v>3425062807.5999999</v>
      </c>
      <c r="S1318" s="5">
        <f>SUMIFS(EIAwtransport!$J$2:$J$675,EIAwtransport!$E$2:$E$675,Program_data!$E1318,EIAwtransport!$I$2:$I$675,Program_data!S$2)</f>
        <v>884953189.29599977</v>
      </c>
      <c r="T1318" s="5">
        <f>SUMIFS(EIAwtransport!$J$2:$J$675,EIAwtransport!$E$2:$E$675,Program_data!$E1318,EIAwtransport!$I$2:$I$675,Program_data!T$2)</f>
        <v>3728492</v>
      </c>
      <c r="U1318" s="24">
        <f t="shared" si="421"/>
        <v>1.0886749626557171E-4</v>
      </c>
      <c r="V1318" s="24">
        <f t="shared" si="397"/>
        <v>1.0886749626557171E-4</v>
      </c>
      <c r="W1318" s="24">
        <f t="shared" si="422"/>
        <v>3.3833421835017443E-3</v>
      </c>
      <c r="X1318" s="25">
        <f t="shared" si="423"/>
        <v>1.2639631403117027E-3</v>
      </c>
      <c r="Y1318" s="8">
        <f t="shared" si="415"/>
        <v>4.4508656983052042</v>
      </c>
      <c r="Z1318" s="27">
        <f t="shared" si="416"/>
        <v>0.27187031196869299</v>
      </c>
      <c r="AE1318" s="20">
        <f t="shared" si="398"/>
        <v>10351363.701373199</v>
      </c>
      <c r="AF1318" s="20">
        <f t="shared" si="399"/>
        <v>4623834790.2600002</v>
      </c>
      <c r="AG1318">
        <f t="shared" si="418"/>
        <v>105280614.3204</v>
      </c>
      <c r="AH1318">
        <f t="shared" si="419"/>
        <v>105280614.3204</v>
      </c>
      <c r="AI1318">
        <f t="shared" si="420"/>
        <v>93344862406.942062</v>
      </c>
    </row>
    <row r="1319" spans="2:35" x14ac:dyDescent="0.25">
      <c r="B1319" s="4">
        <v>2025</v>
      </c>
      <c r="C1319" s="4" t="s">
        <v>33</v>
      </c>
      <c r="D1319" s="4" t="s">
        <v>77</v>
      </c>
      <c r="E1319" s="4" t="str">
        <f t="shared" si="417"/>
        <v>Enbridge-CAN</v>
      </c>
      <c r="F1319" s="4" t="s">
        <v>143</v>
      </c>
      <c r="G1319" s="4">
        <v>1</v>
      </c>
      <c r="H1319" s="4" t="s">
        <v>669</v>
      </c>
      <c r="I1319" s="5"/>
      <c r="J1319" s="5" t="s">
        <v>108</v>
      </c>
      <c r="K1319" s="5">
        <v>1605464.5549999999</v>
      </c>
      <c r="L1319" s="5">
        <v>1605464.5549999999</v>
      </c>
      <c r="M1319" s="8">
        <f>7776863.054472*0.74</f>
        <v>5754878.6603092803</v>
      </c>
      <c r="N1319" s="8">
        <f>6649048.177272*0.74</f>
        <v>4920295.6511812806</v>
      </c>
      <c r="O1319" s="8">
        <f>SUMIFS(EIAwtransport!$J$2:$J$675,EIAwtransport!$E$2:$E$675,Program_data!$E1319,EIAwtransport!$H$2:$H$675,Program_data!$F1319,EIAwtransport!$I$2:$I$675,Program_data!O$2)</f>
        <v>0</v>
      </c>
      <c r="P1319" s="5">
        <f>SUMIFS(EIAwtransport!$J$2:$J$675,EIAwtransport!$E$2:$E$675,Program_data!$E1319,EIAwtransport!$H$2:$H$675,Program_data!$F1319,EIAwtransport!$I$2:$I$675,Program_data!P$2)</f>
        <v>0</v>
      </c>
      <c r="Q1319" s="5">
        <f>SUMIFS(EIAwtransport!$J$2:$J$675,EIAwtransport!$E$2:$E$675,Program_data!$E1319,EIAwtransport!$H$2:$H$675,Program_data!$F1319,EIAwtransport!$I$2:$I$675,Program_data!Q$2)</f>
        <v>0</v>
      </c>
      <c r="R1319" s="8">
        <f>SUMIFS(EIAwtransport!$J$2:$J$675,EIAwtransport!$E$2:$E$675,Program_data!$E1319,EIAwtransport!$I$2:$I$675,Program_data!R$2)</f>
        <v>3425062807.5999999</v>
      </c>
      <c r="S1319" s="5">
        <f>SUMIFS(EIAwtransport!$J$2:$J$675,EIAwtransport!$E$2:$E$675,Program_data!$E1319,EIAwtransport!$I$2:$I$675,Program_data!S$2)</f>
        <v>884953189.29599977</v>
      </c>
      <c r="T1319" s="5">
        <f>SUMIFS(EIAwtransport!$J$2:$J$675,EIAwtransport!$E$2:$E$675,Program_data!$E1319,EIAwtransport!$I$2:$I$675,Program_data!T$2)</f>
        <v>3728492</v>
      </c>
      <c r="U1319" s="24">
        <f t="shared" si="421"/>
        <v>1.751139190337021E-4</v>
      </c>
      <c r="V1319" s="24">
        <f t="shared" si="397"/>
        <v>1.751139190337021E-4</v>
      </c>
      <c r="W1319" s="24">
        <f t="shared" si="422"/>
        <v>1.6802257312010644E-3</v>
      </c>
      <c r="X1319" s="25">
        <f t="shared" si="423"/>
        <v>6.2770576443537817E-4</v>
      </c>
      <c r="Y1319" s="8">
        <f t="shared" si="415"/>
        <v>2.2103762099145481</v>
      </c>
      <c r="Z1319" s="27">
        <f t="shared" si="416"/>
        <v>0.13501545777633081</v>
      </c>
      <c r="AE1319" s="20">
        <f t="shared" si="398"/>
        <v>6642399.1290947292</v>
      </c>
      <c r="AF1319" s="20">
        <f t="shared" si="399"/>
        <v>4623834790.2600002</v>
      </c>
      <c r="AG1319">
        <f t="shared" si="418"/>
        <v>169344401.26140001</v>
      </c>
      <c r="AH1319">
        <f t="shared" si="419"/>
        <v>169344401.26140001</v>
      </c>
      <c r="AI1319">
        <f t="shared" si="420"/>
        <v>93344862406.942062</v>
      </c>
    </row>
    <row r="1320" spans="2:35" x14ac:dyDescent="0.25">
      <c r="B1320" s="4">
        <v>2025</v>
      </c>
      <c r="C1320" s="4" t="s">
        <v>33</v>
      </c>
      <c r="D1320" s="4" t="s">
        <v>77</v>
      </c>
      <c r="E1320" s="4" t="str">
        <f t="shared" si="417"/>
        <v>Enbridge-CAN</v>
      </c>
      <c r="F1320" s="4" t="s">
        <v>155</v>
      </c>
      <c r="G1320" s="4"/>
      <c r="H1320" s="4" t="s">
        <v>155</v>
      </c>
      <c r="I1320" s="5"/>
      <c r="J1320" s="5" t="s">
        <v>155</v>
      </c>
      <c r="K1320" s="5">
        <v>0</v>
      </c>
      <c r="L1320" s="5">
        <v>0</v>
      </c>
      <c r="M1320" s="8">
        <f>20000649.5988919*0.74</f>
        <v>14800480.703180006</v>
      </c>
      <c r="N1320" s="8"/>
      <c r="O1320" s="8">
        <f>SUMIFS(EIAwtransport!$J$2:$J$675,EIAwtransport!$E$2:$E$675,Program_data!$E1320,EIAwtransport!$H$2:$H$675,Program_data!$F1320,EIAwtransport!$I$2:$I$675,Program_data!O$2)</f>
        <v>0</v>
      </c>
      <c r="P1320" s="5">
        <f>SUMIFS(EIAwtransport!$J$2:$J$675,EIAwtransport!$E$2:$E$675,Program_data!$E1320,EIAwtransport!$H$2:$H$675,Program_data!$F1320,EIAwtransport!$I$2:$I$675,Program_data!P$2)</f>
        <v>0</v>
      </c>
      <c r="Q1320" s="5">
        <f>SUMIFS(EIAwtransport!$J$2:$J$675,EIAwtransport!$E$2:$E$675,Program_data!$E1320,EIAwtransport!$H$2:$H$675,Program_data!$F1320,EIAwtransport!$I$2:$I$675,Program_data!Q$2)</f>
        <v>0</v>
      </c>
      <c r="R1320" s="8">
        <f>SUMIFS(EIAwtransport!$J$2:$J$675,EIAwtransport!$E$2:$E$675,Program_data!$E1320,EIAwtransport!$I$2:$I$675,Program_data!R$2)</f>
        <v>3425062807.5999999</v>
      </c>
      <c r="S1320" s="5">
        <f>SUMIFS(EIAwtransport!$J$2:$J$675,EIAwtransport!$E$2:$E$675,Program_data!$E1320,EIAwtransport!$I$2:$I$675,Program_data!S$2)</f>
        <v>884953189.29599977</v>
      </c>
      <c r="T1320" s="5">
        <f>SUMIFS(EIAwtransport!$J$2:$J$675,EIAwtransport!$E$2:$E$675,Program_data!$E1320,EIAwtransport!$I$2:$I$675,Program_data!T$2)</f>
        <v>3728492</v>
      </c>
      <c r="U1320" s="24">
        <f t="shared" si="421"/>
        <v>0</v>
      </c>
      <c r="V1320" s="24">
        <f t="shared" si="397"/>
        <v>0</v>
      </c>
      <c r="W1320" s="24">
        <f t="shared" si="422"/>
        <v>4.321228991870942E-3</v>
      </c>
      <c r="X1320" s="25">
        <f t="shared" si="423"/>
        <v>1.6143428214872883E-3</v>
      </c>
      <c r="Y1320" s="8" t="str">
        <f t="shared" si="415"/>
        <v/>
      </c>
      <c r="Z1320" s="27">
        <f t="shared" si="416"/>
        <v>0.34723471951400037</v>
      </c>
      <c r="AE1320" s="20">
        <f t="shared" si="398"/>
        <v>0</v>
      </c>
      <c r="AF1320" s="20">
        <f t="shared" si="399"/>
        <v>4623834790.2600002</v>
      </c>
      <c r="AG1320">
        <f t="shared" si="418"/>
        <v>0</v>
      </c>
      <c r="AH1320">
        <f t="shared" si="419"/>
        <v>0</v>
      </c>
      <c r="AI1320">
        <f t="shared" si="420"/>
        <v>93344862406.942062</v>
      </c>
    </row>
    <row r="1321" spans="2:35" x14ac:dyDescent="0.25">
      <c r="B1321" s="4">
        <v>2024</v>
      </c>
      <c r="C1321" s="4" t="s">
        <v>33</v>
      </c>
      <c r="D1321" s="1" t="s">
        <v>81</v>
      </c>
      <c r="E1321" s="4" t="s">
        <v>696</v>
      </c>
      <c r="F1321" s="11" t="s">
        <v>135</v>
      </c>
      <c r="G1321" s="11"/>
      <c r="H1321" s="11" t="s">
        <v>697</v>
      </c>
      <c r="I1321" s="11"/>
      <c r="J1321" s="11" t="s">
        <v>27</v>
      </c>
      <c r="K1321" s="92">
        <v>133731.97554499167</v>
      </c>
      <c r="L1321" s="92">
        <v>148591.0839388796</v>
      </c>
      <c r="M1321" s="93">
        <v>643532.08557695732</v>
      </c>
      <c r="N1321" s="8">
        <v>0</v>
      </c>
      <c r="O1321" s="8">
        <f>SUMIFS(EIAwtransport!$J$2:$J$675,EIAwtransport!$E$2:$E$675,Program_data!$E1321,EIAwtransport!$H$2:$H$675,Program_data!$F1321,EIAwtransport!$I$2:$I$675,Program_data!O$2)</f>
        <v>874680000</v>
      </c>
      <c r="P1321" s="5">
        <f>SUMIFS(EIAwtransport!$J$2:$J$675,EIAwtransport!$E$2:$E$675,Program_data!$E1321,EIAwtransport!$H$2:$H$675,Program_data!$F1321,EIAwtransport!$I$2:$I$675,Program_data!P$2)</f>
        <v>82460085.7641761</v>
      </c>
      <c r="Q1321" s="5">
        <f>SUMIFS(EIAwtransport!$J$2:$J$675,EIAwtransport!$E$2:$E$675,Program_data!$E1321,EIAwtransport!$H$2:$H$675,Program_data!$F1321,EIAwtransport!$I$2:$I$675,Program_data!Q$2)</f>
        <v>976170</v>
      </c>
      <c r="R1321" s="8">
        <f>SUMIFS(EIAwtransport!$J$2:$J$675,EIAwtransport!$E$2:$E$675,Program_data!$E1321,EIAwtransport!$I$2:$I$675,Program_data!R$2)</f>
        <v>1429680000</v>
      </c>
      <c r="S1321" s="5">
        <f>SUMIFS(EIAwtransport!$J$2:$J$675,EIAwtransport!$E$2:$E$675,Program_data!$E1321,EIAwtransport!$I$2:$I$675,Program_data!S$2)</f>
        <v>158285451.98410821</v>
      </c>
      <c r="T1321" s="5">
        <f>SUMIFS(EIAwtransport!$J$2:$J$675,EIAwtransport!$E$2:$E$675,Program_data!$E1321,EIAwtransport!$I$2:$I$675,Program_data!T$2)</f>
        <v>1074614</v>
      </c>
      <c r="U1321" s="24">
        <f t="shared" si="421"/>
        <v>8.1551978947933736E-5</v>
      </c>
      <c r="V1321" s="24">
        <f t="shared" ref="V1321:V1384" si="424">IFERROR(L1321/10.36/S1321,"")</f>
        <v>9.0613309942148574E-5</v>
      </c>
      <c r="W1321" s="24">
        <f t="shared" si="422"/>
        <v>4.501231643283513E-4</v>
      </c>
      <c r="X1321" s="25">
        <f t="shared" si="423"/>
        <v>3.9243654990825697E-4</v>
      </c>
      <c r="Y1321" s="8">
        <f t="shared" si="415"/>
        <v>0.39446831427459123</v>
      </c>
      <c r="Z1321" s="27">
        <f t="shared" si="416"/>
        <v>7.8938274491177809E-2</v>
      </c>
      <c r="AA1321" s="27"/>
      <c r="AB1321" s="27"/>
      <c r="AC1321" s="56">
        <f t="shared" ref="AC1321:AC1352" si="425">IFERROR(M1321/SUMIFS($M$3:$M$1234,$E$3:$E$1234,E1321,$B$3:$B$1234,B1321),"")</f>
        <v>5.6388343728391663E-3</v>
      </c>
      <c r="AE1321" s="20" t="e">
        <f>#REF!*1.35</f>
        <v>#REF!</v>
      </c>
      <c r="AF1321" s="20">
        <f t="shared" ref="AF1321:AF1352" si="426">R1321*1.35</f>
        <v>1930068000.0000002</v>
      </c>
      <c r="AG1321">
        <f t="shared" ref="AG1321:AG1352" si="427">M1321*105.48</f>
        <v>67879764.386657462</v>
      </c>
      <c r="AH1321">
        <f t="shared" ref="AH1321:AH1352" si="428">N1321*105.48</f>
        <v>0</v>
      </c>
      <c r="AI1321">
        <f t="shared" ref="AI1321:AI1352" si="429">S1321*105.48</f>
        <v>16695949475.283735</v>
      </c>
    </row>
    <row r="1322" spans="2:35" x14ac:dyDescent="0.25">
      <c r="B1322" s="4">
        <v>2024</v>
      </c>
      <c r="C1322" s="4" t="s">
        <v>33</v>
      </c>
      <c r="D1322" s="1" t="s">
        <v>81</v>
      </c>
      <c r="E1322" s="4" t="s">
        <v>696</v>
      </c>
      <c r="F1322" s="11" t="s">
        <v>135</v>
      </c>
      <c r="G1322" s="11"/>
      <c r="H1322" s="11" t="s">
        <v>698</v>
      </c>
      <c r="I1322" s="11"/>
      <c r="J1322" s="11" t="s">
        <v>27</v>
      </c>
      <c r="K1322" s="92">
        <v>48493.102830134005</v>
      </c>
      <c r="L1322" s="92">
        <v>53881.225366815546</v>
      </c>
      <c r="M1322" s="93">
        <v>158806.49580020041</v>
      </c>
      <c r="N1322" s="8">
        <v>0</v>
      </c>
      <c r="O1322" s="8">
        <f>SUMIFS(EIAwtransport!$J$2:$J$675,EIAwtransport!$E$2:$E$675,Program_data!$E1322,EIAwtransport!$H$2:$H$675,Program_data!$F1322,EIAwtransport!$I$2:$I$675,Program_data!O$2)</f>
        <v>874680000</v>
      </c>
      <c r="P1322" s="5">
        <f>SUMIFS(EIAwtransport!$J$2:$J$675,EIAwtransport!$E$2:$E$675,Program_data!$E1322,EIAwtransport!$H$2:$H$675,Program_data!$F1322,EIAwtransport!$I$2:$I$675,Program_data!P$2)</f>
        <v>82460085.7641761</v>
      </c>
      <c r="Q1322" s="5">
        <f>SUMIFS(EIAwtransport!$J$2:$J$675,EIAwtransport!$E$2:$E$675,Program_data!$E1322,EIAwtransport!$H$2:$H$675,Program_data!$F1322,EIAwtransport!$I$2:$I$675,Program_data!Q$2)</f>
        <v>976170</v>
      </c>
      <c r="R1322" s="8">
        <f>SUMIFS(EIAwtransport!$J$2:$J$675,EIAwtransport!$E$2:$E$675,Program_data!$E1322,EIAwtransport!$I$2:$I$675,Program_data!R$2)</f>
        <v>1429680000</v>
      </c>
      <c r="S1322" s="5">
        <f>SUMIFS(EIAwtransport!$J$2:$J$675,EIAwtransport!$E$2:$E$675,Program_data!$E1322,EIAwtransport!$I$2:$I$675,Program_data!S$2)</f>
        <v>158285451.98410821</v>
      </c>
      <c r="T1322" s="5">
        <f>SUMIFS(EIAwtransport!$J$2:$J$675,EIAwtransport!$E$2:$E$675,Program_data!$E1322,EIAwtransport!$I$2:$I$675,Program_data!T$2)</f>
        <v>1074614</v>
      </c>
      <c r="U1322" s="24">
        <f t="shared" si="421"/>
        <v>2.9571899203661921E-5</v>
      </c>
      <c r="V1322" s="24">
        <f t="shared" si="424"/>
        <v>3.2857665781846565E-5</v>
      </c>
      <c r="W1322" s="24">
        <f t="shared" si="422"/>
        <v>1.1107835026033827E-4</v>
      </c>
      <c r="X1322" s="25">
        <f t="shared" si="423"/>
        <v>9.6842837694683956E-5</v>
      </c>
      <c r="Y1322" s="8">
        <f t="shared" si="415"/>
        <v>9.7344222763961402E-2</v>
      </c>
      <c r="Z1322" s="27">
        <f t="shared" si="416"/>
        <v>1.9479853510674997E-2</v>
      </c>
      <c r="AA1322" s="27"/>
      <c r="AB1322" s="27"/>
      <c r="AC1322" s="56">
        <f t="shared" si="425"/>
        <v>1.3915134104703808E-3</v>
      </c>
      <c r="AE1322" s="20" t="e">
        <f>#REF!*1.35</f>
        <v>#REF!</v>
      </c>
      <c r="AF1322" s="20">
        <f t="shared" si="426"/>
        <v>1930068000.0000002</v>
      </c>
      <c r="AG1322">
        <f t="shared" si="427"/>
        <v>16750909.17700514</v>
      </c>
      <c r="AH1322">
        <f t="shared" si="428"/>
        <v>0</v>
      </c>
      <c r="AI1322">
        <f t="shared" si="429"/>
        <v>16695949475.283735</v>
      </c>
    </row>
    <row r="1323" spans="2:35" x14ac:dyDescent="0.25">
      <c r="B1323" s="4">
        <v>2024</v>
      </c>
      <c r="C1323" s="4" t="s">
        <v>33</v>
      </c>
      <c r="D1323" s="1" t="s">
        <v>81</v>
      </c>
      <c r="E1323" s="4" t="s">
        <v>696</v>
      </c>
      <c r="F1323" s="11" t="s">
        <v>135</v>
      </c>
      <c r="G1323" s="11"/>
      <c r="H1323" s="11" t="s">
        <v>699</v>
      </c>
      <c r="I1323" s="11"/>
      <c r="J1323" s="11" t="s">
        <v>27</v>
      </c>
      <c r="K1323" s="92">
        <v>13360.900361345606</v>
      </c>
      <c r="L1323" s="92">
        <v>14845.444845939561</v>
      </c>
      <c r="M1323" s="93">
        <v>119833.82031019624</v>
      </c>
      <c r="N1323" s="8">
        <v>0</v>
      </c>
      <c r="O1323" s="8">
        <f>SUMIFS(EIAwtransport!$J$2:$J$675,EIAwtransport!$E$2:$E$675,Program_data!$E1323,EIAwtransport!$H$2:$H$675,Program_data!$F1323,EIAwtransport!$I$2:$I$675,Program_data!O$2)</f>
        <v>874680000</v>
      </c>
      <c r="P1323" s="5">
        <f>SUMIFS(EIAwtransport!$J$2:$J$675,EIAwtransport!$E$2:$E$675,Program_data!$E1323,EIAwtransport!$H$2:$H$675,Program_data!$F1323,EIAwtransport!$I$2:$I$675,Program_data!P$2)</f>
        <v>82460085.7641761</v>
      </c>
      <c r="Q1323" s="5">
        <f>SUMIFS(EIAwtransport!$J$2:$J$675,EIAwtransport!$E$2:$E$675,Program_data!$E1323,EIAwtransport!$H$2:$H$675,Program_data!$F1323,EIAwtransport!$I$2:$I$675,Program_data!Q$2)</f>
        <v>976170</v>
      </c>
      <c r="R1323" s="8">
        <f>SUMIFS(EIAwtransport!$J$2:$J$675,EIAwtransport!$E$2:$E$675,Program_data!$E1323,EIAwtransport!$I$2:$I$675,Program_data!R$2)</f>
        <v>1429680000</v>
      </c>
      <c r="S1323" s="5">
        <f>SUMIFS(EIAwtransport!$J$2:$J$675,EIAwtransport!$E$2:$E$675,Program_data!$E1323,EIAwtransport!$I$2:$I$675,Program_data!S$2)</f>
        <v>158285451.98410821</v>
      </c>
      <c r="T1323" s="5">
        <f>SUMIFS(EIAwtransport!$J$2:$J$675,EIAwtransport!$E$2:$E$675,Program_data!$E1323,EIAwtransport!$I$2:$I$675,Program_data!T$2)</f>
        <v>1074614</v>
      </c>
      <c r="U1323" s="24">
        <f t="shared" si="421"/>
        <v>8.1476988622464394E-6</v>
      </c>
      <c r="V1323" s="24">
        <f t="shared" si="424"/>
        <v>9.0529987358293754E-6</v>
      </c>
      <c r="W1323" s="24">
        <f t="shared" si="422"/>
        <v>8.381863095951279E-5</v>
      </c>
      <c r="X1323" s="25">
        <f t="shared" si="423"/>
        <v>7.3076653144182093E-5</v>
      </c>
      <c r="Y1323" s="8">
        <f t="shared" si="415"/>
        <v>7.3454993387729817E-2</v>
      </c>
      <c r="Z1323" s="27">
        <f t="shared" si="416"/>
        <v>1.4699305928921751E-2</v>
      </c>
      <c r="AA1323" s="27"/>
      <c r="AB1323" s="27"/>
      <c r="AC1323" s="56">
        <f t="shared" si="425"/>
        <v>1.0500223378729417E-3</v>
      </c>
      <c r="AE1323" s="20" t="e">
        <f>#REF!*1.35</f>
        <v>#REF!</v>
      </c>
      <c r="AF1323" s="20">
        <f t="shared" si="426"/>
        <v>1930068000.0000002</v>
      </c>
      <c r="AG1323">
        <f t="shared" si="427"/>
        <v>12640071.3663195</v>
      </c>
      <c r="AH1323">
        <f t="shared" si="428"/>
        <v>0</v>
      </c>
      <c r="AI1323">
        <f t="shared" si="429"/>
        <v>16695949475.283735</v>
      </c>
    </row>
    <row r="1324" spans="2:35" x14ac:dyDescent="0.25">
      <c r="B1324" s="4">
        <v>2024</v>
      </c>
      <c r="C1324" s="4" t="s">
        <v>33</v>
      </c>
      <c r="D1324" s="1" t="s">
        <v>81</v>
      </c>
      <c r="E1324" s="4" t="s">
        <v>696</v>
      </c>
      <c r="F1324" s="11" t="s">
        <v>135</v>
      </c>
      <c r="G1324" s="11"/>
      <c r="H1324" s="11" t="s">
        <v>700</v>
      </c>
      <c r="I1324" s="11"/>
      <c r="J1324" s="11" t="s">
        <v>27</v>
      </c>
      <c r="K1324" s="92">
        <v>8232.0924453705229</v>
      </c>
      <c r="L1324" s="92">
        <v>9146.7693837450242</v>
      </c>
      <c r="M1324" s="93">
        <v>42898.104840941218</v>
      </c>
      <c r="N1324" s="8">
        <v>0</v>
      </c>
      <c r="O1324" s="8">
        <f>SUMIFS(EIAwtransport!$J$2:$J$675,EIAwtransport!$E$2:$E$675,Program_data!$E1324,EIAwtransport!$H$2:$H$675,Program_data!$F1324,EIAwtransport!$I$2:$I$675,Program_data!O$2)</f>
        <v>874680000</v>
      </c>
      <c r="P1324" s="5">
        <f>SUMIFS(EIAwtransport!$J$2:$J$675,EIAwtransport!$E$2:$E$675,Program_data!$E1324,EIAwtransport!$H$2:$H$675,Program_data!$F1324,EIAwtransport!$I$2:$I$675,Program_data!P$2)</f>
        <v>82460085.7641761</v>
      </c>
      <c r="Q1324" s="5">
        <f>SUMIFS(EIAwtransport!$J$2:$J$675,EIAwtransport!$E$2:$E$675,Program_data!$E1324,EIAwtransport!$H$2:$H$675,Program_data!$F1324,EIAwtransport!$I$2:$I$675,Program_data!Q$2)</f>
        <v>976170</v>
      </c>
      <c r="R1324" s="8">
        <f>SUMIFS(EIAwtransport!$J$2:$J$675,EIAwtransport!$E$2:$E$675,Program_data!$E1324,EIAwtransport!$I$2:$I$675,Program_data!R$2)</f>
        <v>1429680000</v>
      </c>
      <c r="S1324" s="5">
        <f>SUMIFS(EIAwtransport!$J$2:$J$675,EIAwtransport!$E$2:$E$675,Program_data!$E1324,EIAwtransport!$I$2:$I$675,Program_data!S$2)</f>
        <v>158285451.98410821</v>
      </c>
      <c r="T1324" s="5">
        <f>SUMIFS(EIAwtransport!$J$2:$J$675,EIAwtransport!$E$2:$E$675,Program_data!$E1324,EIAwtransport!$I$2:$I$675,Program_data!T$2)</f>
        <v>1074614</v>
      </c>
      <c r="U1324" s="24">
        <f t="shared" si="421"/>
        <v>5.0200666449920206E-6</v>
      </c>
      <c r="V1324" s="24">
        <f t="shared" si="424"/>
        <v>5.5778518277689114E-6</v>
      </c>
      <c r="W1324" s="24">
        <f t="shared" si="422"/>
        <v>3.0005389206634503E-5</v>
      </c>
      <c r="X1324" s="25">
        <f t="shared" si="423"/>
        <v>2.6159976539924152E-5</v>
      </c>
      <c r="Y1324" s="8">
        <f t="shared" si="415"/>
        <v>2.6295414760880851E-2</v>
      </c>
      <c r="Z1324" s="27">
        <f t="shared" si="416"/>
        <v>5.2620567815970807E-3</v>
      </c>
      <c r="AA1324" s="27"/>
      <c r="AB1324" s="27"/>
      <c r="AC1324" s="56">
        <f t="shared" si="425"/>
        <v>3.7588694259103937E-4</v>
      </c>
      <c r="AE1324" s="20" t="e">
        <f>#REF!*1.35</f>
        <v>#REF!</v>
      </c>
      <c r="AF1324" s="20">
        <f t="shared" si="426"/>
        <v>1930068000.0000002</v>
      </c>
      <c r="AG1324">
        <f t="shared" si="427"/>
        <v>4524892.0986224795</v>
      </c>
      <c r="AH1324">
        <f t="shared" si="428"/>
        <v>0</v>
      </c>
      <c r="AI1324">
        <f t="shared" si="429"/>
        <v>16695949475.283735</v>
      </c>
    </row>
    <row r="1325" spans="2:35" x14ac:dyDescent="0.25">
      <c r="B1325" s="4">
        <v>2024</v>
      </c>
      <c r="C1325" s="4" t="s">
        <v>33</v>
      </c>
      <c r="D1325" s="1" t="s">
        <v>81</v>
      </c>
      <c r="E1325" s="4" t="s">
        <v>696</v>
      </c>
      <c r="F1325" s="11" t="s">
        <v>135</v>
      </c>
      <c r="G1325" s="11"/>
      <c r="H1325" s="11" t="s">
        <v>701</v>
      </c>
      <c r="I1325" s="11"/>
      <c r="J1325" s="11" t="s">
        <v>21</v>
      </c>
      <c r="K1325" s="92">
        <v>7553.9900800455071</v>
      </c>
      <c r="L1325" s="92">
        <v>8393.3223111616735</v>
      </c>
      <c r="M1325" s="93">
        <v>23274.216476562651</v>
      </c>
      <c r="N1325" s="8">
        <v>0</v>
      </c>
      <c r="O1325" s="8">
        <f>SUMIFS(EIAwtransport!$J$2:$J$675,EIAwtransport!$E$2:$E$675,Program_data!$E1325,EIAwtransport!$H$2:$H$675,Program_data!$F1325,EIAwtransport!$I$2:$I$675,Program_data!O$2)</f>
        <v>874680000</v>
      </c>
      <c r="P1325" s="5">
        <f>SUMIFS(EIAwtransport!$J$2:$J$675,EIAwtransport!$E$2:$E$675,Program_data!$E1325,EIAwtransport!$H$2:$H$675,Program_data!$F1325,EIAwtransport!$I$2:$I$675,Program_data!P$2)</f>
        <v>82460085.7641761</v>
      </c>
      <c r="Q1325" s="5">
        <f>SUMIFS(EIAwtransport!$J$2:$J$675,EIAwtransport!$E$2:$E$675,Program_data!$E1325,EIAwtransport!$H$2:$H$675,Program_data!$F1325,EIAwtransport!$I$2:$I$675,Program_data!Q$2)</f>
        <v>976170</v>
      </c>
      <c r="R1325" s="8">
        <f>SUMIFS(EIAwtransport!$J$2:$J$675,EIAwtransport!$E$2:$E$675,Program_data!$E1325,EIAwtransport!$I$2:$I$675,Program_data!R$2)</f>
        <v>1429680000</v>
      </c>
      <c r="S1325" s="5">
        <f>SUMIFS(EIAwtransport!$J$2:$J$675,EIAwtransport!$E$2:$E$675,Program_data!$E1325,EIAwtransport!$I$2:$I$675,Program_data!S$2)</f>
        <v>158285451.98410821</v>
      </c>
      <c r="T1325" s="5">
        <f>SUMIFS(EIAwtransport!$J$2:$J$675,EIAwtransport!$E$2:$E$675,Program_data!$E1325,EIAwtransport!$I$2:$I$675,Program_data!T$2)</f>
        <v>1074614</v>
      </c>
      <c r="U1325" s="24">
        <f t="shared" si="421"/>
        <v>4.6065485645466677E-6</v>
      </c>
      <c r="V1325" s="24">
        <f t="shared" si="424"/>
        <v>5.1183872939407414E-6</v>
      </c>
      <c r="W1325" s="24">
        <f t="shared" si="422"/>
        <v>1.6279318782218855E-5</v>
      </c>
      <c r="X1325" s="25">
        <f t="shared" si="423"/>
        <v>1.4193003613318513E-5</v>
      </c>
      <c r="Y1325" s="8">
        <f t="shared" si="415"/>
        <v>1.4266485145554836E-2</v>
      </c>
      <c r="Z1325" s="27">
        <f t="shared" si="416"/>
        <v>2.8549104698436818E-3</v>
      </c>
      <c r="AA1325" s="27"/>
      <c r="AB1325" s="27"/>
      <c r="AC1325" s="56">
        <f t="shared" si="425"/>
        <v>2.0393614368315247E-4</v>
      </c>
      <c r="AE1325" s="20" t="e">
        <f>#REF!*1.35</f>
        <v>#REF!</v>
      </c>
      <c r="AF1325" s="20">
        <f t="shared" si="426"/>
        <v>1930068000.0000002</v>
      </c>
      <c r="AG1325">
        <f t="shared" si="427"/>
        <v>2454964.3539478285</v>
      </c>
      <c r="AH1325">
        <f t="shared" si="428"/>
        <v>0</v>
      </c>
      <c r="AI1325">
        <f t="shared" si="429"/>
        <v>16695949475.283735</v>
      </c>
    </row>
    <row r="1326" spans="2:35" x14ac:dyDescent="0.25">
      <c r="B1326" s="4">
        <v>2024</v>
      </c>
      <c r="C1326" s="4" t="s">
        <v>33</v>
      </c>
      <c r="D1326" s="1" t="s">
        <v>81</v>
      </c>
      <c r="E1326" s="4" t="s">
        <v>696</v>
      </c>
      <c r="F1326" s="11" t="s">
        <v>135</v>
      </c>
      <c r="G1326" s="11"/>
      <c r="H1326" s="11" t="s">
        <v>702</v>
      </c>
      <c r="I1326" s="11"/>
      <c r="J1326" s="11" t="s">
        <v>21</v>
      </c>
      <c r="K1326" s="92">
        <v>0</v>
      </c>
      <c r="L1326" s="92">
        <v>0</v>
      </c>
      <c r="M1326" s="93">
        <v>142438.20483656341</v>
      </c>
      <c r="N1326" s="8">
        <v>0</v>
      </c>
      <c r="O1326" s="8">
        <f>SUMIFS(EIAwtransport!$J$2:$J$675,EIAwtransport!$E$2:$E$675,Program_data!$E1326,EIAwtransport!$H$2:$H$675,Program_data!$F1326,EIAwtransport!$I$2:$I$675,Program_data!O$2)</f>
        <v>874680000</v>
      </c>
      <c r="P1326" s="5">
        <f>SUMIFS(EIAwtransport!$J$2:$J$675,EIAwtransport!$E$2:$E$675,Program_data!$E1326,EIAwtransport!$H$2:$H$675,Program_data!$F1326,EIAwtransport!$I$2:$I$675,Program_data!P$2)</f>
        <v>82460085.7641761</v>
      </c>
      <c r="Q1326" s="5">
        <f>SUMIFS(EIAwtransport!$J$2:$J$675,EIAwtransport!$E$2:$E$675,Program_data!$E1326,EIAwtransport!$H$2:$H$675,Program_data!$F1326,EIAwtransport!$I$2:$I$675,Program_data!Q$2)</f>
        <v>976170</v>
      </c>
      <c r="R1326" s="8">
        <f>SUMIFS(EIAwtransport!$J$2:$J$675,EIAwtransport!$E$2:$E$675,Program_data!$E1326,EIAwtransport!$I$2:$I$675,Program_data!R$2)</f>
        <v>1429680000</v>
      </c>
      <c r="S1326" s="5">
        <f>SUMIFS(EIAwtransport!$J$2:$J$675,EIAwtransport!$E$2:$E$675,Program_data!$E1326,EIAwtransport!$I$2:$I$675,Program_data!S$2)</f>
        <v>158285451.98410821</v>
      </c>
      <c r="T1326" s="5">
        <f>SUMIFS(EIAwtransport!$J$2:$J$675,EIAwtransport!$E$2:$E$675,Program_data!$E1326,EIAwtransport!$I$2:$I$675,Program_data!T$2)</f>
        <v>1074614</v>
      </c>
      <c r="U1326" s="24">
        <f t="shared" si="421"/>
        <v>0</v>
      </c>
      <c r="V1326" s="24">
        <f t="shared" si="424"/>
        <v>0</v>
      </c>
      <c r="W1326" s="24">
        <f t="shared" si="422"/>
        <v>9.9629430947179381E-5</v>
      </c>
      <c r="X1326" s="25">
        <f t="shared" si="423"/>
        <v>8.6861182113509298E-5</v>
      </c>
      <c r="Y1326" s="8">
        <f t="shared" si="415"/>
        <v>8.7310889090795582E-2</v>
      </c>
      <c r="Z1326" s="27">
        <f t="shared" si="416"/>
        <v>1.747205207544333E-2</v>
      </c>
      <c r="AA1326" s="27"/>
      <c r="AB1326" s="27"/>
      <c r="AC1326" s="56">
        <f t="shared" si="425"/>
        <v>1.2480891993408932E-3</v>
      </c>
      <c r="AE1326" s="20" t="e">
        <f>#REF!*1.35</f>
        <v>#REF!</v>
      </c>
      <c r="AF1326" s="20">
        <f t="shared" si="426"/>
        <v>1930068000.0000002</v>
      </c>
      <c r="AG1326">
        <f t="shared" si="427"/>
        <v>15024381.84616071</v>
      </c>
      <c r="AH1326">
        <f t="shared" si="428"/>
        <v>0</v>
      </c>
      <c r="AI1326">
        <f t="shared" si="429"/>
        <v>16695949475.283735</v>
      </c>
    </row>
    <row r="1327" spans="2:35" x14ac:dyDescent="0.25">
      <c r="B1327" s="4">
        <v>2024</v>
      </c>
      <c r="C1327" s="4" t="s">
        <v>33</v>
      </c>
      <c r="D1327" s="1" t="s">
        <v>81</v>
      </c>
      <c r="E1327" s="4" t="s">
        <v>696</v>
      </c>
      <c r="F1327" s="11" t="s">
        <v>135</v>
      </c>
      <c r="G1327" s="11"/>
      <c r="H1327" s="11" t="s">
        <v>703</v>
      </c>
      <c r="I1327" s="11"/>
      <c r="J1327" s="11" t="s">
        <v>21</v>
      </c>
      <c r="K1327" s="92">
        <v>456752.88856089121</v>
      </c>
      <c r="L1327" s="92">
        <v>507503.20951210125</v>
      </c>
      <c r="M1327" s="93">
        <v>651678.06134375418</v>
      </c>
      <c r="N1327" s="8">
        <v>0</v>
      </c>
      <c r="O1327" s="8">
        <f>SUMIFS(EIAwtransport!$J$2:$J$675,EIAwtransport!$E$2:$E$675,Program_data!$E1327,EIAwtransport!$H$2:$H$675,Program_data!$F1327,EIAwtransport!$I$2:$I$675,Program_data!O$2)</f>
        <v>874680000</v>
      </c>
      <c r="P1327" s="5">
        <f>SUMIFS(EIAwtransport!$J$2:$J$675,EIAwtransport!$E$2:$E$675,Program_data!$E1327,EIAwtransport!$H$2:$H$675,Program_data!$F1327,EIAwtransport!$I$2:$I$675,Program_data!P$2)</f>
        <v>82460085.7641761</v>
      </c>
      <c r="Q1327" s="5">
        <f>SUMIFS(EIAwtransport!$J$2:$J$675,EIAwtransport!$E$2:$E$675,Program_data!$E1327,EIAwtransport!$H$2:$H$675,Program_data!$F1327,EIAwtransport!$I$2:$I$675,Program_data!Q$2)</f>
        <v>976170</v>
      </c>
      <c r="R1327" s="8">
        <f>SUMIFS(EIAwtransport!$J$2:$J$675,EIAwtransport!$E$2:$E$675,Program_data!$E1327,EIAwtransport!$I$2:$I$675,Program_data!R$2)</f>
        <v>1429680000</v>
      </c>
      <c r="S1327" s="5">
        <f>SUMIFS(EIAwtransport!$J$2:$J$675,EIAwtransport!$E$2:$E$675,Program_data!$E1327,EIAwtransport!$I$2:$I$675,Program_data!S$2)</f>
        <v>158285451.98410821</v>
      </c>
      <c r="T1327" s="5">
        <f>SUMIFS(EIAwtransport!$J$2:$J$675,EIAwtransport!$E$2:$E$675,Program_data!$E1327,EIAwtransport!$I$2:$I$675,Program_data!T$2)</f>
        <v>1074614</v>
      </c>
      <c r="U1327" s="24">
        <f t="shared" si="421"/>
        <v>2.7853549460049625E-4</v>
      </c>
      <c r="V1327" s="24">
        <f t="shared" si="424"/>
        <v>3.094838828894402E-4</v>
      </c>
      <c r="W1327" s="24">
        <f t="shared" si="422"/>
        <v>4.5582092590212787E-4</v>
      </c>
      <c r="X1327" s="25">
        <f t="shared" si="423"/>
        <v>3.9740410117291837E-4</v>
      </c>
      <c r="Y1327" s="8">
        <f t="shared" si="415"/>
        <v>0.39946158407553534</v>
      </c>
      <c r="Z1327" s="27">
        <f t="shared" si="416"/>
        <v>7.9937493155623082E-2</v>
      </c>
      <c r="AA1327" s="27"/>
      <c r="AB1327" s="27"/>
      <c r="AC1327" s="56">
        <f t="shared" si="425"/>
        <v>5.7102120231282694E-3</v>
      </c>
      <c r="AE1327" s="20" t="e">
        <f>#REF!*1.35</f>
        <v>#REF!</v>
      </c>
      <c r="AF1327" s="20">
        <f t="shared" si="426"/>
        <v>1930068000.0000002</v>
      </c>
      <c r="AG1327">
        <f t="shared" si="427"/>
        <v>68739001.910539195</v>
      </c>
      <c r="AH1327">
        <f t="shared" si="428"/>
        <v>0</v>
      </c>
      <c r="AI1327">
        <f t="shared" si="429"/>
        <v>16695949475.283735</v>
      </c>
    </row>
    <row r="1328" spans="2:35" x14ac:dyDescent="0.25">
      <c r="B1328" s="4">
        <v>2024</v>
      </c>
      <c r="C1328" s="4" t="s">
        <v>33</v>
      </c>
      <c r="D1328" s="1" t="s">
        <v>81</v>
      </c>
      <c r="E1328" s="4" t="s">
        <v>696</v>
      </c>
      <c r="F1328" s="11" t="s">
        <v>135</v>
      </c>
      <c r="G1328" s="11"/>
      <c r="H1328" s="11" t="s">
        <v>704</v>
      </c>
      <c r="I1328" s="11"/>
      <c r="J1328" s="11" t="s">
        <v>27</v>
      </c>
      <c r="K1328" s="92">
        <v>28810.566816917744</v>
      </c>
      <c r="L1328" s="92">
        <v>32011.740907686377</v>
      </c>
      <c r="M1328" s="93">
        <v>8378717.931562555</v>
      </c>
      <c r="N1328" s="8">
        <v>0</v>
      </c>
      <c r="O1328" s="8">
        <f>SUMIFS(EIAwtransport!$J$2:$J$675,EIAwtransport!$E$2:$E$675,Program_data!$E1328,EIAwtransport!$H$2:$H$675,Program_data!$F1328,EIAwtransport!$I$2:$I$675,Program_data!O$2)</f>
        <v>874680000</v>
      </c>
      <c r="P1328" s="5">
        <f>SUMIFS(EIAwtransport!$J$2:$J$675,EIAwtransport!$E$2:$E$675,Program_data!$E1328,EIAwtransport!$H$2:$H$675,Program_data!$F1328,EIAwtransport!$I$2:$I$675,Program_data!P$2)</f>
        <v>82460085.7641761</v>
      </c>
      <c r="Q1328" s="5">
        <f>SUMIFS(EIAwtransport!$J$2:$J$675,EIAwtransport!$E$2:$E$675,Program_data!$E1328,EIAwtransport!$H$2:$H$675,Program_data!$F1328,EIAwtransport!$I$2:$I$675,Program_data!Q$2)</f>
        <v>976170</v>
      </c>
      <c r="R1328" s="8">
        <f>SUMIFS(EIAwtransport!$J$2:$J$675,EIAwtransport!$E$2:$E$675,Program_data!$E1328,EIAwtransport!$I$2:$I$675,Program_data!R$2)</f>
        <v>1429680000</v>
      </c>
      <c r="S1328" s="5">
        <f>SUMIFS(EIAwtransport!$J$2:$J$675,EIAwtransport!$E$2:$E$675,Program_data!$E1328,EIAwtransport!$I$2:$I$675,Program_data!S$2)</f>
        <v>158285451.98410821</v>
      </c>
      <c r="T1328" s="5">
        <f>SUMIFS(EIAwtransport!$J$2:$J$675,EIAwtransport!$E$2:$E$675,Program_data!$E1328,EIAwtransport!$I$2:$I$675,Program_data!T$2)</f>
        <v>1074614</v>
      </c>
      <c r="U1328" s="24">
        <f t="shared" si="421"/>
        <v>1.756916196710822E-5</v>
      </c>
      <c r="V1328" s="24">
        <f t="shared" si="424"/>
        <v>1.9521291074564687E-5</v>
      </c>
      <c r="W1328" s="24">
        <f t="shared" si="422"/>
        <v>5.860554761598788E-3</v>
      </c>
      <c r="X1328" s="25">
        <f t="shared" si="423"/>
        <v>5.1094813007946651E-3</v>
      </c>
      <c r="Y1328" s="8">
        <f t="shared" si="415"/>
        <v>5.1359346523997411</v>
      </c>
      <c r="Z1328" s="27">
        <f t="shared" si="416"/>
        <v>1.0277677691437255</v>
      </c>
      <c r="AA1328" s="27"/>
      <c r="AB1328" s="27"/>
      <c r="AC1328" s="56">
        <f t="shared" si="425"/>
        <v>7.34170117259349E-2</v>
      </c>
      <c r="AE1328" s="20" t="e">
        <f>#REF!*1.35</f>
        <v>#REF!</v>
      </c>
      <c r="AF1328" s="20">
        <f t="shared" si="426"/>
        <v>1930068000.0000002</v>
      </c>
      <c r="AG1328">
        <f t="shared" si="427"/>
        <v>883787167.4212184</v>
      </c>
      <c r="AH1328">
        <f t="shared" si="428"/>
        <v>0</v>
      </c>
      <c r="AI1328">
        <f t="shared" si="429"/>
        <v>16695949475.283735</v>
      </c>
    </row>
    <row r="1329" spans="2:35" x14ac:dyDescent="0.25">
      <c r="B1329" s="4">
        <v>2024</v>
      </c>
      <c r="C1329" s="4" t="s">
        <v>33</v>
      </c>
      <c r="D1329" s="1" t="s">
        <v>81</v>
      </c>
      <c r="E1329" s="4" t="s">
        <v>696</v>
      </c>
      <c r="F1329" s="11" t="s">
        <v>135</v>
      </c>
      <c r="G1329" s="11"/>
      <c r="H1329" s="11" t="s">
        <v>705</v>
      </c>
      <c r="I1329" s="11"/>
      <c r="J1329" s="11" t="s">
        <v>27</v>
      </c>
      <c r="K1329" s="92">
        <v>31621.353823446312</v>
      </c>
      <c r="L1329" s="92">
        <v>35134.837581607011</v>
      </c>
      <c r="M1329" s="93">
        <v>50272.307589375327</v>
      </c>
      <c r="N1329" s="8">
        <v>0</v>
      </c>
      <c r="O1329" s="8">
        <f>SUMIFS(EIAwtransport!$J$2:$J$675,EIAwtransport!$E$2:$E$675,Program_data!$E1329,EIAwtransport!$H$2:$H$675,Program_data!$F1329,EIAwtransport!$I$2:$I$675,Program_data!O$2)</f>
        <v>874680000</v>
      </c>
      <c r="P1329" s="5">
        <f>SUMIFS(EIAwtransport!$J$2:$J$675,EIAwtransport!$E$2:$E$675,Program_data!$E1329,EIAwtransport!$H$2:$H$675,Program_data!$F1329,EIAwtransport!$I$2:$I$675,Program_data!P$2)</f>
        <v>82460085.7641761</v>
      </c>
      <c r="Q1329" s="5">
        <f>SUMIFS(EIAwtransport!$J$2:$J$675,EIAwtransport!$E$2:$E$675,Program_data!$E1329,EIAwtransport!$H$2:$H$675,Program_data!$F1329,EIAwtransport!$I$2:$I$675,Program_data!Q$2)</f>
        <v>976170</v>
      </c>
      <c r="R1329" s="8">
        <f>SUMIFS(EIAwtransport!$J$2:$J$675,EIAwtransport!$E$2:$E$675,Program_data!$E1329,EIAwtransport!$I$2:$I$675,Program_data!R$2)</f>
        <v>1429680000</v>
      </c>
      <c r="S1329" s="5">
        <f>SUMIFS(EIAwtransport!$J$2:$J$675,EIAwtransport!$E$2:$E$675,Program_data!$E1329,EIAwtransport!$I$2:$I$675,Program_data!S$2)</f>
        <v>158285451.98410821</v>
      </c>
      <c r="T1329" s="5">
        <f>SUMIFS(EIAwtransport!$J$2:$J$675,EIAwtransport!$E$2:$E$675,Program_data!$E1329,EIAwtransport!$I$2:$I$675,Program_data!T$2)</f>
        <v>1074614</v>
      </c>
      <c r="U1329" s="24">
        <f t="shared" si="421"/>
        <v>1.9283226549265125E-5</v>
      </c>
      <c r="V1329" s="24">
        <f t="shared" si="424"/>
        <v>2.1425807276961247E-5</v>
      </c>
      <c r="W1329" s="24">
        <f t="shared" si="422"/>
        <v>3.5163328569592726E-5</v>
      </c>
      <c r="X1329" s="25">
        <f t="shared" si="423"/>
        <v>3.0656887804767988E-5</v>
      </c>
      <c r="Y1329" s="8">
        <f t="shared" si="415"/>
        <v>3.0815607914398444E-2</v>
      </c>
      <c r="Z1329" s="27">
        <f t="shared" si="416"/>
        <v>6.1666066148623527E-3</v>
      </c>
      <c r="AA1329" s="27"/>
      <c r="AB1329" s="27"/>
      <c r="AC1329" s="56">
        <f t="shared" si="425"/>
        <v>4.4050207035560936E-4</v>
      </c>
      <c r="AE1329" s="20" t="e">
        <f>#REF!*1.35</f>
        <v>#REF!</v>
      </c>
      <c r="AF1329" s="20">
        <f t="shared" si="426"/>
        <v>1930068000.0000002</v>
      </c>
      <c r="AG1329">
        <f t="shared" si="427"/>
        <v>5302723.0045273099</v>
      </c>
      <c r="AH1329">
        <f t="shared" si="428"/>
        <v>0</v>
      </c>
      <c r="AI1329">
        <f t="shared" si="429"/>
        <v>16695949475.283735</v>
      </c>
    </row>
    <row r="1330" spans="2:35" x14ac:dyDescent="0.25">
      <c r="B1330" s="4">
        <v>2024</v>
      </c>
      <c r="C1330" s="4" t="s">
        <v>33</v>
      </c>
      <c r="D1330" s="1" t="s">
        <v>81</v>
      </c>
      <c r="E1330" s="4" t="s">
        <v>696</v>
      </c>
      <c r="F1330" s="11" t="s">
        <v>135</v>
      </c>
      <c r="G1330" s="11"/>
      <c r="H1330" s="11" t="s">
        <v>706</v>
      </c>
      <c r="I1330" s="11"/>
      <c r="J1330" s="11" t="s">
        <v>21</v>
      </c>
      <c r="K1330" s="92">
        <v>4391.8546977008764</v>
      </c>
      <c r="L1330" s="92">
        <v>4879.8385530009737</v>
      </c>
      <c r="M1330" s="93">
        <v>11637.108238281326</v>
      </c>
      <c r="N1330" s="8">
        <v>0</v>
      </c>
      <c r="O1330" s="8">
        <f>SUMIFS(EIAwtransport!$J$2:$J$675,EIAwtransport!$E$2:$E$675,Program_data!$E1330,EIAwtransport!$H$2:$H$675,Program_data!$F1330,EIAwtransport!$I$2:$I$675,Program_data!O$2)</f>
        <v>874680000</v>
      </c>
      <c r="P1330" s="5">
        <f>SUMIFS(EIAwtransport!$J$2:$J$675,EIAwtransport!$E$2:$E$675,Program_data!$E1330,EIAwtransport!$H$2:$H$675,Program_data!$F1330,EIAwtransport!$I$2:$I$675,Program_data!P$2)</f>
        <v>82460085.7641761</v>
      </c>
      <c r="Q1330" s="5">
        <f>SUMIFS(EIAwtransport!$J$2:$J$675,EIAwtransport!$E$2:$E$675,Program_data!$E1330,EIAwtransport!$H$2:$H$675,Program_data!$F1330,EIAwtransport!$I$2:$I$675,Program_data!Q$2)</f>
        <v>976170</v>
      </c>
      <c r="R1330" s="8">
        <f>SUMIFS(EIAwtransport!$J$2:$J$675,EIAwtransport!$E$2:$E$675,Program_data!$E1330,EIAwtransport!$I$2:$I$675,Program_data!R$2)</f>
        <v>1429680000</v>
      </c>
      <c r="S1330" s="5">
        <f>SUMIFS(EIAwtransport!$J$2:$J$675,EIAwtransport!$E$2:$E$675,Program_data!$E1330,EIAwtransport!$I$2:$I$675,Program_data!S$2)</f>
        <v>158285451.98410821</v>
      </c>
      <c r="T1330" s="5">
        <f>SUMIFS(EIAwtransport!$J$2:$J$675,EIAwtransport!$E$2:$E$675,Program_data!$E1330,EIAwtransport!$I$2:$I$675,Program_data!T$2)</f>
        <v>1074614</v>
      </c>
      <c r="U1330" s="24">
        <f t="shared" si="421"/>
        <v>2.6782259096201559E-6</v>
      </c>
      <c r="V1330" s="24">
        <f t="shared" si="424"/>
        <v>2.9758065662446179E-6</v>
      </c>
      <c r="W1330" s="24">
        <f t="shared" si="422"/>
        <v>8.1396593911094273E-6</v>
      </c>
      <c r="X1330" s="25">
        <f t="shared" si="423"/>
        <v>7.0965018066592565E-6</v>
      </c>
      <c r="Y1330" s="8">
        <f t="shared" si="415"/>
        <v>7.1332425727774181E-3</v>
      </c>
      <c r="Z1330" s="27">
        <f t="shared" si="416"/>
        <v>1.4274552349218409E-3</v>
      </c>
      <c r="AA1330" s="27"/>
      <c r="AB1330" s="27"/>
      <c r="AC1330" s="56">
        <f t="shared" si="425"/>
        <v>1.0196807184157624E-4</v>
      </c>
      <c r="AE1330" s="20" t="e">
        <f>#REF!*1.35</f>
        <v>#REF!</v>
      </c>
      <c r="AF1330" s="20">
        <f t="shared" si="426"/>
        <v>1930068000.0000002</v>
      </c>
      <c r="AG1330">
        <f t="shared" si="427"/>
        <v>1227482.1769739143</v>
      </c>
      <c r="AH1330">
        <f t="shared" si="428"/>
        <v>0</v>
      </c>
      <c r="AI1330">
        <f t="shared" si="429"/>
        <v>16695949475.283735</v>
      </c>
    </row>
    <row r="1331" spans="2:35" x14ac:dyDescent="0.25">
      <c r="B1331" s="4">
        <v>2024</v>
      </c>
      <c r="C1331" s="4" t="s">
        <v>33</v>
      </c>
      <c r="D1331" s="1" t="s">
        <v>81</v>
      </c>
      <c r="E1331" s="4" t="s">
        <v>696</v>
      </c>
      <c r="F1331" s="11" t="s">
        <v>135</v>
      </c>
      <c r="G1331" s="11"/>
      <c r="H1331" s="11" t="s">
        <v>707</v>
      </c>
      <c r="I1331" s="11"/>
      <c r="J1331" s="11" t="s">
        <v>21</v>
      </c>
      <c r="K1331" s="92">
        <v>153.71491441953069</v>
      </c>
      <c r="L1331" s="92">
        <v>170.79434935503406</v>
      </c>
      <c r="M1331" s="93">
        <v>1163.7108238281328</v>
      </c>
      <c r="N1331" s="8">
        <v>0</v>
      </c>
      <c r="O1331" s="8">
        <f>SUMIFS(EIAwtransport!$J$2:$J$675,EIAwtransport!$E$2:$E$675,Program_data!$E1331,EIAwtransport!$H$2:$H$675,Program_data!$F1331,EIAwtransport!$I$2:$I$675,Program_data!O$2)</f>
        <v>874680000</v>
      </c>
      <c r="P1331" s="5">
        <f>SUMIFS(EIAwtransport!$J$2:$J$675,EIAwtransport!$E$2:$E$675,Program_data!$E1331,EIAwtransport!$H$2:$H$675,Program_data!$F1331,EIAwtransport!$I$2:$I$675,Program_data!P$2)</f>
        <v>82460085.7641761</v>
      </c>
      <c r="Q1331" s="5">
        <f>SUMIFS(EIAwtransport!$J$2:$J$675,EIAwtransport!$E$2:$E$675,Program_data!$E1331,EIAwtransport!$H$2:$H$675,Program_data!$F1331,EIAwtransport!$I$2:$I$675,Program_data!Q$2)</f>
        <v>976170</v>
      </c>
      <c r="R1331" s="8">
        <f>SUMIFS(EIAwtransport!$J$2:$J$675,EIAwtransport!$E$2:$E$675,Program_data!$E1331,EIAwtransport!$I$2:$I$675,Program_data!R$2)</f>
        <v>1429680000</v>
      </c>
      <c r="S1331" s="5">
        <f>SUMIFS(EIAwtransport!$J$2:$J$675,EIAwtransport!$E$2:$E$675,Program_data!$E1331,EIAwtransport!$I$2:$I$675,Program_data!S$2)</f>
        <v>158285451.98410821</v>
      </c>
      <c r="T1331" s="5">
        <f>SUMIFS(EIAwtransport!$J$2:$J$675,EIAwtransport!$E$2:$E$675,Program_data!$E1331,EIAwtransport!$I$2:$I$675,Program_data!T$2)</f>
        <v>1074614</v>
      </c>
      <c r="U1331" s="24">
        <f t="shared" si="421"/>
        <v>9.3737906836705477E-8</v>
      </c>
      <c r="V1331" s="24">
        <f t="shared" si="424"/>
        <v>1.0415322981856161E-7</v>
      </c>
      <c r="W1331" s="24">
        <f t="shared" si="422"/>
        <v>8.1396593911094285E-7</v>
      </c>
      <c r="X1331" s="25">
        <f t="shared" si="423"/>
        <v>7.0965018066592584E-7</v>
      </c>
      <c r="Y1331" s="8">
        <f t="shared" si="415"/>
        <v>7.1332425727774196E-4</v>
      </c>
      <c r="Z1331" s="27">
        <f t="shared" si="416"/>
        <v>1.4274552349218412E-4</v>
      </c>
      <c r="AA1331" s="27"/>
      <c r="AB1331" s="27"/>
      <c r="AC1331" s="56">
        <f t="shared" si="425"/>
        <v>1.0196807184157627E-5</v>
      </c>
      <c r="AE1331" s="20" t="e">
        <f>#REF!*1.35</f>
        <v>#REF!</v>
      </c>
      <c r="AF1331" s="20">
        <f t="shared" si="426"/>
        <v>1930068000.0000002</v>
      </c>
      <c r="AG1331">
        <f t="shared" si="427"/>
        <v>122748.21769739145</v>
      </c>
      <c r="AH1331">
        <f t="shared" si="428"/>
        <v>0</v>
      </c>
      <c r="AI1331">
        <f t="shared" si="429"/>
        <v>16695949475.283735</v>
      </c>
    </row>
    <row r="1332" spans="2:35" x14ac:dyDescent="0.25">
      <c r="B1332" s="4">
        <v>2024</v>
      </c>
      <c r="C1332" s="4" t="s">
        <v>33</v>
      </c>
      <c r="D1332" s="1" t="s">
        <v>81</v>
      </c>
      <c r="E1332" s="4" t="s">
        <v>696</v>
      </c>
      <c r="F1332" s="11" t="s">
        <v>135</v>
      </c>
      <c r="G1332" s="11"/>
      <c r="H1332" s="11" t="s">
        <v>708</v>
      </c>
      <c r="I1332" s="11"/>
      <c r="J1332" s="11" t="s">
        <v>21</v>
      </c>
      <c r="K1332" s="92">
        <v>167724.9309051965</v>
      </c>
      <c r="L1332" s="92">
        <v>186361.03433910717</v>
      </c>
      <c r="M1332" s="93">
        <v>37424.94009431274</v>
      </c>
      <c r="N1332" s="8">
        <v>0</v>
      </c>
      <c r="O1332" s="8">
        <f>SUMIFS(EIAwtransport!$J$2:$J$675,EIAwtransport!$E$2:$E$675,Program_data!$E1332,EIAwtransport!$H$2:$H$675,Program_data!$F1332,EIAwtransport!$I$2:$I$675,Program_data!O$2)</f>
        <v>874680000</v>
      </c>
      <c r="P1332" s="5">
        <f>SUMIFS(EIAwtransport!$J$2:$J$675,EIAwtransport!$E$2:$E$675,Program_data!$E1332,EIAwtransport!$H$2:$H$675,Program_data!$F1332,EIAwtransport!$I$2:$I$675,Program_data!P$2)</f>
        <v>82460085.7641761</v>
      </c>
      <c r="Q1332" s="5">
        <f>SUMIFS(EIAwtransport!$J$2:$J$675,EIAwtransport!$E$2:$E$675,Program_data!$E1332,EIAwtransport!$H$2:$H$675,Program_data!$F1332,EIAwtransport!$I$2:$I$675,Program_data!Q$2)</f>
        <v>976170</v>
      </c>
      <c r="R1332" s="8">
        <f>SUMIFS(EIAwtransport!$J$2:$J$675,EIAwtransport!$E$2:$E$675,Program_data!$E1332,EIAwtransport!$I$2:$I$675,Program_data!R$2)</f>
        <v>1429680000</v>
      </c>
      <c r="S1332" s="5">
        <f>SUMIFS(EIAwtransport!$J$2:$J$675,EIAwtransport!$E$2:$E$675,Program_data!$E1332,EIAwtransport!$I$2:$I$675,Program_data!S$2)</f>
        <v>158285451.98410821</v>
      </c>
      <c r="T1332" s="5">
        <f>SUMIFS(EIAwtransport!$J$2:$J$675,EIAwtransport!$E$2:$E$675,Program_data!$E1332,EIAwtransport!$I$2:$I$675,Program_data!T$2)</f>
        <v>1074614</v>
      </c>
      <c r="U1332" s="24">
        <f t="shared" si="421"/>
        <v>1.0228144748839377E-4</v>
      </c>
      <c r="V1332" s="24">
        <f t="shared" si="424"/>
        <v>1.1364605276488194E-4</v>
      </c>
      <c r="W1332" s="24">
        <f t="shared" si="422"/>
        <v>2.6177144601807914E-5</v>
      </c>
      <c r="X1332" s="25">
        <f t="shared" si="423"/>
        <v>2.282234981021617E-5</v>
      </c>
      <c r="Y1332" s="8">
        <f t="shared" si="415"/>
        <v>2.2940508114052172E-2</v>
      </c>
      <c r="Z1332" s="27">
        <f t="shared" si="416"/>
        <v>4.5906960355086403E-3</v>
      </c>
      <c r="AA1332" s="27"/>
      <c r="AB1332" s="27"/>
      <c r="AC1332" s="56">
        <f t="shared" si="425"/>
        <v>3.2792931904250918E-4</v>
      </c>
      <c r="AE1332" s="20" t="e">
        <f>#REF!*1.35</f>
        <v>#REF!</v>
      </c>
      <c r="AF1332" s="20">
        <f t="shared" si="426"/>
        <v>1930068000.0000002</v>
      </c>
      <c r="AG1332">
        <f t="shared" si="427"/>
        <v>3947582.6811481081</v>
      </c>
      <c r="AH1332">
        <f t="shared" si="428"/>
        <v>0</v>
      </c>
      <c r="AI1332">
        <f t="shared" si="429"/>
        <v>16695949475.283735</v>
      </c>
    </row>
    <row r="1333" spans="2:35" x14ac:dyDescent="0.25">
      <c r="B1333" s="4">
        <v>2024</v>
      </c>
      <c r="C1333" s="4" t="s">
        <v>33</v>
      </c>
      <c r="D1333" s="1" t="s">
        <v>81</v>
      </c>
      <c r="E1333" s="4" t="s">
        <v>696</v>
      </c>
      <c r="F1333" s="11" t="s">
        <v>135</v>
      </c>
      <c r="G1333" s="11"/>
      <c r="H1333" s="11" t="s">
        <v>709</v>
      </c>
      <c r="I1333" s="11"/>
      <c r="J1333" s="11" t="s">
        <v>27</v>
      </c>
      <c r="K1333" s="92">
        <v>24664.655982288121</v>
      </c>
      <c r="L1333" s="92">
        <v>27405.173313653468</v>
      </c>
      <c r="M1333" s="93">
        <v>435693.33244125283</v>
      </c>
      <c r="N1333" s="8">
        <v>0</v>
      </c>
      <c r="O1333" s="8">
        <f>SUMIFS(EIAwtransport!$J$2:$J$675,EIAwtransport!$E$2:$E$675,Program_data!$E1333,EIAwtransport!$H$2:$H$675,Program_data!$F1333,EIAwtransport!$I$2:$I$675,Program_data!O$2)</f>
        <v>874680000</v>
      </c>
      <c r="P1333" s="5">
        <f>SUMIFS(EIAwtransport!$J$2:$J$675,EIAwtransport!$E$2:$E$675,Program_data!$E1333,EIAwtransport!$H$2:$H$675,Program_data!$F1333,EIAwtransport!$I$2:$I$675,Program_data!P$2)</f>
        <v>82460085.7641761</v>
      </c>
      <c r="Q1333" s="5">
        <f>SUMIFS(EIAwtransport!$J$2:$J$675,EIAwtransport!$E$2:$E$675,Program_data!$E1333,EIAwtransport!$H$2:$H$675,Program_data!$F1333,EIAwtransport!$I$2:$I$675,Program_data!Q$2)</f>
        <v>976170</v>
      </c>
      <c r="R1333" s="8">
        <f>SUMIFS(EIAwtransport!$J$2:$J$675,EIAwtransport!$E$2:$E$675,Program_data!$E1333,EIAwtransport!$I$2:$I$675,Program_data!R$2)</f>
        <v>1429680000</v>
      </c>
      <c r="S1333" s="5">
        <f>SUMIFS(EIAwtransport!$J$2:$J$675,EIAwtransport!$E$2:$E$675,Program_data!$E1333,EIAwtransport!$I$2:$I$675,Program_data!S$2)</f>
        <v>158285451.98410821</v>
      </c>
      <c r="T1333" s="5">
        <f>SUMIFS(EIAwtransport!$J$2:$J$675,EIAwtransport!$E$2:$E$675,Program_data!$E1333,EIAwtransport!$I$2:$I$675,Program_data!T$2)</f>
        <v>1074614</v>
      </c>
      <c r="U1333" s="24">
        <f t="shared" si="421"/>
        <v>1.5040916708426797E-5</v>
      </c>
      <c r="V1333" s="24">
        <f t="shared" si="424"/>
        <v>1.6712129676029773E-5</v>
      </c>
      <c r="W1333" s="24">
        <f t="shared" si="422"/>
        <v>3.0474884760313696E-4</v>
      </c>
      <c r="X1333" s="25">
        <f t="shared" si="423"/>
        <v>2.6569302764132256E-4</v>
      </c>
      <c r="Y1333" s="8">
        <f t="shared" si="415"/>
        <v>0.26706860192478654</v>
      </c>
      <c r="Z1333" s="27">
        <f t="shared" si="416"/>
        <v>5.3443923995473722E-2</v>
      </c>
      <c r="AA1333" s="27"/>
      <c r="AB1333" s="27"/>
      <c r="AC1333" s="56">
        <f t="shared" si="425"/>
        <v>3.8176846097486145E-3</v>
      </c>
      <c r="AE1333" s="20" t="e">
        <f>#REF!*1.35</f>
        <v>#REF!</v>
      </c>
      <c r="AF1333" s="20">
        <f t="shared" si="426"/>
        <v>1930068000.0000002</v>
      </c>
      <c r="AG1333">
        <f t="shared" si="427"/>
        <v>45956932.705903351</v>
      </c>
      <c r="AH1333">
        <f t="shared" si="428"/>
        <v>0</v>
      </c>
      <c r="AI1333">
        <f t="shared" si="429"/>
        <v>16695949475.283735</v>
      </c>
    </row>
    <row r="1334" spans="2:35" x14ac:dyDescent="0.25">
      <c r="B1334" s="4">
        <v>2024</v>
      </c>
      <c r="C1334" s="4" t="s">
        <v>33</v>
      </c>
      <c r="D1334" s="1" t="s">
        <v>81</v>
      </c>
      <c r="E1334" s="4" t="s">
        <v>696</v>
      </c>
      <c r="F1334" s="11" t="s">
        <v>135</v>
      </c>
      <c r="G1334" s="11"/>
      <c r="H1334" s="11" t="s">
        <v>710</v>
      </c>
      <c r="I1334" s="11"/>
      <c r="J1334" s="11" t="s">
        <v>21</v>
      </c>
      <c r="K1334" s="92">
        <v>351348.37581607013</v>
      </c>
      <c r="L1334" s="92">
        <v>390387.08424007788</v>
      </c>
      <c r="M1334" s="93">
        <v>9495880.322437562</v>
      </c>
      <c r="N1334" s="8">
        <v>0</v>
      </c>
      <c r="O1334" s="8">
        <f>SUMIFS(EIAwtransport!$J$2:$J$675,EIAwtransport!$E$2:$E$675,Program_data!$E1334,EIAwtransport!$H$2:$H$675,Program_data!$F1334,EIAwtransport!$I$2:$I$675,Program_data!O$2)</f>
        <v>874680000</v>
      </c>
      <c r="P1334" s="5">
        <f>SUMIFS(EIAwtransport!$J$2:$J$675,EIAwtransport!$E$2:$E$675,Program_data!$E1334,EIAwtransport!$H$2:$H$675,Program_data!$F1334,EIAwtransport!$I$2:$I$675,Program_data!P$2)</f>
        <v>82460085.7641761</v>
      </c>
      <c r="Q1334" s="5">
        <f>SUMIFS(EIAwtransport!$J$2:$J$675,EIAwtransport!$E$2:$E$675,Program_data!$E1334,EIAwtransport!$H$2:$H$675,Program_data!$F1334,EIAwtransport!$I$2:$I$675,Program_data!Q$2)</f>
        <v>976170</v>
      </c>
      <c r="R1334" s="8">
        <f>SUMIFS(EIAwtransport!$J$2:$J$675,EIAwtransport!$E$2:$E$675,Program_data!$E1334,EIAwtransport!$I$2:$I$675,Program_data!R$2)</f>
        <v>1429680000</v>
      </c>
      <c r="S1334" s="5">
        <f>SUMIFS(EIAwtransport!$J$2:$J$675,EIAwtransport!$E$2:$E$675,Program_data!$E1334,EIAwtransport!$I$2:$I$675,Program_data!S$2)</f>
        <v>158285451.98410821</v>
      </c>
      <c r="T1334" s="5">
        <f>SUMIFS(EIAwtransport!$J$2:$J$675,EIAwtransport!$E$2:$E$675,Program_data!$E1334,EIAwtransport!$I$2:$I$675,Program_data!T$2)</f>
        <v>1074614</v>
      </c>
      <c r="U1334" s="24">
        <f t="shared" si="421"/>
        <v>2.1425807276961251E-4</v>
      </c>
      <c r="V1334" s="24">
        <f t="shared" si="424"/>
        <v>2.3806452529956943E-4</v>
      </c>
      <c r="W1334" s="24">
        <f t="shared" si="422"/>
        <v>6.6419620631452923E-3</v>
      </c>
      <c r="X1334" s="25">
        <f t="shared" si="423"/>
        <v>5.7907454742339541E-3</v>
      </c>
      <c r="Y1334" s="8">
        <f t="shared" si="415"/>
        <v>5.8207259393863735</v>
      </c>
      <c r="Z1334" s="27">
        <f t="shared" si="416"/>
        <v>1.1648034716962223</v>
      </c>
      <c r="AA1334" s="27"/>
      <c r="AB1334" s="27"/>
      <c r="AC1334" s="56">
        <f t="shared" si="425"/>
        <v>8.3205946622726221E-2</v>
      </c>
      <c r="AE1334" s="20" t="e">
        <f>#REF!*1.35</f>
        <v>#REF!</v>
      </c>
      <c r="AF1334" s="20">
        <f t="shared" si="426"/>
        <v>1930068000.0000002</v>
      </c>
      <c r="AG1334">
        <f t="shared" si="427"/>
        <v>1001625456.410714</v>
      </c>
      <c r="AH1334">
        <f t="shared" si="428"/>
        <v>0</v>
      </c>
      <c r="AI1334">
        <f t="shared" si="429"/>
        <v>16695949475.283735</v>
      </c>
    </row>
    <row r="1335" spans="2:35" x14ac:dyDescent="0.25">
      <c r="B1335" s="4">
        <v>2024</v>
      </c>
      <c r="C1335" s="4" t="s">
        <v>33</v>
      </c>
      <c r="D1335" s="1" t="s">
        <v>81</v>
      </c>
      <c r="E1335" s="4" t="s">
        <v>696</v>
      </c>
      <c r="F1335" s="11" t="s">
        <v>135</v>
      </c>
      <c r="G1335" s="11"/>
      <c r="H1335" s="11" t="s">
        <v>711</v>
      </c>
      <c r="I1335" s="11"/>
      <c r="J1335" s="11" t="s">
        <v>21</v>
      </c>
      <c r="K1335" s="92">
        <v>0</v>
      </c>
      <c r="L1335" s="92">
        <v>0</v>
      </c>
      <c r="M1335" s="93">
        <v>0</v>
      </c>
      <c r="N1335" s="8">
        <v>0</v>
      </c>
      <c r="O1335" s="8">
        <f>SUMIFS(EIAwtransport!$J$2:$J$675,EIAwtransport!$E$2:$E$675,Program_data!$E1335,EIAwtransport!$H$2:$H$675,Program_data!$F1335,EIAwtransport!$I$2:$I$675,Program_data!O$2)</f>
        <v>874680000</v>
      </c>
      <c r="P1335" s="5">
        <f>SUMIFS(EIAwtransport!$J$2:$J$675,EIAwtransport!$E$2:$E$675,Program_data!$E1335,EIAwtransport!$H$2:$H$675,Program_data!$F1335,EIAwtransport!$I$2:$I$675,Program_data!P$2)</f>
        <v>82460085.7641761</v>
      </c>
      <c r="Q1335" s="5">
        <f>SUMIFS(EIAwtransport!$J$2:$J$675,EIAwtransport!$E$2:$E$675,Program_data!$E1335,EIAwtransport!$H$2:$H$675,Program_data!$F1335,EIAwtransport!$I$2:$I$675,Program_data!Q$2)</f>
        <v>976170</v>
      </c>
      <c r="R1335" s="8">
        <f>SUMIFS(EIAwtransport!$J$2:$J$675,EIAwtransport!$E$2:$E$675,Program_data!$E1335,EIAwtransport!$I$2:$I$675,Program_data!R$2)</f>
        <v>1429680000</v>
      </c>
      <c r="S1335" s="5">
        <f>SUMIFS(EIAwtransport!$J$2:$J$675,EIAwtransport!$E$2:$E$675,Program_data!$E1335,EIAwtransport!$I$2:$I$675,Program_data!S$2)</f>
        <v>158285451.98410821</v>
      </c>
      <c r="T1335" s="5">
        <f>SUMIFS(EIAwtransport!$J$2:$J$675,EIAwtransport!$E$2:$E$675,Program_data!$E1335,EIAwtransport!$I$2:$I$675,Program_data!T$2)</f>
        <v>1074614</v>
      </c>
      <c r="U1335" s="24">
        <f t="shared" si="421"/>
        <v>0</v>
      </c>
      <c r="V1335" s="24">
        <f t="shared" si="424"/>
        <v>0</v>
      </c>
      <c r="W1335" s="24">
        <f t="shared" si="422"/>
        <v>0</v>
      </c>
      <c r="X1335" s="25">
        <f t="shared" si="423"/>
        <v>0</v>
      </c>
      <c r="Y1335" s="8">
        <f t="shared" si="415"/>
        <v>0</v>
      </c>
      <c r="Z1335" s="27">
        <f t="shared" si="416"/>
        <v>0</v>
      </c>
      <c r="AA1335" s="27"/>
      <c r="AB1335" s="27"/>
      <c r="AC1335" s="56">
        <f t="shared" si="425"/>
        <v>0</v>
      </c>
      <c r="AE1335" s="20" t="e">
        <f>#REF!*1.35</f>
        <v>#REF!</v>
      </c>
      <c r="AF1335" s="20">
        <f t="shared" si="426"/>
        <v>1930068000.0000002</v>
      </c>
      <c r="AG1335">
        <f t="shared" si="427"/>
        <v>0</v>
      </c>
      <c r="AH1335">
        <f t="shared" si="428"/>
        <v>0</v>
      </c>
      <c r="AI1335">
        <f t="shared" si="429"/>
        <v>16695949475.283735</v>
      </c>
    </row>
    <row r="1336" spans="2:35" x14ac:dyDescent="0.25">
      <c r="B1336" s="4">
        <v>2024</v>
      </c>
      <c r="C1336" s="4" t="s">
        <v>33</v>
      </c>
      <c r="D1336" s="1" t="s">
        <v>81</v>
      </c>
      <c r="E1336" s="4" t="s">
        <v>696</v>
      </c>
      <c r="F1336" s="11" t="s">
        <v>135</v>
      </c>
      <c r="G1336" s="11"/>
      <c r="H1336" s="11" t="s">
        <v>712</v>
      </c>
      <c r="I1336" s="11"/>
      <c r="J1336" s="11" t="s">
        <v>21</v>
      </c>
      <c r="K1336" s="92">
        <v>0</v>
      </c>
      <c r="L1336" s="92">
        <v>0</v>
      </c>
      <c r="M1336" s="93">
        <v>0</v>
      </c>
      <c r="N1336" s="8">
        <v>0</v>
      </c>
      <c r="O1336" s="8">
        <f>SUMIFS(EIAwtransport!$J$2:$J$675,EIAwtransport!$E$2:$E$675,Program_data!$E1336,EIAwtransport!$H$2:$H$675,Program_data!$F1336,EIAwtransport!$I$2:$I$675,Program_data!O$2)</f>
        <v>874680000</v>
      </c>
      <c r="P1336" s="5">
        <f>SUMIFS(EIAwtransport!$J$2:$J$675,EIAwtransport!$E$2:$E$675,Program_data!$E1336,EIAwtransport!$H$2:$H$675,Program_data!$F1336,EIAwtransport!$I$2:$I$675,Program_data!P$2)</f>
        <v>82460085.7641761</v>
      </c>
      <c r="Q1336" s="5">
        <f>SUMIFS(EIAwtransport!$J$2:$J$675,EIAwtransport!$E$2:$E$675,Program_data!$E1336,EIAwtransport!$H$2:$H$675,Program_data!$F1336,EIAwtransport!$I$2:$I$675,Program_data!Q$2)</f>
        <v>976170</v>
      </c>
      <c r="R1336" s="8">
        <f>SUMIFS(EIAwtransport!$J$2:$J$675,EIAwtransport!$E$2:$E$675,Program_data!$E1336,EIAwtransport!$I$2:$I$675,Program_data!R$2)</f>
        <v>1429680000</v>
      </c>
      <c r="S1336" s="5">
        <f>SUMIFS(EIAwtransport!$J$2:$J$675,EIAwtransport!$E$2:$E$675,Program_data!$E1336,EIAwtransport!$I$2:$I$675,Program_data!S$2)</f>
        <v>158285451.98410821</v>
      </c>
      <c r="T1336" s="5">
        <f>SUMIFS(EIAwtransport!$J$2:$J$675,EIAwtransport!$E$2:$E$675,Program_data!$E1336,EIAwtransport!$I$2:$I$675,Program_data!T$2)</f>
        <v>1074614</v>
      </c>
      <c r="U1336" s="24">
        <f t="shared" si="421"/>
        <v>0</v>
      </c>
      <c r="V1336" s="24">
        <f t="shared" si="424"/>
        <v>0</v>
      </c>
      <c r="W1336" s="24">
        <f t="shared" si="422"/>
        <v>0</v>
      </c>
      <c r="X1336" s="25">
        <f t="shared" si="423"/>
        <v>0</v>
      </c>
      <c r="Y1336" s="8">
        <f t="shared" si="415"/>
        <v>0</v>
      </c>
      <c r="Z1336" s="27">
        <f t="shared" si="416"/>
        <v>0</v>
      </c>
      <c r="AA1336" s="27"/>
      <c r="AB1336" s="27"/>
      <c r="AC1336" s="56">
        <f t="shared" si="425"/>
        <v>0</v>
      </c>
      <c r="AE1336" s="20" t="e">
        <f>#REF!*1.35</f>
        <v>#REF!</v>
      </c>
      <c r="AF1336" s="20">
        <f t="shared" si="426"/>
        <v>1930068000.0000002</v>
      </c>
      <c r="AG1336">
        <f t="shared" si="427"/>
        <v>0</v>
      </c>
      <c r="AH1336">
        <f t="shared" si="428"/>
        <v>0</v>
      </c>
      <c r="AI1336">
        <f t="shared" si="429"/>
        <v>16695949475.283735</v>
      </c>
    </row>
    <row r="1337" spans="2:35" x14ac:dyDescent="0.25">
      <c r="B1337" s="4">
        <v>2024</v>
      </c>
      <c r="C1337" s="4" t="s">
        <v>33</v>
      </c>
      <c r="D1337" s="1" t="s">
        <v>81</v>
      </c>
      <c r="E1337" s="4" t="s">
        <v>696</v>
      </c>
      <c r="F1337" s="11" t="s">
        <v>135</v>
      </c>
      <c r="G1337" s="11"/>
      <c r="H1337" s="11" t="s">
        <v>713</v>
      </c>
      <c r="I1337" s="11"/>
      <c r="J1337" s="11" t="s">
        <v>21</v>
      </c>
      <c r="K1337" s="92">
        <v>28986.241004825788</v>
      </c>
      <c r="L1337" s="92">
        <v>32206.934449806424</v>
      </c>
      <c r="M1337" s="93">
        <v>199692.77736890755</v>
      </c>
      <c r="N1337" s="8">
        <v>0</v>
      </c>
      <c r="O1337" s="8">
        <f>SUMIFS(EIAwtransport!$J$2:$J$675,EIAwtransport!$E$2:$E$675,Program_data!$E1337,EIAwtransport!$H$2:$H$675,Program_data!$F1337,EIAwtransport!$I$2:$I$675,Program_data!O$2)</f>
        <v>874680000</v>
      </c>
      <c r="P1337" s="5">
        <f>SUMIFS(EIAwtransport!$J$2:$J$675,EIAwtransport!$E$2:$E$675,Program_data!$E1337,EIAwtransport!$H$2:$H$675,Program_data!$F1337,EIAwtransport!$I$2:$I$675,Program_data!P$2)</f>
        <v>82460085.7641761</v>
      </c>
      <c r="Q1337" s="5">
        <f>SUMIFS(EIAwtransport!$J$2:$J$675,EIAwtransport!$E$2:$E$675,Program_data!$E1337,EIAwtransport!$H$2:$H$675,Program_data!$F1337,EIAwtransport!$I$2:$I$675,Program_data!Q$2)</f>
        <v>976170</v>
      </c>
      <c r="R1337" s="8">
        <f>SUMIFS(EIAwtransport!$J$2:$J$675,EIAwtransport!$E$2:$E$675,Program_data!$E1337,EIAwtransport!$I$2:$I$675,Program_data!R$2)</f>
        <v>1429680000</v>
      </c>
      <c r="S1337" s="5">
        <f>SUMIFS(EIAwtransport!$J$2:$J$675,EIAwtransport!$E$2:$E$675,Program_data!$E1337,EIAwtransport!$I$2:$I$675,Program_data!S$2)</f>
        <v>158285451.98410821</v>
      </c>
      <c r="T1337" s="5">
        <f>SUMIFS(EIAwtransport!$J$2:$J$675,EIAwtransport!$E$2:$E$675,Program_data!$E1337,EIAwtransport!$I$2:$I$675,Program_data!T$2)</f>
        <v>1074614</v>
      </c>
      <c r="U1337" s="24">
        <f t="shared" si="421"/>
        <v>1.7676291003493029E-5</v>
      </c>
      <c r="V1337" s="24">
        <f t="shared" si="424"/>
        <v>1.9640323337214474E-5</v>
      </c>
      <c r="W1337" s="24">
        <f t="shared" si="422"/>
        <v>1.3967655515143777E-4</v>
      </c>
      <c r="X1337" s="25">
        <f t="shared" si="423"/>
        <v>1.2177597100227284E-4</v>
      </c>
      <c r="Y1337" s="8">
        <f t="shared" si="415"/>
        <v>0.12240644254886049</v>
      </c>
      <c r="Z1337" s="27">
        <f t="shared" si="416"/>
        <v>2.4495131831258791E-2</v>
      </c>
      <c r="AA1337" s="27"/>
      <c r="AB1337" s="27"/>
      <c r="AC1337" s="56">
        <f t="shared" si="425"/>
        <v>1.7497721128014484E-3</v>
      </c>
      <c r="AE1337" s="20" t="e">
        <f>#REF!*1.35</f>
        <v>#REF!</v>
      </c>
      <c r="AF1337" s="20">
        <f t="shared" si="426"/>
        <v>1930068000.0000002</v>
      </c>
      <c r="AG1337">
        <f t="shared" si="427"/>
        <v>21063594.156872369</v>
      </c>
      <c r="AH1337">
        <f t="shared" si="428"/>
        <v>0</v>
      </c>
      <c r="AI1337">
        <f t="shared" si="429"/>
        <v>16695949475.283735</v>
      </c>
    </row>
    <row r="1338" spans="2:35" x14ac:dyDescent="0.25">
      <c r="B1338" s="4">
        <v>2024</v>
      </c>
      <c r="C1338" s="4" t="s">
        <v>33</v>
      </c>
      <c r="D1338" s="1" t="s">
        <v>81</v>
      </c>
      <c r="E1338" s="4" t="s">
        <v>696</v>
      </c>
      <c r="F1338" s="11" t="s">
        <v>135</v>
      </c>
      <c r="G1338" s="11"/>
      <c r="H1338" s="11" t="s">
        <v>714</v>
      </c>
      <c r="I1338" s="11"/>
      <c r="J1338" s="11" t="s">
        <v>21</v>
      </c>
      <c r="K1338" s="92">
        <v>0</v>
      </c>
      <c r="L1338" s="92">
        <v>0</v>
      </c>
      <c r="M1338" s="93">
        <v>0</v>
      </c>
      <c r="N1338" s="8">
        <v>0</v>
      </c>
      <c r="O1338" s="8">
        <f>SUMIFS(EIAwtransport!$J$2:$J$675,EIAwtransport!$E$2:$E$675,Program_data!$E1338,EIAwtransport!$H$2:$H$675,Program_data!$F1338,EIAwtransport!$I$2:$I$675,Program_data!O$2)</f>
        <v>874680000</v>
      </c>
      <c r="P1338" s="5">
        <f>SUMIFS(EIAwtransport!$J$2:$J$675,EIAwtransport!$E$2:$E$675,Program_data!$E1338,EIAwtransport!$H$2:$H$675,Program_data!$F1338,EIAwtransport!$I$2:$I$675,Program_data!P$2)</f>
        <v>82460085.7641761</v>
      </c>
      <c r="Q1338" s="5">
        <f>SUMIFS(EIAwtransport!$J$2:$J$675,EIAwtransport!$E$2:$E$675,Program_data!$E1338,EIAwtransport!$H$2:$H$675,Program_data!$F1338,EIAwtransport!$I$2:$I$675,Program_data!Q$2)</f>
        <v>976170</v>
      </c>
      <c r="R1338" s="8">
        <f>SUMIFS(EIAwtransport!$J$2:$J$675,EIAwtransport!$E$2:$E$675,Program_data!$E1338,EIAwtransport!$I$2:$I$675,Program_data!R$2)</f>
        <v>1429680000</v>
      </c>
      <c r="S1338" s="5">
        <f>SUMIFS(EIAwtransport!$J$2:$J$675,EIAwtransport!$E$2:$E$675,Program_data!$E1338,EIAwtransport!$I$2:$I$675,Program_data!S$2)</f>
        <v>158285451.98410821</v>
      </c>
      <c r="T1338" s="5">
        <f>SUMIFS(EIAwtransport!$J$2:$J$675,EIAwtransport!$E$2:$E$675,Program_data!$E1338,EIAwtransport!$I$2:$I$675,Program_data!T$2)</f>
        <v>1074614</v>
      </c>
      <c r="U1338" s="24">
        <f t="shared" si="421"/>
        <v>0</v>
      </c>
      <c r="V1338" s="24">
        <f t="shared" si="424"/>
        <v>0</v>
      </c>
      <c r="W1338" s="24">
        <f t="shared" si="422"/>
        <v>0</v>
      </c>
      <c r="X1338" s="25">
        <f t="shared" si="423"/>
        <v>0</v>
      </c>
      <c r="Y1338" s="8">
        <f t="shared" si="415"/>
        <v>0</v>
      </c>
      <c r="Z1338" s="27">
        <f t="shared" si="416"/>
        <v>0</v>
      </c>
      <c r="AA1338" s="27"/>
      <c r="AB1338" s="27"/>
      <c r="AC1338" s="56">
        <f t="shared" si="425"/>
        <v>0</v>
      </c>
      <c r="AE1338" s="20" t="e">
        <f>#REF!*1.35</f>
        <v>#REF!</v>
      </c>
      <c r="AF1338" s="20">
        <f t="shared" si="426"/>
        <v>1930068000.0000002</v>
      </c>
      <c r="AG1338">
        <f t="shared" si="427"/>
        <v>0</v>
      </c>
      <c r="AH1338">
        <f t="shared" si="428"/>
        <v>0</v>
      </c>
      <c r="AI1338">
        <f t="shared" si="429"/>
        <v>16695949475.283735</v>
      </c>
    </row>
    <row r="1339" spans="2:35" x14ac:dyDescent="0.25">
      <c r="B1339" s="4">
        <v>2024</v>
      </c>
      <c r="C1339" s="4" t="s">
        <v>33</v>
      </c>
      <c r="D1339" s="1" t="s">
        <v>81</v>
      </c>
      <c r="E1339" s="4" t="s">
        <v>696</v>
      </c>
      <c r="F1339" s="11" t="s">
        <v>135</v>
      </c>
      <c r="G1339" s="11"/>
      <c r="H1339" s="11" t="s">
        <v>715</v>
      </c>
      <c r="I1339" s="11"/>
      <c r="J1339" s="11" t="s">
        <v>21</v>
      </c>
      <c r="K1339" s="92">
        <v>182701.15542435646</v>
      </c>
      <c r="L1339" s="92">
        <v>203001.28380484047</v>
      </c>
      <c r="M1339" s="93">
        <v>458036.58025875298</v>
      </c>
      <c r="N1339" s="8">
        <v>0</v>
      </c>
      <c r="O1339" s="8">
        <f>SUMIFS(EIAwtransport!$J$2:$J$675,EIAwtransport!$E$2:$E$675,Program_data!$E1339,EIAwtransport!$H$2:$H$675,Program_data!$F1339,EIAwtransport!$I$2:$I$675,Program_data!O$2)</f>
        <v>874680000</v>
      </c>
      <c r="P1339" s="5">
        <f>SUMIFS(EIAwtransport!$J$2:$J$675,EIAwtransport!$E$2:$E$675,Program_data!$E1339,EIAwtransport!$H$2:$H$675,Program_data!$F1339,EIAwtransport!$I$2:$I$675,Program_data!P$2)</f>
        <v>82460085.7641761</v>
      </c>
      <c r="Q1339" s="5">
        <f>SUMIFS(EIAwtransport!$J$2:$J$675,EIAwtransport!$E$2:$E$675,Program_data!$E1339,EIAwtransport!$H$2:$H$675,Program_data!$F1339,EIAwtransport!$I$2:$I$675,Program_data!Q$2)</f>
        <v>976170</v>
      </c>
      <c r="R1339" s="8">
        <f>SUMIFS(EIAwtransport!$J$2:$J$675,EIAwtransport!$E$2:$E$675,Program_data!$E1339,EIAwtransport!$I$2:$I$675,Program_data!R$2)</f>
        <v>1429680000</v>
      </c>
      <c r="S1339" s="5">
        <f>SUMIFS(EIAwtransport!$J$2:$J$675,EIAwtransport!$E$2:$E$675,Program_data!$E1339,EIAwtransport!$I$2:$I$675,Program_data!S$2)</f>
        <v>158285451.98410821</v>
      </c>
      <c r="T1339" s="5">
        <f>SUMIFS(EIAwtransport!$J$2:$J$675,EIAwtransport!$E$2:$E$675,Program_data!$E1339,EIAwtransport!$I$2:$I$675,Program_data!T$2)</f>
        <v>1074614</v>
      </c>
      <c r="U1339" s="24">
        <f t="shared" si="421"/>
        <v>1.1141419784019849E-4</v>
      </c>
      <c r="V1339" s="24">
        <f t="shared" si="424"/>
        <v>1.2379355315577607E-4</v>
      </c>
      <c r="W1339" s="24">
        <f t="shared" si="422"/>
        <v>3.2037699363406704E-4</v>
      </c>
      <c r="X1339" s="25">
        <f t="shared" si="423"/>
        <v>2.7931831111010835E-4</v>
      </c>
      <c r="Y1339" s="8">
        <f t="shared" si="415"/>
        <v>0.28076442766451915</v>
      </c>
      <c r="Z1339" s="27">
        <f t="shared" si="416"/>
        <v>5.6184638046523662E-2</v>
      </c>
      <c r="AA1339" s="27"/>
      <c r="AB1339" s="27"/>
      <c r="AC1339" s="56">
        <f t="shared" si="425"/>
        <v>4.0134633076844405E-3</v>
      </c>
      <c r="AE1339" s="20" t="e">
        <f>#REF!*1.35</f>
        <v>#REF!</v>
      </c>
      <c r="AF1339" s="20">
        <f t="shared" si="426"/>
        <v>1930068000.0000002</v>
      </c>
      <c r="AG1339">
        <f t="shared" si="427"/>
        <v>48313698.485693268</v>
      </c>
      <c r="AH1339">
        <f t="shared" si="428"/>
        <v>0</v>
      </c>
      <c r="AI1339">
        <f t="shared" si="429"/>
        <v>16695949475.283735</v>
      </c>
    </row>
    <row r="1340" spans="2:35" x14ac:dyDescent="0.25">
      <c r="B1340" s="4">
        <v>2024</v>
      </c>
      <c r="C1340" s="4" t="s">
        <v>33</v>
      </c>
      <c r="D1340" s="1" t="s">
        <v>81</v>
      </c>
      <c r="E1340" s="4" t="s">
        <v>696</v>
      </c>
      <c r="F1340" s="11" t="s">
        <v>135</v>
      </c>
      <c r="G1340" s="11"/>
      <c r="H1340" s="11" t="s">
        <v>716</v>
      </c>
      <c r="I1340" s="11"/>
      <c r="J1340" s="11" t="s">
        <v>32</v>
      </c>
      <c r="K1340" s="92">
        <v>422.98759688189972</v>
      </c>
      <c r="L1340" s="92">
        <v>469.98621875766634</v>
      </c>
      <c r="M1340" s="93">
        <v>3401.0422947712982</v>
      </c>
      <c r="N1340" s="8">
        <v>0</v>
      </c>
      <c r="O1340" s="8">
        <f>SUMIFS(EIAwtransport!$J$2:$J$675,EIAwtransport!$E$2:$E$675,Program_data!$E1340,EIAwtransport!$H$2:$H$675,Program_data!$F1340,EIAwtransport!$I$2:$I$675,Program_data!O$2)</f>
        <v>874680000</v>
      </c>
      <c r="P1340" s="5">
        <f>SUMIFS(EIAwtransport!$J$2:$J$675,EIAwtransport!$E$2:$E$675,Program_data!$E1340,EIAwtransport!$H$2:$H$675,Program_data!$F1340,EIAwtransport!$I$2:$I$675,Program_data!P$2)</f>
        <v>82460085.7641761</v>
      </c>
      <c r="Q1340" s="5">
        <f>SUMIFS(EIAwtransport!$J$2:$J$675,EIAwtransport!$E$2:$E$675,Program_data!$E1340,EIAwtransport!$H$2:$H$675,Program_data!$F1340,EIAwtransport!$I$2:$I$675,Program_data!Q$2)</f>
        <v>976170</v>
      </c>
      <c r="R1340" s="8">
        <f>SUMIFS(EIAwtransport!$J$2:$J$675,EIAwtransport!$E$2:$E$675,Program_data!$E1340,EIAwtransport!$I$2:$I$675,Program_data!R$2)</f>
        <v>1429680000</v>
      </c>
      <c r="S1340" s="5">
        <f>SUMIFS(EIAwtransport!$J$2:$J$675,EIAwtransport!$E$2:$E$675,Program_data!$E1340,EIAwtransport!$I$2:$I$675,Program_data!S$2)</f>
        <v>158285451.98410821</v>
      </c>
      <c r="T1340" s="5">
        <f>SUMIFS(EIAwtransport!$J$2:$J$675,EIAwtransport!$E$2:$E$675,Program_data!$E1340,EIAwtransport!$I$2:$I$675,Program_data!T$2)</f>
        <v>1074614</v>
      </c>
      <c r="U1340" s="24">
        <f t="shared" si="421"/>
        <v>2.5794485915258466E-7</v>
      </c>
      <c r="V1340" s="24">
        <f t="shared" si="424"/>
        <v>2.8660539905842736E-7</v>
      </c>
      <c r="W1340" s="24">
        <f t="shared" si="422"/>
        <v>2.3788835926719953E-6</v>
      </c>
      <c r="X1340" s="25">
        <f t="shared" si="423"/>
        <v>2.0740120565324924E-6</v>
      </c>
      <c r="Y1340" s="8">
        <f t="shared" si="415"/>
        <v>2.0847498529808495E-3</v>
      </c>
      <c r="Z1340" s="27">
        <f t="shared" si="416"/>
        <v>4.171857413761485E-4</v>
      </c>
      <c r="AA1340" s="27"/>
      <c r="AB1340" s="27"/>
      <c r="AC1340" s="56">
        <f t="shared" si="425"/>
        <v>2.9801022552033711E-5</v>
      </c>
      <c r="AE1340" s="20" t="e">
        <f>#REF!*1.35</f>
        <v>#REF!</v>
      </c>
      <c r="AF1340" s="20">
        <f t="shared" si="426"/>
        <v>1930068000.0000002</v>
      </c>
      <c r="AG1340">
        <f t="shared" si="427"/>
        <v>358741.94125247654</v>
      </c>
      <c r="AH1340">
        <f t="shared" si="428"/>
        <v>0</v>
      </c>
      <c r="AI1340">
        <f t="shared" si="429"/>
        <v>16695949475.283735</v>
      </c>
    </row>
    <row r="1341" spans="2:35" x14ac:dyDescent="0.25">
      <c r="B1341" s="4">
        <v>2024</v>
      </c>
      <c r="C1341" s="4" t="s">
        <v>33</v>
      </c>
      <c r="D1341" s="1" t="s">
        <v>81</v>
      </c>
      <c r="E1341" s="4" t="s">
        <v>696</v>
      </c>
      <c r="F1341" s="11" t="s">
        <v>135</v>
      </c>
      <c r="G1341" s="11"/>
      <c r="H1341" s="11" t="s">
        <v>717</v>
      </c>
      <c r="I1341" s="11"/>
      <c r="J1341" s="11" t="s">
        <v>32</v>
      </c>
      <c r="K1341" s="92">
        <v>15094.851496569752</v>
      </c>
      <c r="L1341" s="92">
        <v>16772.057218410835</v>
      </c>
      <c r="M1341" s="93">
        <v>63486.122835730894</v>
      </c>
      <c r="N1341" s="8">
        <v>0</v>
      </c>
      <c r="O1341" s="8">
        <f>SUMIFS(EIAwtransport!$J$2:$J$675,EIAwtransport!$E$2:$E$675,Program_data!$E1341,EIAwtransport!$H$2:$H$675,Program_data!$F1341,EIAwtransport!$I$2:$I$675,Program_data!O$2)</f>
        <v>874680000</v>
      </c>
      <c r="P1341" s="5">
        <f>SUMIFS(EIAwtransport!$J$2:$J$675,EIAwtransport!$E$2:$E$675,Program_data!$E1341,EIAwtransport!$H$2:$H$675,Program_data!$F1341,EIAwtransport!$I$2:$I$675,Program_data!P$2)</f>
        <v>82460085.7641761</v>
      </c>
      <c r="Q1341" s="5">
        <f>SUMIFS(EIAwtransport!$J$2:$J$675,EIAwtransport!$E$2:$E$675,Program_data!$E1341,EIAwtransport!$H$2:$H$675,Program_data!$F1341,EIAwtransport!$I$2:$I$675,Program_data!Q$2)</f>
        <v>976170</v>
      </c>
      <c r="R1341" s="8">
        <f>SUMIFS(EIAwtransport!$J$2:$J$675,EIAwtransport!$E$2:$E$675,Program_data!$E1341,EIAwtransport!$I$2:$I$675,Program_data!R$2)</f>
        <v>1429680000</v>
      </c>
      <c r="S1341" s="5">
        <f>SUMIFS(EIAwtransport!$J$2:$J$675,EIAwtransport!$E$2:$E$675,Program_data!$E1341,EIAwtransport!$I$2:$I$675,Program_data!S$2)</f>
        <v>158285451.98410821</v>
      </c>
      <c r="T1341" s="5">
        <f>SUMIFS(EIAwtransport!$J$2:$J$675,EIAwtransport!$E$2:$E$675,Program_data!$E1341,EIAwtransport!$I$2:$I$675,Program_data!T$2)</f>
        <v>1074614</v>
      </c>
      <c r="U1341" s="24">
        <f t="shared" si="421"/>
        <v>9.2050910521118417E-6</v>
      </c>
      <c r="V1341" s="24">
        <f t="shared" si="424"/>
        <v>1.0227878946790935E-5</v>
      </c>
      <c r="W1341" s="24">
        <f t="shared" si="422"/>
        <v>4.4405827063210574E-5</v>
      </c>
      <c r="X1341" s="25">
        <f t="shared" si="423"/>
        <v>3.8714891721939855E-5</v>
      </c>
      <c r="Y1341" s="8">
        <f t="shared" si="415"/>
        <v>3.8915330588975859E-2</v>
      </c>
      <c r="Z1341" s="27">
        <f t="shared" si="416"/>
        <v>7.7874671723547721E-3</v>
      </c>
      <c r="AA1341" s="27"/>
      <c r="AB1341" s="27"/>
      <c r="AC1341" s="56">
        <f t="shared" si="425"/>
        <v>5.5628575430462918E-4</v>
      </c>
      <c r="AE1341" s="20" t="e">
        <f>#REF!*1.35</f>
        <v>#REF!</v>
      </c>
      <c r="AF1341" s="20">
        <f t="shared" si="426"/>
        <v>1930068000.0000002</v>
      </c>
      <c r="AG1341">
        <f t="shared" si="427"/>
        <v>6696516.2367128953</v>
      </c>
      <c r="AH1341">
        <f t="shared" si="428"/>
        <v>0</v>
      </c>
      <c r="AI1341">
        <f t="shared" si="429"/>
        <v>16695949475.283735</v>
      </c>
    </row>
    <row r="1342" spans="2:35" x14ac:dyDescent="0.25">
      <c r="B1342" s="4">
        <v>2024</v>
      </c>
      <c r="C1342" s="4" t="s">
        <v>33</v>
      </c>
      <c r="D1342" s="1" t="s">
        <v>81</v>
      </c>
      <c r="E1342" s="4" t="s">
        <v>696</v>
      </c>
      <c r="F1342" s="11" t="s">
        <v>135</v>
      </c>
      <c r="G1342" s="11"/>
      <c r="H1342" s="11" t="s">
        <v>718</v>
      </c>
      <c r="I1342" s="11"/>
      <c r="J1342" s="11" t="s">
        <v>32</v>
      </c>
      <c r="K1342" s="92">
        <v>203.19992399228514</v>
      </c>
      <c r="L1342" s="92">
        <v>225.77769332476123</v>
      </c>
      <c r="M1342" s="93">
        <v>3174.3061417865451</v>
      </c>
      <c r="N1342" s="8">
        <v>0</v>
      </c>
      <c r="O1342" s="8">
        <f>SUMIFS(EIAwtransport!$J$2:$J$675,EIAwtransport!$E$2:$E$675,Program_data!$E1342,EIAwtransport!$H$2:$H$675,Program_data!$F1342,EIAwtransport!$I$2:$I$675,Program_data!O$2)</f>
        <v>874680000</v>
      </c>
      <c r="P1342" s="5">
        <f>SUMIFS(EIAwtransport!$J$2:$J$675,EIAwtransport!$E$2:$E$675,Program_data!$E1342,EIAwtransport!$H$2:$H$675,Program_data!$F1342,EIAwtransport!$I$2:$I$675,Program_data!P$2)</f>
        <v>82460085.7641761</v>
      </c>
      <c r="Q1342" s="5">
        <f>SUMIFS(EIAwtransport!$J$2:$J$675,EIAwtransport!$E$2:$E$675,Program_data!$E1342,EIAwtransport!$H$2:$H$675,Program_data!$F1342,EIAwtransport!$I$2:$I$675,Program_data!Q$2)</f>
        <v>976170</v>
      </c>
      <c r="R1342" s="8">
        <f>SUMIFS(EIAwtransport!$J$2:$J$675,EIAwtransport!$E$2:$E$675,Program_data!$E1342,EIAwtransport!$I$2:$I$675,Program_data!R$2)</f>
        <v>1429680000</v>
      </c>
      <c r="S1342" s="5">
        <f>SUMIFS(EIAwtransport!$J$2:$J$675,EIAwtransport!$E$2:$E$675,Program_data!$E1342,EIAwtransport!$I$2:$I$675,Program_data!S$2)</f>
        <v>158285451.98410821</v>
      </c>
      <c r="T1342" s="5">
        <f>SUMIFS(EIAwtransport!$J$2:$J$675,EIAwtransport!$E$2:$E$675,Program_data!$E1342,EIAwtransport!$I$2:$I$675,Program_data!T$2)</f>
        <v>1074614</v>
      </c>
      <c r="U1342" s="24">
        <f t="shared" si="421"/>
        <v>1.2391468723996712E-7</v>
      </c>
      <c r="V1342" s="24">
        <f t="shared" si="424"/>
        <v>1.3768298582218566E-7</v>
      </c>
      <c r="W1342" s="24">
        <f t="shared" si="422"/>
        <v>2.2202913531605289E-6</v>
      </c>
      <c r="X1342" s="25">
        <f t="shared" si="423"/>
        <v>1.935744586096993E-6</v>
      </c>
      <c r="Y1342" s="8">
        <f t="shared" si="415"/>
        <v>1.945766529448793E-3</v>
      </c>
      <c r="Z1342" s="27">
        <f t="shared" si="416"/>
        <v>3.8937335861773863E-4</v>
      </c>
      <c r="AA1342" s="27"/>
      <c r="AB1342" s="27"/>
      <c r="AC1342" s="56">
        <f t="shared" si="425"/>
        <v>2.7814287715231463E-5</v>
      </c>
      <c r="AE1342" s="20" t="e">
        <f>#REF!*1.35</f>
        <v>#REF!</v>
      </c>
      <c r="AF1342" s="20">
        <f t="shared" si="426"/>
        <v>1930068000.0000002</v>
      </c>
      <c r="AG1342">
        <f t="shared" si="427"/>
        <v>334825.81183564477</v>
      </c>
      <c r="AH1342">
        <f t="shared" si="428"/>
        <v>0</v>
      </c>
      <c r="AI1342">
        <f t="shared" si="429"/>
        <v>16695949475.283735</v>
      </c>
    </row>
    <row r="1343" spans="2:35" x14ac:dyDescent="0.25">
      <c r="B1343" s="4">
        <v>2024</v>
      </c>
      <c r="C1343" s="4" t="s">
        <v>33</v>
      </c>
      <c r="D1343" s="1" t="s">
        <v>81</v>
      </c>
      <c r="E1343" s="4" t="s">
        <v>696</v>
      </c>
      <c r="F1343" s="11" t="s">
        <v>135</v>
      </c>
      <c r="G1343" s="11"/>
      <c r="H1343" s="11" t="s">
        <v>719</v>
      </c>
      <c r="I1343" s="11"/>
      <c r="J1343" s="11" t="s">
        <v>32</v>
      </c>
      <c r="K1343" s="92">
        <v>63448.139532284949</v>
      </c>
      <c r="L1343" s="92">
        <v>70497.932813649939</v>
      </c>
      <c r="M1343" s="93">
        <v>2040625.3768627788</v>
      </c>
      <c r="N1343" s="8">
        <v>0</v>
      </c>
      <c r="O1343" s="8">
        <f>SUMIFS(EIAwtransport!$J$2:$J$675,EIAwtransport!$E$2:$E$675,Program_data!$E1343,EIAwtransport!$H$2:$H$675,Program_data!$F1343,EIAwtransport!$I$2:$I$675,Program_data!O$2)</f>
        <v>874680000</v>
      </c>
      <c r="P1343" s="5">
        <f>SUMIFS(EIAwtransport!$J$2:$J$675,EIAwtransport!$E$2:$E$675,Program_data!$E1343,EIAwtransport!$H$2:$H$675,Program_data!$F1343,EIAwtransport!$I$2:$I$675,Program_data!P$2)</f>
        <v>82460085.7641761</v>
      </c>
      <c r="Q1343" s="5">
        <f>SUMIFS(EIAwtransport!$J$2:$J$675,EIAwtransport!$E$2:$E$675,Program_data!$E1343,EIAwtransport!$H$2:$H$675,Program_data!$F1343,EIAwtransport!$I$2:$I$675,Program_data!Q$2)</f>
        <v>976170</v>
      </c>
      <c r="R1343" s="8">
        <f>SUMIFS(EIAwtransport!$J$2:$J$675,EIAwtransport!$E$2:$E$675,Program_data!$E1343,EIAwtransport!$I$2:$I$675,Program_data!R$2)</f>
        <v>1429680000</v>
      </c>
      <c r="S1343" s="5">
        <f>SUMIFS(EIAwtransport!$J$2:$J$675,EIAwtransport!$E$2:$E$675,Program_data!$E1343,EIAwtransport!$I$2:$I$675,Program_data!S$2)</f>
        <v>158285451.98410821</v>
      </c>
      <c r="T1343" s="5">
        <f>SUMIFS(EIAwtransport!$J$2:$J$675,EIAwtransport!$E$2:$E$675,Program_data!$E1343,EIAwtransport!$I$2:$I$675,Program_data!T$2)</f>
        <v>1074614</v>
      </c>
      <c r="U1343" s="24">
        <f t="shared" si="421"/>
        <v>3.869172887288769E-5</v>
      </c>
      <c r="V1343" s="24">
        <f t="shared" si="424"/>
        <v>4.2990809858764096E-5</v>
      </c>
      <c r="W1343" s="24">
        <f t="shared" si="422"/>
        <v>1.4273301556031971E-3</v>
      </c>
      <c r="X1343" s="25">
        <f t="shared" si="423"/>
        <v>1.2444072339194954E-3</v>
      </c>
      <c r="Y1343" s="8">
        <f t="shared" si="415"/>
        <v>1.2508499117885097</v>
      </c>
      <c r="Z1343" s="27">
        <f t="shared" si="416"/>
        <v>0.25031144482568912</v>
      </c>
      <c r="AA1343" s="27"/>
      <c r="AB1343" s="27"/>
      <c r="AC1343" s="56">
        <f t="shared" si="425"/>
        <v>1.7880613531220224E-2</v>
      </c>
      <c r="AE1343" s="20" t="e">
        <f>#REF!*1.35</f>
        <v>#REF!</v>
      </c>
      <c r="AF1343" s="20">
        <f t="shared" si="426"/>
        <v>1930068000.0000002</v>
      </c>
      <c r="AG1343">
        <f t="shared" si="427"/>
        <v>215245164.75148591</v>
      </c>
      <c r="AH1343">
        <f t="shared" si="428"/>
        <v>0</v>
      </c>
      <c r="AI1343">
        <f t="shared" si="429"/>
        <v>16695949475.283735</v>
      </c>
    </row>
    <row r="1344" spans="2:35" x14ac:dyDescent="0.25">
      <c r="B1344" s="4">
        <v>2024</v>
      </c>
      <c r="C1344" s="4" t="s">
        <v>33</v>
      </c>
      <c r="D1344" s="1" t="s">
        <v>81</v>
      </c>
      <c r="E1344" s="4" t="s">
        <v>696</v>
      </c>
      <c r="F1344" s="11" t="s">
        <v>135</v>
      </c>
      <c r="G1344" s="11"/>
      <c r="H1344" s="11" t="s">
        <v>720</v>
      </c>
      <c r="I1344" s="11"/>
      <c r="J1344" s="11" t="s">
        <v>32</v>
      </c>
      <c r="K1344" s="92">
        <v>7816.9766678664801</v>
      </c>
      <c r="L1344" s="92">
        <v>8685.5296309627538</v>
      </c>
      <c r="M1344" s="93">
        <v>340104.22947712982</v>
      </c>
      <c r="N1344" s="8">
        <v>0</v>
      </c>
      <c r="O1344" s="8">
        <f>SUMIFS(EIAwtransport!$J$2:$J$675,EIAwtransport!$E$2:$E$675,Program_data!$E1344,EIAwtransport!$H$2:$H$675,Program_data!$F1344,EIAwtransport!$I$2:$I$675,Program_data!O$2)</f>
        <v>874680000</v>
      </c>
      <c r="P1344" s="5">
        <f>SUMIFS(EIAwtransport!$J$2:$J$675,EIAwtransport!$E$2:$E$675,Program_data!$E1344,EIAwtransport!$H$2:$H$675,Program_data!$F1344,EIAwtransport!$I$2:$I$675,Program_data!P$2)</f>
        <v>82460085.7641761</v>
      </c>
      <c r="Q1344" s="5">
        <f>SUMIFS(EIAwtransport!$J$2:$J$675,EIAwtransport!$E$2:$E$675,Program_data!$E1344,EIAwtransport!$H$2:$H$675,Program_data!$F1344,EIAwtransport!$I$2:$I$675,Program_data!Q$2)</f>
        <v>976170</v>
      </c>
      <c r="R1344" s="8">
        <f>SUMIFS(EIAwtransport!$J$2:$J$675,EIAwtransport!$E$2:$E$675,Program_data!$E1344,EIAwtransport!$I$2:$I$675,Program_data!R$2)</f>
        <v>1429680000</v>
      </c>
      <c r="S1344" s="5">
        <f>SUMIFS(EIAwtransport!$J$2:$J$675,EIAwtransport!$E$2:$E$675,Program_data!$E1344,EIAwtransport!$I$2:$I$675,Program_data!S$2)</f>
        <v>158285451.98410821</v>
      </c>
      <c r="T1344" s="5">
        <f>SUMIFS(EIAwtransport!$J$2:$J$675,EIAwtransport!$E$2:$E$675,Program_data!$E1344,EIAwtransport!$I$2:$I$675,Program_data!T$2)</f>
        <v>1074614</v>
      </c>
      <c r="U1344" s="24">
        <f t="shared" si="421"/>
        <v>4.7669221519864906E-6</v>
      </c>
      <c r="V1344" s="24">
        <f t="shared" si="424"/>
        <v>5.2965801688738774E-6</v>
      </c>
      <c r="W1344" s="24">
        <f t="shared" si="422"/>
        <v>2.3788835926719952E-4</v>
      </c>
      <c r="X1344" s="25">
        <f t="shared" si="423"/>
        <v>2.0740120565324925E-4</v>
      </c>
      <c r="Y1344" s="8">
        <f t="shared" si="415"/>
        <v>0.20847498529808497</v>
      </c>
      <c r="Z1344" s="27">
        <f t="shared" si="416"/>
        <v>4.1718574137614851E-2</v>
      </c>
      <c r="AA1344" s="27"/>
      <c r="AB1344" s="27"/>
      <c r="AC1344" s="56">
        <f t="shared" si="425"/>
        <v>2.9801022552033711E-3</v>
      </c>
      <c r="AE1344" s="20" t="e">
        <f>#REF!*1.35</f>
        <v>#REF!</v>
      </c>
      <c r="AF1344" s="20">
        <f t="shared" si="426"/>
        <v>1930068000.0000002</v>
      </c>
      <c r="AG1344">
        <f t="shared" si="427"/>
        <v>35874194.125247657</v>
      </c>
      <c r="AH1344">
        <f t="shared" si="428"/>
        <v>0</v>
      </c>
      <c r="AI1344">
        <f t="shared" si="429"/>
        <v>16695949475.283735</v>
      </c>
    </row>
    <row r="1345" spans="2:35" x14ac:dyDescent="0.25">
      <c r="B1345" s="4">
        <v>2024</v>
      </c>
      <c r="C1345" s="4" t="s">
        <v>33</v>
      </c>
      <c r="D1345" s="1" t="s">
        <v>81</v>
      </c>
      <c r="E1345" s="4" t="s">
        <v>696</v>
      </c>
      <c r="F1345" s="11" t="s">
        <v>135</v>
      </c>
      <c r="G1345" s="11"/>
      <c r="H1345" s="11" t="s">
        <v>721</v>
      </c>
      <c r="I1345" s="11"/>
      <c r="J1345" s="11" t="s">
        <v>32</v>
      </c>
      <c r="K1345" s="92">
        <v>3436.9815715266518</v>
      </c>
      <c r="L1345" s="92">
        <v>3818.868412807391</v>
      </c>
      <c r="M1345" s="93">
        <v>145111.13791024205</v>
      </c>
      <c r="N1345" s="8">
        <v>0</v>
      </c>
      <c r="O1345" s="8">
        <f>SUMIFS(EIAwtransport!$J$2:$J$675,EIAwtransport!$E$2:$E$675,Program_data!$E1345,EIAwtransport!$H$2:$H$675,Program_data!$F1345,EIAwtransport!$I$2:$I$675,Program_data!O$2)</f>
        <v>874680000</v>
      </c>
      <c r="P1345" s="5">
        <f>SUMIFS(EIAwtransport!$J$2:$J$675,EIAwtransport!$E$2:$E$675,Program_data!$E1345,EIAwtransport!$H$2:$H$675,Program_data!$F1345,EIAwtransport!$I$2:$I$675,Program_data!P$2)</f>
        <v>82460085.7641761</v>
      </c>
      <c r="Q1345" s="5">
        <f>SUMIFS(EIAwtransport!$J$2:$J$675,EIAwtransport!$E$2:$E$675,Program_data!$E1345,EIAwtransport!$H$2:$H$675,Program_data!$F1345,EIAwtransport!$I$2:$I$675,Program_data!Q$2)</f>
        <v>976170</v>
      </c>
      <c r="R1345" s="8">
        <f>SUMIFS(EIAwtransport!$J$2:$J$675,EIAwtransport!$E$2:$E$675,Program_data!$E1345,EIAwtransport!$I$2:$I$675,Program_data!R$2)</f>
        <v>1429680000</v>
      </c>
      <c r="S1345" s="5">
        <f>SUMIFS(EIAwtransport!$J$2:$J$675,EIAwtransport!$E$2:$E$675,Program_data!$E1345,EIAwtransport!$I$2:$I$675,Program_data!S$2)</f>
        <v>158285451.98410821</v>
      </c>
      <c r="T1345" s="5">
        <f>SUMIFS(EIAwtransport!$J$2:$J$675,EIAwtransport!$E$2:$E$675,Program_data!$E1345,EIAwtransport!$I$2:$I$675,Program_data!T$2)</f>
        <v>1074614</v>
      </c>
      <c r="U1345" s="24">
        <f t="shared" si="421"/>
        <v>2.0959284241731584E-6</v>
      </c>
      <c r="V1345" s="24">
        <f t="shared" si="424"/>
        <v>2.3288093601923981E-6</v>
      </c>
      <c r="W1345" s="24">
        <f t="shared" si="422"/>
        <v>1.0149903328733846E-4</v>
      </c>
      <c r="X1345" s="25">
        <f t="shared" si="423"/>
        <v>8.8491181078719677E-5</v>
      </c>
      <c r="Y1345" s="8">
        <f t="shared" si="415"/>
        <v>8.8949327060516239E-2</v>
      </c>
      <c r="Z1345" s="27">
        <f t="shared" si="416"/>
        <v>1.7799924965382335E-2</v>
      </c>
      <c r="AA1345" s="27"/>
      <c r="AB1345" s="27"/>
      <c r="AC1345" s="56">
        <f t="shared" si="425"/>
        <v>1.2715102955534383E-3</v>
      </c>
      <c r="AE1345" s="20" t="e">
        <f>#REF!*1.35</f>
        <v>#REF!</v>
      </c>
      <c r="AF1345" s="20">
        <f t="shared" si="426"/>
        <v>1930068000.0000002</v>
      </c>
      <c r="AG1345">
        <f t="shared" si="427"/>
        <v>15306322.826772332</v>
      </c>
      <c r="AH1345">
        <f t="shared" si="428"/>
        <v>0</v>
      </c>
      <c r="AI1345">
        <f t="shared" si="429"/>
        <v>16695949475.283735</v>
      </c>
    </row>
    <row r="1346" spans="2:35" x14ac:dyDescent="0.25">
      <c r="B1346" s="4">
        <v>2024</v>
      </c>
      <c r="C1346" s="4" t="s">
        <v>33</v>
      </c>
      <c r="D1346" s="1" t="s">
        <v>81</v>
      </c>
      <c r="E1346" s="4" t="s">
        <v>696</v>
      </c>
      <c r="F1346" s="11" t="s">
        <v>135</v>
      </c>
      <c r="G1346" s="11"/>
      <c r="H1346" s="11" t="s">
        <v>722</v>
      </c>
      <c r="I1346" s="11"/>
      <c r="J1346" s="11" t="s">
        <v>32</v>
      </c>
      <c r="K1346" s="92">
        <v>633.65200787798312</v>
      </c>
      <c r="L1346" s="92">
        <v>704.05778653109235</v>
      </c>
      <c r="M1346" s="93">
        <v>36277.784477560512</v>
      </c>
      <c r="N1346" s="8">
        <v>0</v>
      </c>
      <c r="O1346" s="8">
        <f>SUMIFS(EIAwtransport!$J$2:$J$675,EIAwtransport!$E$2:$E$675,Program_data!$E1346,EIAwtransport!$H$2:$H$675,Program_data!$F1346,EIAwtransport!$I$2:$I$675,Program_data!O$2)</f>
        <v>874680000</v>
      </c>
      <c r="P1346" s="5">
        <f>SUMIFS(EIAwtransport!$J$2:$J$675,EIAwtransport!$E$2:$E$675,Program_data!$E1346,EIAwtransport!$H$2:$H$675,Program_data!$F1346,EIAwtransport!$I$2:$I$675,Program_data!P$2)</f>
        <v>82460085.7641761</v>
      </c>
      <c r="Q1346" s="5">
        <f>SUMIFS(EIAwtransport!$J$2:$J$675,EIAwtransport!$E$2:$E$675,Program_data!$E1346,EIAwtransport!$H$2:$H$675,Program_data!$F1346,EIAwtransport!$I$2:$I$675,Program_data!Q$2)</f>
        <v>976170</v>
      </c>
      <c r="R1346" s="8">
        <f>SUMIFS(EIAwtransport!$J$2:$J$675,EIAwtransport!$E$2:$E$675,Program_data!$E1346,EIAwtransport!$I$2:$I$675,Program_data!R$2)</f>
        <v>1429680000</v>
      </c>
      <c r="S1346" s="5">
        <f>SUMIFS(EIAwtransport!$J$2:$J$675,EIAwtransport!$E$2:$E$675,Program_data!$E1346,EIAwtransport!$I$2:$I$675,Program_data!S$2)</f>
        <v>158285451.98410821</v>
      </c>
      <c r="T1346" s="5">
        <f>SUMIFS(EIAwtransport!$J$2:$J$675,EIAwtransport!$E$2:$E$675,Program_data!$E1346,EIAwtransport!$I$2:$I$675,Program_data!T$2)</f>
        <v>1074614</v>
      </c>
      <c r="U1346" s="24">
        <f t="shared" si="421"/>
        <v>3.8641151449524446E-7</v>
      </c>
      <c r="V1346" s="24">
        <f t="shared" si="424"/>
        <v>4.2934612721693826E-7</v>
      </c>
      <c r="W1346" s="24">
        <f t="shared" si="422"/>
        <v>2.5374758321834615E-5</v>
      </c>
      <c r="X1346" s="25">
        <f t="shared" si="423"/>
        <v>2.2122795269679919E-5</v>
      </c>
      <c r="Y1346" s="8">
        <f t="shared" si="415"/>
        <v>2.223733176512906E-2</v>
      </c>
      <c r="Z1346" s="27">
        <f t="shared" si="416"/>
        <v>4.4499812413455837E-3</v>
      </c>
      <c r="AA1346" s="27"/>
      <c r="AB1346" s="27"/>
      <c r="AC1346" s="56">
        <f t="shared" si="425"/>
        <v>3.1787757388835957E-4</v>
      </c>
      <c r="AE1346" s="20" t="e">
        <f>#REF!*1.35</f>
        <v>#REF!</v>
      </c>
      <c r="AF1346" s="20">
        <f t="shared" si="426"/>
        <v>1930068000.0000002</v>
      </c>
      <c r="AG1346">
        <f t="shared" si="427"/>
        <v>3826580.706693083</v>
      </c>
      <c r="AH1346">
        <f t="shared" si="428"/>
        <v>0</v>
      </c>
      <c r="AI1346">
        <f t="shared" si="429"/>
        <v>16695949475.283735</v>
      </c>
    </row>
    <row r="1347" spans="2:35" x14ac:dyDescent="0.25">
      <c r="B1347" s="4">
        <v>2024</v>
      </c>
      <c r="C1347" s="4" t="s">
        <v>33</v>
      </c>
      <c r="D1347" s="1" t="s">
        <v>81</v>
      </c>
      <c r="E1347" s="4" t="s">
        <v>696</v>
      </c>
      <c r="F1347" s="11" t="s">
        <v>146</v>
      </c>
      <c r="G1347" s="11"/>
      <c r="H1347" s="11" t="s">
        <v>723</v>
      </c>
      <c r="I1347" s="11"/>
      <c r="J1347" s="11" t="s">
        <v>55</v>
      </c>
      <c r="K1347" s="92">
        <v>29165.97201612169</v>
      </c>
      <c r="L1347" s="92">
        <v>32406.635573468546</v>
      </c>
      <c r="M1347" s="93">
        <v>212364.60705274172</v>
      </c>
      <c r="N1347" s="8">
        <v>0</v>
      </c>
      <c r="O1347" s="8">
        <f>SUMIFS(EIAwtransport!$J$2:$J$675,EIAwtransport!$E$2:$E$675,Program_data!$E1347,EIAwtransport!$H$2:$H$675,Program_data!$F1347,EIAwtransport!$I$2:$I$675,Program_data!O$2)</f>
        <v>555000000</v>
      </c>
      <c r="P1347" s="5">
        <f>SUMIFS(EIAwtransport!$J$2:$J$675,EIAwtransport!$E$2:$E$675,Program_data!$E1347,EIAwtransport!$H$2:$H$675,Program_data!$F1347,EIAwtransport!$I$2:$I$675,Program_data!P$2)</f>
        <v>75825366.219932109</v>
      </c>
      <c r="Q1347" s="5">
        <f>SUMIFS(EIAwtransport!$J$2:$J$675,EIAwtransport!$E$2:$E$675,Program_data!$E1347,EIAwtransport!$H$2:$H$675,Program_data!$F1347,EIAwtransport!$I$2:$I$675,Program_data!Q$2)</f>
        <v>98444</v>
      </c>
      <c r="R1347" s="8">
        <f>SUMIFS(EIAwtransport!$J$2:$J$675,EIAwtransport!$E$2:$E$675,Program_data!$E1347,EIAwtransport!$I$2:$I$675,Program_data!R$2)</f>
        <v>1429680000</v>
      </c>
      <c r="S1347" s="5">
        <f>SUMIFS(EIAwtransport!$J$2:$J$675,EIAwtransport!$E$2:$E$675,Program_data!$E1347,EIAwtransport!$I$2:$I$675,Program_data!S$2)</f>
        <v>158285451.98410821</v>
      </c>
      <c r="T1347" s="5">
        <f>SUMIFS(EIAwtransport!$J$2:$J$675,EIAwtransport!$E$2:$E$675,Program_data!$E1347,EIAwtransport!$I$2:$I$675,Program_data!T$2)</f>
        <v>1074614</v>
      </c>
      <c r="U1347" s="24">
        <f t="shared" si="421"/>
        <v>1.7785893958132424E-5</v>
      </c>
      <c r="V1347" s="24">
        <f t="shared" si="424"/>
        <v>1.9762104397924917E-5</v>
      </c>
      <c r="W1347" s="24">
        <f t="shared" si="422"/>
        <v>1.4853995792956585E-4</v>
      </c>
      <c r="X1347" s="25">
        <f t="shared" si="423"/>
        <v>1.2950346312520325E-4</v>
      </c>
      <c r="Y1347" s="8">
        <f t="shared" si="415"/>
        <v>3.5919759912346437E-2</v>
      </c>
      <c r="Z1347" s="27">
        <f t="shared" si="416"/>
        <v>2.6049510225602791E-2</v>
      </c>
      <c r="AA1347" s="27"/>
      <c r="AB1347" s="27"/>
      <c r="AC1347" s="56">
        <f t="shared" si="425"/>
        <v>1.860806745556248E-3</v>
      </c>
      <c r="AE1347" s="20" t="e">
        <f>#REF!*1.35</f>
        <v>#REF!</v>
      </c>
      <c r="AF1347" s="20">
        <f t="shared" si="426"/>
        <v>1930068000.0000002</v>
      </c>
      <c r="AG1347">
        <f t="shared" si="427"/>
        <v>22400218.751923196</v>
      </c>
      <c r="AH1347">
        <f t="shared" si="428"/>
        <v>0</v>
      </c>
      <c r="AI1347">
        <f t="shared" si="429"/>
        <v>16695949475.283735</v>
      </c>
    </row>
    <row r="1348" spans="2:35" x14ac:dyDescent="0.25">
      <c r="B1348" s="4">
        <v>2024</v>
      </c>
      <c r="C1348" s="4" t="s">
        <v>33</v>
      </c>
      <c r="D1348" s="1" t="s">
        <v>81</v>
      </c>
      <c r="E1348" s="4" t="s">
        <v>696</v>
      </c>
      <c r="F1348" s="11" t="s">
        <v>146</v>
      </c>
      <c r="G1348" s="11"/>
      <c r="H1348" s="11" t="s">
        <v>724</v>
      </c>
      <c r="I1348" s="11"/>
      <c r="J1348" s="11" t="s">
        <v>21</v>
      </c>
      <c r="K1348" s="92">
        <v>4860.9953360202808</v>
      </c>
      <c r="L1348" s="92">
        <v>5401.1059289114237</v>
      </c>
      <c r="M1348" s="93">
        <v>141576.40470182782</v>
      </c>
      <c r="N1348" s="8">
        <v>0</v>
      </c>
      <c r="O1348" s="8">
        <f>SUMIFS(EIAwtransport!$J$2:$J$675,EIAwtransport!$E$2:$E$675,Program_data!$E1348,EIAwtransport!$H$2:$H$675,Program_data!$F1348,EIAwtransport!$I$2:$I$675,Program_data!O$2)</f>
        <v>555000000</v>
      </c>
      <c r="P1348" s="5">
        <f>SUMIFS(EIAwtransport!$J$2:$J$675,EIAwtransport!$E$2:$E$675,Program_data!$E1348,EIAwtransport!$H$2:$H$675,Program_data!$F1348,EIAwtransport!$I$2:$I$675,Program_data!P$2)</f>
        <v>75825366.219932109</v>
      </c>
      <c r="Q1348" s="5">
        <f>SUMIFS(EIAwtransport!$J$2:$J$675,EIAwtransport!$E$2:$E$675,Program_data!$E1348,EIAwtransport!$H$2:$H$675,Program_data!$F1348,EIAwtransport!$I$2:$I$675,Program_data!Q$2)</f>
        <v>98444</v>
      </c>
      <c r="R1348" s="8">
        <f>SUMIFS(EIAwtransport!$J$2:$J$675,EIAwtransport!$E$2:$E$675,Program_data!$E1348,EIAwtransport!$I$2:$I$675,Program_data!R$2)</f>
        <v>1429680000</v>
      </c>
      <c r="S1348" s="5">
        <f>SUMIFS(EIAwtransport!$J$2:$J$675,EIAwtransport!$E$2:$E$675,Program_data!$E1348,EIAwtransport!$I$2:$I$675,Program_data!S$2)</f>
        <v>158285451.98410821</v>
      </c>
      <c r="T1348" s="5">
        <f>SUMIFS(EIAwtransport!$J$2:$J$675,EIAwtransport!$E$2:$E$675,Program_data!$E1348,EIAwtransport!$I$2:$I$675,Program_data!T$2)</f>
        <v>1074614</v>
      </c>
      <c r="U1348" s="24">
        <f t="shared" si="421"/>
        <v>2.9643156596887368E-6</v>
      </c>
      <c r="V1348" s="24">
        <f t="shared" si="424"/>
        <v>3.2936840663208192E-6</v>
      </c>
      <c r="W1348" s="24">
        <f t="shared" si="422"/>
        <v>9.9026638619710577E-5</v>
      </c>
      <c r="X1348" s="25">
        <f t="shared" si="423"/>
        <v>8.6335642083468851E-5</v>
      </c>
      <c r="Y1348" s="8">
        <f t="shared" ref="Y1348:Y1411" si="430">IFERROR(M1348/SUMIFS($K$3:$K$1492,$E$3:$E$1492,E1348,$B$3:$B$1492,B1348,$F$3:$F$1492,F1348,$A$3:$A$1492,""),"")</f>
        <v>2.3946506608230958E-2</v>
      </c>
      <c r="Z1348" s="27">
        <f t="shared" ref="Z1348:Z1411" si="431">IFERROR(M1348/SUMIFS($K$3:$K$1492,$E$3:$E$1492,E1348,$B$3:$B$1492,B1348,$A$3:$A$1492,""),"")</f>
        <v>1.7366340150401862E-2</v>
      </c>
      <c r="AA1348" s="27"/>
      <c r="AB1348" s="27"/>
      <c r="AC1348" s="56">
        <f t="shared" si="425"/>
        <v>1.2405378303708321E-3</v>
      </c>
      <c r="AE1348" s="20" t="e">
        <f>#REF!*1.35</f>
        <v>#REF!</v>
      </c>
      <c r="AF1348" s="20">
        <f t="shared" si="426"/>
        <v>1930068000.0000002</v>
      </c>
      <c r="AG1348">
        <f t="shared" si="427"/>
        <v>14933479.167948799</v>
      </c>
      <c r="AH1348">
        <f t="shared" si="428"/>
        <v>0</v>
      </c>
      <c r="AI1348">
        <f t="shared" si="429"/>
        <v>16695949475.283735</v>
      </c>
    </row>
    <row r="1349" spans="2:35" x14ac:dyDescent="0.25">
      <c r="B1349" s="4">
        <v>2024</v>
      </c>
      <c r="C1349" s="4" t="s">
        <v>33</v>
      </c>
      <c r="D1349" s="1" t="s">
        <v>81</v>
      </c>
      <c r="E1349" s="4" t="s">
        <v>696</v>
      </c>
      <c r="F1349" s="11" t="s">
        <v>146</v>
      </c>
      <c r="G1349" s="11"/>
      <c r="H1349" s="11" t="s">
        <v>725</v>
      </c>
      <c r="I1349" s="11"/>
      <c r="J1349" s="11" t="s">
        <v>21</v>
      </c>
      <c r="K1349" s="92">
        <v>224577.98452413699</v>
      </c>
      <c r="L1349" s="92">
        <v>249531.09391570778</v>
      </c>
      <c r="M1349" s="93">
        <v>485399.42273370671</v>
      </c>
      <c r="N1349" s="8">
        <v>0</v>
      </c>
      <c r="O1349" s="8">
        <f>SUMIFS(EIAwtransport!$J$2:$J$675,EIAwtransport!$E$2:$E$675,Program_data!$E1349,EIAwtransport!$H$2:$H$675,Program_data!$F1349,EIAwtransport!$I$2:$I$675,Program_data!O$2)</f>
        <v>555000000</v>
      </c>
      <c r="P1349" s="5">
        <f>SUMIFS(EIAwtransport!$J$2:$J$675,EIAwtransport!$E$2:$E$675,Program_data!$E1349,EIAwtransport!$H$2:$H$675,Program_data!$F1349,EIAwtransport!$I$2:$I$675,Program_data!P$2)</f>
        <v>75825366.219932109</v>
      </c>
      <c r="Q1349" s="5">
        <f>SUMIFS(EIAwtransport!$J$2:$J$675,EIAwtransport!$E$2:$E$675,Program_data!$E1349,EIAwtransport!$H$2:$H$675,Program_data!$F1349,EIAwtransport!$I$2:$I$675,Program_data!Q$2)</f>
        <v>98444</v>
      </c>
      <c r="R1349" s="8">
        <f>SUMIFS(EIAwtransport!$J$2:$J$675,EIAwtransport!$E$2:$E$675,Program_data!$E1349,EIAwtransport!$I$2:$I$675,Program_data!R$2)</f>
        <v>1429680000</v>
      </c>
      <c r="S1349" s="5">
        <f>SUMIFS(EIAwtransport!$J$2:$J$675,EIAwtransport!$E$2:$E$675,Program_data!$E1349,EIAwtransport!$I$2:$I$675,Program_data!S$2)</f>
        <v>158285451.98410821</v>
      </c>
      <c r="T1349" s="5">
        <f>SUMIFS(EIAwtransport!$J$2:$J$675,EIAwtransport!$E$2:$E$675,Program_data!$E1349,EIAwtransport!$I$2:$I$675,Program_data!T$2)</f>
        <v>1074614</v>
      </c>
      <c r="U1349" s="24">
        <f t="shared" si="421"/>
        <v>1.3695138347761968E-4</v>
      </c>
      <c r="V1349" s="24">
        <f t="shared" si="424"/>
        <v>1.5216820386402185E-4</v>
      </c>
      <c r="W1349" s="24">
        <f t="shared" si="422"/>
        <v>3.3951613139563167E-4</v>
      </c>
      <c r="X1349" s="25">
        <f t="shared" si="423"/>
        <v>2.9600462673790907E-4</v>
      </c>
      <c r="Y1349" s="8">
        <f t="shared" si="430"/>
        <v>8.2101396123206771E-2</v>
      </c>
      <c r="Z1349" s="27">
        <f t="shared" si="431"/>
        <v>5.9541076083657794E-2</v>
      </c>
      <c r="AA1349" s="27"/>
      <c r="AB1349" s="27"/>
      <c r="AC1349" s="56">
        <f t="shared" si="425"/>
        <v>4.2532253026874101E-3</v>
      </c>
      <c r="AE1349" s="20" t="e">
        <f>#REF!*1.35</f>
        <v>#REF!</v>
      </c>
      <c r="AF1349" s="20">
        <f t="shared" si="426"/>
        <v>1930068000.0000002</v>
      </c>
      <c r="AG1349">
        <f t="shared" si="427"/>
        <v>51199931.109951384</v>
      </c>
      <c r="AH1349">
        <f t="shared" si="428"/>
        <v>0</v>
      </c>
      <c r="AI1349">
        <f t="shared" si="429"/>
        <v>16695949475.283735</v>
      </c>
    </row>
    <row r="1350" spans="2:35" x14ac:dyDescent="0.25">
      <c r="B1350" s="4">
        <v>2024</v>
      </c>
      <c r="C1350" s="4" t="s">
        <v>33</v>
      </c>
      <c r="D1350" s="1" t="s">
        <v>81</v>
      </c>
      <c r="E1350" s="4" t="s">
        <v>696</v>
      </c>
      <c r="F1350" s="11" t="s">
        <v>146</v>
      </c>
      <c r="G1350" s="11"/>
      <c r="H1350" s="11" t="s">
        <v>726</v>
      </c>
      <c r="I1350" s="11"/>
      <c r="J1350" s="11" t="s">
        <v>21</v>
      </c>
      <c r="K1350" s="92">
        <v>769.65759486987781</v>
      </c>
      <c r="L1350" s="92">
        <v>855.17510541097533</v>
      </c>
      <c r="M1350" s="93">
        <v>566.30561880731125</v>
      </c>
      <c r="N1350" s="8">
        <v>0</v>
      </c>
      <c r="O1350" s="8">
        <f>SUMIFS(EIAwtransport!$J$2:$J$675,EIAwtransport!$E$2:$E$675,Program_data!$E1350,EIAwtransport!$H$2:$H$675,Program_data!$F1350,EIAwtransport!$I$2:$I$675,Program_data!O$2)</f>
        <v>555000000</v>
      </c>
      <c r="P1350" s="5">
        <f>SUMIFS(EIAwtransport!$J$2:$J$675,EIAwtransport!$E$2:$E$675,Program_data!$E1350,EIAwtransport!$H$2:$H$675,Program_data!$F1350,EIAwtransport!$I$2:$I$675,Program_data!P$2)</f>
        <v>75825366.219932109</v>
      </c>
      <c r="Q1350" s="5">
        <f>SUMIFS(EIAwtransport!$J$2:$J$675,EIAwtransport!$E$2:$E$675,Program_data!$E1350,EIAwtransport!$H$2:$H$675,Program_data!$F1350,EIAwtransport!$I$2:$I$675,Program_data!Q$2)</f>
        <v>98444</v>
      </c>
      <c r="R1350" s="8">
        <f>SUMIFS(EIAwtransport!$J$2:$J$675,EIAwtransport!$E$2:$E$675,Program_data!$E1350,EIAwtransport!$I$2:$I$675,Program_data!R$2)</f>
        <v>1429680000</v>
      </c>
      <c r="S1350" s="5">
        <f>SUMIFS(EIAwtransport!$J$2:$J$675,EIAwtransport!$E$2:$E$675,Program_data!$E1350,EIAwtransport!$I$2:$I$675,Program_data!S$2)</f>
        <v>158285451.98410821</v>
      </c>
      <c r="T1350" s="5">
        <f>SUMIFS(EIAwtransport!$J$2:$J$675,EIAwtransport!$E$2:$E$675,Program_data!$E1350,EIAwtransport!$I$2:$I$675,Program_data!T$2)</f>
        <v>1074614</v>
      </c>
      <c r="U1350" s="24">
        <f t="shared" si="421"/>
        <v>4.6934997945071669E-7</v>
      </c>
      <c r="V1350" s="24">
        <f t="shared" si="424"/>
        <v>5.2149997716746299E-7</v>
      </c>
      <c r="W1350" s="24">
        <f t="shared" si="422"/>
        <v>3.9610655447884229E-7</v>
      </c>
      <c r="X1350" s="25">
        <f t="shared" si="423"/>
        <v>3.4534256833387539E-7</v>
      </c>
      <c r="Y1350" s="8">
        <f t="shared" si="430"/>
        <v>9.5786026432923823E-5</v>
      </c>
      <c r="Z1350" s="27">
        <f t="shared" si="431"/>
        <v>6.9465360601607439E-5</v>
      </c>
      <c r="AA1350" s="27"/>
      <c r="AB1350" s="27"/>
      <c r="AC1350" s="56">
        <f t="shared" si="425"/>
        <v>4.9621513214833285E-6</v>
      </c>
      <c r="AE1350" s="20" t="e">
        <f>#REF!*1.35</f>
        <v>#REF!</v>
      </c>
      <c r="AF1350" s="20">
        <f t="shared" si="426"/>
        <v>1930068000.0000002</v>
      </c>
      <c r="AG1350">
        <f t="shared" si="427"/>
        <v>59733.916671795196</v>
      </c>
      <c r="AH1350">
        <f t="shared" si="428"/>
        <v>0</v>
      </c>
      <c r="AI1350">
        <f t="shared" si="429"/>
        <v>16695949475.283735</v>
      </c>
    </row>
    <row r="1351" spans="2:35" x14ac:dyDescent="0.25">
      <c r="B1351" s="4">
        <v>2024</v>
      </c>
      <c r="C1351" s="4" t="s">
        <v>33</v>
      </c>
      <c r="D1351" s="1" t="s">
        <v>81</v>
      </c>
      <c r="E1351" s="4" t="s">
        <v>696</v>
      </c>
      <c r="F1351" s="11" t="s">
        <v>146</v>
      </c>
      <c r="G1351" s="11"/>
      <c r="H1351" s="11" t="s">
        <v>727</v>
      </c>
      <c r="I1351" s="11"/>
      <c r="J1351" s="11" t="s">
        <v>21</v>
      </c>
      <c r="K1351" s="92">
        <v>16041.284608866928</v>
      </c>
      <c r="L1351" s="92">
        <v>17823.649565407701</v>
      </c>
      <c r="M1351" s="93">
        <v>47192.134900609271</v>
      </c>
      <c r="N1351" s="8">
        <v>0</v>
      </c>
      <c r="O1351" s="8">
        <f>SUMIFS(EIAwtransport!$J$2:$J$675,EIAwtransport!$E$2:$E$675,Program_data!$E1351,EIAwtransport!$H$2:$H$675,Program_data!$F1351,EIAwtransport!$I$2:$I$675,Program_data!O$2)</f>
        <v>555000000</v>
      </c>
      <c r="P1351" s="5">
        <f>SUMIFS(EIAwtransport!$J$2:$J$675,EIAwtransport!$E$2:$E$675,Program_data!$E1351,EIAwtransport!$H$2:$H$675,Program_data!$F1351,EIAwtransport!$I$2:$I$675,Program_data!P$2)</f>
        <v>75825366.219932109</v>
      </c>
      <c r="Q1351" s="5">
        <f>SUMIFS(EIAwtransport!$J$2:$J$675,EIAwtransport!$E$2:$E$675,Program_data!$E1351,EIAwtransport!$H$2:$H$675,Program_data!$F1351,EIAwtransport!$I$2:$I$675,Program_data!Q$2)</f>
        <v>98444</v>
      </c>
      <c r="R1351" s="8">
        <f>SUMIFS(EIAwtransport!$J$2:$J$675,EIAwtransport!$E$2:$E$675,Program_data!$E1351,EIAwtransport!$I$2:$I$675,Program_data!R$2)</f>
        <v>1429680000</v>
      </c>
      <c r="S1351" s="5">
        <f>SUMIFS(EIAwtransport!$J$2:$J$675,EIAwtransport!$E$2:$E$675,Program_data!$E1351,EIAwtransport!$I$2:$I$675,Program_data!S$2)</f>
        <v>158285451.98410821</v>
      </c>
      <c r="T1351" s="5">
        <f>SUMIFS(EIAwtransport!$J$2:$J$675,EIAwtransport!$E$2:$E$675,Program_data!$E1351,EIAwtransport!$I$2:$I$675,Program_data!T$2)</f>
        <v>1074614</v>
      </c>
      <c r="U1351" s="24">
        <f t="shared" si="421"/>
        <v>9.7822416769728344E-6</v>
      </c>
      <c r="V1351" s="24">
        <f t="shared" si="424"/>
        <v>1.0869157418858705E-5</v>
      </c>
      <c r="W1351" s="24">
        <f t="shared" si="422"/>
        <v>3.3008879539903528E-5</v>
      </c>
      <c r="X1351" s="25">
        <f t="shared" si="423"/>
        <v>2.8778547361156279E-5</v>
      </c>
      <c r="Y1351" s="8">
        <f t="shared" si="430"/>
        <v>7.9821688694103193E-3</v>
      </c>
      <c r="Z1351" s="27">
        <f t="shared" si="431"/>
        <v>5.7887800501339537E-3</v>
      </c>
      <c r="AA1351" s="27"/>
      <c r="AB1351" s="27"/>
      <c r="AC1351" s="56">
        <f t="shared" si="425"/>
        <v>4.135126101236107E-4</v>
      </c>
      <c r="AE1351" s="20" t="e">
        <f>#REF!*1.35</f>
        <v>#REF!</v>
      </c>
      <c r="AF1351" s="20">
        <f t="shared" si="426"/>
        <v>1930068000.0000002</v>
      </c>
      <c r="AG1351">
        <f t="shared" si="427"/>
        <v>4977826.3893162664</v>
      </c>
      <c r="AH1351">
        <f t="shared" si="428"/>
        <v>0</v>
      </c>
      <c r="AI1351">
        <f t="shared" si="429"/>
        <v>16695949475.283735</v>
      </c>
    </row>
    <row r="1352" spans="2:35" x14ac:dyDescent="0.25">
      <c r="B1352" s="4">
        <v>2024</v>
      </c>
      <c r="C1352" s="4" t="s">
        <v>33</v>
      </c>
      <c r="D1352" s="1" t="s">
        <v>81</v>
      </c>
      <c r="E1352" s="4" t="s">
        <v>696</v>
      </c>
      <c r="F1352" s="11" t="s">
        <v>146</v>
      </c>
      <c r="G1352" s="11"/>
      <c r="H1352" s="11" t="s">
        <v>728</v>
      </c>
      <c r="I1352" s="11"/>
      <c r="J1352" s="11" t="s">
        <v>21</v>
      </c>
      <c r="K1352" s="92">
        <v>30000.442882138501</v>
      </c>
      <c r="L1352" s="92">
        <v>33333.825424598341</v>
      </c>
      <c r="M1352" s="93">
        <v>33034.494430426486</v>
      </c>
      <c r="N1352" s="8">
        <v>0</v>
      </c>
      <c r="O1352" s="8">
        <f>SUMIFS(EIAwtransport!$J$2:$J$675,EIAwtransport!$E$2:$E$675,Program_data!$E1352,EIAwtransport!$H$2:$H$675,Program_data!$F1352,EIAwtransport!$I$2:$I$675,Program_data!O$2)</f>
        <v>555000000</v>
      </c>
      <c r="P1352" s="5">
        <f>SUMIFS(EIAwtransport!$J$2:$J$675,EIAwtransport!$E$2:$E$675,Program_data!$E1352,EIAwtransport!$H$2:$H$675,Program_data!$F1352,EIAwtransport!$I$2:$I$675,Program_data!P$2)</f>
        <v>75825366.219932109</v>
      </c>
      <c r="Q1352" s="5">
        <f>SUMIFS(EIAwtransport!$J$2:$J$675,EIAwtransport!$E$2:$E$675,Program_data!$E1352,EIAwtransport!$H$2:$H$675,Program_data!$F1352,EIAwtransport!$I$2:$I$675,Program_data!Q$2)</f>
        <v>98444</v>
      </c>
      <c r="R1352" s="8">
        <f>SUMIFS(EIAwtransport!$J$2:$J$675,EIAwtransport!$E$2:$E$675,Program_data!$E1352,EIAwtransport!$I$2:$I$675,Program_data!R$2)</f>
        <v>1429680000</v>
      </c>
      <c r="S1352" s="5">
        <f>SUMIFS(EIAwtransport!$J$2:$J$675,EIAwtransport!$E$2:$E$675,Program_data!$E1352,EIAwtransport!$I$2:$I$675,Program_data!S$2)</f>
        <v>158285451.98410821</v>
      </c>
      <c r="T1352" s="5">
        <f>SUMIFS(EIAwtransport!$J$2:$J$675,EIAwtransport!$E$2:$E$675,Program_data!$E1352,EIAwtransport!$I$2:$I$675,Program_data!T$2)</f>
        <v>1074614</v>
      </c>
      <c r="U1352" s="24">
        <f t="shared" si="421"/>
        <v>1.8294768146378988E-5</v>
      </c>
      <c r="V1352" s="24">
        <f t="shared" si="424"/>
        <v>2.0327520162643326E-5</v>
      </c>
      <c r="W1352" s="24">
        <f t="shared" si="422"/>
        <v>2.3106215677932465E-5</v>
      </c>
      <c r="X1352" s="25">
        <f t="shared" si="423"/>
        <v>2.0144983152809393E-5</v>
      </c>
      <c r="Y1352" s="8">
        <f t="shared" si="430"/>
        <v>5.5875182085872227E-3</v>
      </c>
      <c r="Z1352" s="27">
        <f t="shared" si="431"/>
        <v>4.0521460350937668E-3</v>
      </c>
      <c r="AA1352" s="27"/>
      <c r="AB1352" s="27"/>
      <c r="AC1352" s="56">
        <f t="shared" si="425"/>
        <v>2.8945882708652745E-4</v>
      </c>
      <c r="AE1352" s="20" t="e">
        <f>#REF!*1.35</f>
        <v>#REF!</v>
      </c>
      <c r="AF1352" s="20">
        <f t="shared" si="426"/>
        <v>1930068000.0000002</v>
      </c>
      <c r="AG1352">
        <f t="shared" si="427"/>
        <v>3484478.4725213861</v>
      </c>
      <c r="AH1352">
        <f t="shared" si="428"/>
        <v>0</v>
      </c>
      <c r="AI1352">
        <f t="shared" si="429"/>
        <v>16695949475.283735</v>
      </c>
    </row>
    <row r="1353" spans="2:35" x14ac:dyDescent="0.25">
      <c r="B1353" s="4">
        <v>2024</v>
      </c>
      <c r="C1353" s="4" t="s">
        <v>33</v>
      </c>
      <c r="D1353" s="1" t="s">
        <v>81</v>
      </c>
      <c r="E1353" s="4" t="s">
        <v>696</v>
      </c>
      <c r="F1353" s="11" t="s">
        <v>146</v>
      </c>
      <c r="G1353" s="11"/>
      <c r="H1353" s="11" t="s">
        <v>729</v>
      </c>
      <c r="I1353" s="11"/>
      <c r="J1353" s="11" t="s">
        <v>21</v>
      </c>
      <c r="K1353" s="92">
        <v>4860.9953360202808</v>
      </c>
      <c r="L1353" s="92">
        <v>5401.1059289114237</v>
      </c>
      <c r="M1353" s="93">
        <v>47192.134900609271</v>
      </c>
      <c r="N1353" s="8">
        <v>0</v>
      </c>
      <c r="O1353" s="8">
        <f>SUMIFS(EIAwtransport!$J$2:$J$675,EIAwtransport!$E$2:$E$675,Program_data!$E1353,EIAwtransport!$H$2:$H$675,Program_data!$F1353,EIAwtransport!$I$2:$I$675,Program_data!O$2)</f>
        <v>555000000</v>
      </c>
      <c r="P1353" s="5">
        <f>SUMIFS(EIAwtransport!$J$2:$J$675,EIAwtransport!$E$2:$E$675,Program_data!$E1353,EIAwtransport!$H$2:$H$675,Program_data!$F1353,EIAwtransport!$I$2:$I$675,Program_data!P$2)</f>
        <v>75825366.219932109</v>
      </c>
      <c r="Q1353" s="5">
        <f>SUMIFS(EIAwtransport!$J$2:$J$675,EIAwtransport!$E$2:$E$675,Program_data!$E1353,EIAwtransport!$H$2:$H$675,Program_data!$F1353,EIAwtransport!$I$2:$I$675,Program_data!Q$2)</f>
        <v>98444</v>
      </c>
      <c r="R1353" s="8">
        <f>SUMIFS(EIAwtransport!$J$2:$J$675,EIAwtransport!$E$2:$E$675,Program_data!$E1353,EIAwtransport!$I$2:$I$675,Program_data!R$2)</f>
        <v>1429680000</v>
      </c>
      <c r="S1353" s="5">
        <f>SUMIFS(EIAwtransport!$J$2:$J$675,EIAwtransport!$E$2:$E$675,Program_data!$E1353,EIAwtransport!$I$2:$I$675,Program_data!S$2)</f>
        <v>158285451.98410821</v>
      </c>
      <c r="T1353" s="5">
        <f>SUMIFS(EIAwtransport!$J$2:$J$675,EIAwtransport!$E$2:$E$675,Program_data!$E1353,EIAwtransport!$I$2:$I$675,Program_data!T$2)</f>
        <v>1074614</v>
      </c>
      <c r="U1353" s="24">
        <f t="shared" si="421"/>
        <v>2.9643156596887368E-6</v>
      </c>
      <c r="V1353" s="24">
        <f t="shared" si="424"/>
        <v>3.2936840663208192E-6</v>
      </c>
      <c r="W1353" s="24">
        <f t="shared" si="422"/>
        <v>3.3008879539903528E-5</v>
      </c>
      <c r="X1353" s="25">
        <f t="shared" si="423"/>
        <v>2.8778547361156279E-5</v>
      </c>
      <c r="Y1353" s="8">
        <f t="shared" si="430"/>
        <v>7.9821688694103193E-3</v>
      </c>
      <c r="Z1353" s="27">
        <f t="shared" si="431"/>
        <v>5.7887800501339537E-3</v>
      </c>
      <c r="AA1353" s="27"/>
      <c r="AB1353" s="27"/>
      <c r="AC1353" s="56">
        <f t="shared" ref="AC1353:AC1384" si="432">IFERROR(M1353/SUMIFS($M$3:$M$1234,$E$3:$E$1234,E1353,$B$3:$B$1234,B1353),"")</f>
        <v>4.135126101236107E-4</v>
      </c>
      <c r="AE1353" s="20" t="e">
        <f>#REF!*1.35</f>
        <v>#REF!</v>
      </c>
      <c r="AF1353" s="20">
        <f t="shared" ref="AF1353:AF1384" si="433">R1353*1.35</f>
        <v>1930068000.0000002</v>
      </c>
      <c r="AG1353">
        <f t="shared" ref="AG1353:AG1384" si="434">M1353*105.48</f>
        <v>4977826.3893162664</v>
      </c>
      <c r="AH1353">
        <f t="shared" ref="AH1353:AH1384" si="435">N1353*105.48</f>
        <v>0</v>
      </c>
      <c r="AI1353">
        <f t="shared" ref="AI1353:AI1384" si="436">S1353*105.48</f>
        <v>16695949475.283735</v>
      </c>
    </row>
    <row r="1354" spans="2:35" x14ac:dyDescent="0.25">
      <c r="B1354" s="4">
        <v>2024</v>
      </c>
      <c r="C1354" s="4" t="s">
        <v>33</v>
      </c>
      <c r="D1354" s="1" t="s">
        <v>81</v>
      </c>
      <c r="E1354" s="4" t="s">
        <v>696</v>
      </c>
      <c r="F1354" s="11" t="s">
        <v>146</v>
      </c>
      <c r="G1354" s="11"/>
      <c r="H1354" s="11" t="s">
        <v>730</v>
      </c>
      <c r="I1354" s="11"/>
      <c r="J1354" s="11" t="s">
        <v>55</v>
      </c>
      <c r="K1354" s="92">
        <v>35096.386326066429</v>
      </c>
      <c r="L1354" s="92">
        <v>38995.984806740489</v>
      </c>
      <c r="M1354" s="93">
        <v>56630.561880731126</v>
      </c>
      <c r="N1354" s="8">
        <v>0</v>
      </c>
      <c r="O1354" s="8">
        <f>SUMIFS(EIAwtransport!$J$2:$J$675,EIAwtransport!$E$2:$E$675,Program_data!$E1354,EIAwtransport!$H$2:$H$675,Program_data!$F1354,EIAwtransport!$I$2:$I$675,Program_data!O$2)</f>
        <v>555000000</v>
      </c>
      <c r="P1354" s="5">
        <f>SUMIFS(EIAwtransport!$J$2:$J$675,EIAwtransport!$E$2:$E$675,Program_data!$E1354,EIAwtransport!$H$2:$H$675,Program_data!$F1354,EIAwtransport!$I$2:$I$675,Program_data!P$2)</f>
        <v>75825366.219932109</v>
      </c>
      <c r="Q1354" s="5">
        <f>SUMIFS(EIAwtransport!$J$2:$J$675,EIAwtransport!$E$2:$E$675,Program_data!$E1354,EIAwtransport!$H$2:$H$675,Program_data!$F1354,EIAwtransport!$I$2:$I$675,Program_data!Q$2)</f>
        <v>98444</v>
      </c>
      <c r="R1354" s="8">
        <f>SUMIFS(EIAwtransport!$J$2:$J$675,EIAwtransport!$E$2:$E$675,Program_data!$E1354,EIAwtransport!$I$2:$I$675,Program_data!R$2)</f>
        <v>1429680000</v>
      </c>
      <c r="S1354" s="5">
        <f>SUMIFS(EIAwtransport!$J$2:$J$675,EIAwtransport!$E$2:$E$675,Program_data!$E1354,EIAwtransport!$I$2:$I$675,Program_data!S$2)</f>
        <v>158285451.98410821</v>
      </c>
      <c r="T1354" s="5">
        <f>SUMIFS(EIAwtransport!$J$2:$J$675,EIAwtransport!$E$2:$E$675,Program_data!$E1354,EIAwtransport!$I$2:$I$675,Program_data!T$2)</f>
        <v>1074614</v>
      </c>
      <c r="U1354" s="24">
        <f t="shared" si="421"/>
        <v>2.1402359062952683E-5</v>
      </c>
      <c r="V1354" s="24">
        <f t="shared" si="424"/>
        <v>2.3780398958836321E-5</v>
      </c>
      <c r="W1354" s="24">
        <f t="shared" si="422"/>
        <v>3.9610655447884229E-5</v>
      </c>
      <c r="X1354" s="25">
        <f t="shared" si="423"/>
        <v>3.4534256833387536E-5</v>
      </c>
      <c r="Y1354" s="8">
        <f t="shared" si="430"/>
        <v>9.5786026432923832E-3</v>
      </c>
      <c r="Z1354" s="27">
        <f t="shared" si="431"/>
        <v>6.9465360601607441E-3</v>
      </c>
      <c r="AA1354" s="27"/>
      <c r="AB1354" s="27"/>
      <c r="AC1354" s="56">
        <f t="shared" si="432"/>
        <v>4.962151321483328E-4</v>
      </c>
      <c r="AE1354" s="20" t="e">
        <f>#REF!*1.35</f>
        <v>#REF!</v>
      </c>
      <c r="AF1354" s="20">
        <f t="shared" si="433"/>
        <v>1930068000.0000002</v>
      </c>
      <c r="AG1354">
        <f t="shared" si="434"/>
        <v>5973391.6671795193</v>
      </c>
      <c r="AH1354">
        <f t="shared" si="435"/>
        <v>0</v>
      </c>
      <c r="AI1354">
        <f t="shared" si="436"/>
        <v>16695949475.283735</v>
      </c>
    </row>
    <row r="1355" spans="2:35" x14ac:dyDescent="0.25">
      <c r="B1355" s="4">
        <v>2024</v>
      </c>
      <c r="C1355" s="4" t="s">
        <v>33</v>
      </c>
      <c r="D1355" s="1" t="s">
        <v>81</v>
      </c>
      <c r="E1355" s="4" t="s">
        <v>696</v>
      </c>
      <c r="F1355" s="11" t="s">
        <v>146</v>
      </c>
      <c r="G1355" s="11"/>
      <c r="H1355" s="11" t="s">
        <v>731</v>
      </c>
      <c r="I1355" s="11"/>
      <c r="J1355" s="11" t="s">
        <v>21</v>
      </c>
      <c r="K1355" s="92">
        <v>24304.976680101405</v>
      </c>
      <c r="L1355" s="92">
        <v>27005.529644557118</v>
      </c>
      <c r="M1355" s="93">
        <v>235960.67450304635</v>
      </c>
      <c r="N1355" s="8">
        <v>0</v>
      </c>
      <c r="O1355" s="8">
        <f>SUMIFS(EIAwtransport!$J$2:$J$675,EIAwtransport!$E$2:$E$675,Program_data!$E1355,EIAwtransport!$H$2:$H$675,Program_data!$F1355,EIAwtransport!$I$2:$I$675,Program_data!O$2)</f>
        <v>555000000</v>
      </c>
      <c r="P1355" s="5">
        <f>SUMIFS(EIAwtransport!$J$2:$J$675,EIAwtransport!$E$2:$E$675,Program_data!$E1355,EIAwtransport!$H$2:$H$675,Program_data!$F1355,EIAwtransport!$I$2:$I$675,Program_data!P$2)</f>
        <v>75825366.219932109</v>
      </c>
      <c r="Q1355" s="5">
        <f>SUMIFS(EIAwtransport!$J$2:$J$675,EIAwtransport!$E$2:$E$675,Program_data!$E1355,EIAwtransport!$H$2:$H$675,Program_data!$F1355,EIAwtransport!$I$2:$I$675,Program_data!Q$2)</f>
        <v>98444</v>
      </c>
      <c r="R1355" s="8">
        <f>SUMIFS(EIAwtransport!$J$2:$J$675,EIAwtransport!$E$2:$E$675,Program_data!$E1355,EIAwtransport!$I$2:$I$675,Program_data!R$2)</f>
        <v>1429680000</v>
      </c>
      <c r="S1355" s="5">
        <f>SUMIFS(EIAwtransport!$J$2:$J$675,EIAwtransport!$E$2:$E$675,Program_data!$E1355,EIAwtransport!$I$2:$I$675,Program_data!S$2)</f>
        <v>158285451.98410821</v>
      </c>
      <c r="T1355" s="5">
        <f>SUMIFS(EIAwtransport!$J$2:$J$675,EIAwtransport!$E$2:$E$675,Program_data!$E1355,EIAwtransport!$I$2:$I$675,Program_data!T$2)</f>
        <v>1074614</v>
      </c>
      <c r="U1355" s="24">
        <f t="shared" si="421"/>
        <v>1.4821578298443687E-5</v>
      </c>
      <c r="V1355" s="24">
        <f t="shared" si="424"/>
        <v>1.6468420331604096E-5</v>
      </c>
      <c r="W1355" s="24">
        <f t="shared" si="422"/>
        <v>1.6504439769951762E-4</v>
      </c>
      <c r="X1355" s="25">
        <f t="shared" si="423"/>
        <v>1.4389273680578141E-4</v>
      </c>
      <c r="Y1355" s="8">
        <f t="shared" si="430"/>
        <v>3.9910844347051597E-2</v>
      </c>
      <c r="Z1355" s="27">
        <f t="shared" si="431"/>
        <v>2.8943900250669768E-2</v>
      </c>
      <c r="AA1355" s="27"/>
      <c r="AB1355" s="27"/>
      <c r="AC1355" s="56">
        <f t="shared" si="432"/>
        <v>2.0675630506180533E-3</v>
      </c>
      <c r="AE1355" s="20" t="e">
        <f>#REF!*1.35</f>
        <v>#REF!</v>
      </c>
      <c r="AF1355" s="20">
        <f t="shared" si="433"/>
        <v>1930068000.0000002</v>
      </c>
      <c r="AG1355">
        <f t="shared" si="434"/>
        <v>24889131.94658133</v>
      </c>
      <c r="AH1355">
        <f t="shared" si="435"/>
        <v>0</v>
      </c>
      <c r="AI1355">
        <f t="shared" si="436"/>
        <v>16695949475.283735</v>
      </c>
    </row>
    <row r="1356" spans="2:35" x14ac:dyDescent="0.25">
      <c r="B1356" s="4">
        <v>2024</v>
      </c>
      <c r="C1356" s="4" t="s">
        <v>33</v>
      </c>
      <c r="D1356" s="1" t="s">
        <v>81</v>
      </c>
      <c r="E1356" s="4" t="s">
        <v>696</v>
      </c>
      <c r="F1356" s="11" t="s">
        <v>146</v>
      </c>
      <c r="G1356" s="11"/>
      <c r="H1356" s="11" t="s">
        <v>732</v>
      </c>
      <c r="I1356" s="11"/>
      <c r="J1356" s="11" t="s">
        <v>21</v>
      </c>
      <c r="K1356" s="92">
        <v>64748.45787579014</v>
      </c>
      <c r="L1356" s="92">
        <v>71942.730973100173</v>
      </c>
      <c r="M1356" s="93">
        <v>141576.40470182782</v>
      </c>
      <c r="N1356" s="8">
        <v>0</v>
      </c>
      <c r="O1356" s="8">
        <f>SUMIFS(EIAwtransport!$J$2:$J$675,EIAwtransport!$E$2:$E$675,Program_data!$E1356,EIAwtransport!$H$2:$H$675,Program_data!$F1356,EIAwtransport!$I$2:$I$675,Program_data!O$2)</f>
        <v>555000000</v>
      </c>
      <c r="P1356" s="5">
        <f>SUMIFS(EIAwtransport!$J$2:$J$675,EIAwtransport!$E$2:$E$675,Program_data!$E1356,EIAwtransport!$H$2:$H$675,Program_data!$F1356,EIAwtransport!$I$2:$I$675,Program_data!P$2)</f>
        <v>75825366.219932109</v>
      </c>
      <c r="Q1356" s="5">
        <f>SUMIFS(EIAwtransport!$J$2:$J$675,EIAwtransport!$E$2:$E$675,Program_data!$E1356,EIAwtransport!$H$2:$H$675,Program_data!$F1356,EIAwtransport!$I$2:$I$675,Program_data!Q$2)</f>
        <v>98444</v>
      </c>
      <c r="R1356" s="8">
        <f>SUMIFS(EIAwtransport!$J$2:$J$675,EIAwtransport!$E$2:$E$675,Program_data!$E1356,EIAwtransport!$I$2:$I$675,Program_data!R$2)</f>
        <v>1429680000</v>
      </c>
      <c r="S1356" s="5">
        <f>SUMIFS(EIAwtransport!$J$2:$J$675,EIAwtransport!$E$2:$E$675,Program_data!$E1356,EIAwtransport!$I$2:$I$675,Program_data!S$2)</f>
        <v>158285451.98410821</v>
      </c>
      <c r="T1356" s="5">
        <f>SUMIFS(EIAwtransport!$J$2:$J$675,EIAwtransport!$E$2:$E$675,Program_data!$E1356,EIAwtransport!$I$2:$I$675,Program_data!T$2)</f>
        <v>1074614</v>
      </c>
      <c r="U1356" s="24">
        <f t="shared" si="421"/>
        <v>3.948468458705398E-5</v>
      </c>
      <c r="V1356" s="24">
        <f t="shared" si="424"/>
        <v>4.3871871763393319E-5</v>
      </c>
      <c r="W1356" s="24">
        <f t="shared" si="422"/>
        <v>9.9026638619710577E-5</v>
      </c>
      <c r="X1356" s="25">
        <f t="shared" si="423"/>
        <v>8.6335642083468851E-5</v>
      </c>
      <c r="Y1356" s="8">
        <f t="shared" si="430"/>
        <v>2.3946506608230958E-2</v>
      </c>
      <c r="Z1356" s="27">
        <f t="shared" si="431"/>
        <v>1.7366340150401862E-2</v>
      </c>
      <c r="AA1356" s="27"/>
      <c r="AB1356" s="27"/>
      <c r="AC1356" s="56">
        <f t="shared" si="432"/>
        <v>1.2405378303708321E-3</v>
      </c>
      <c r="AE1356" s="20" t="e">
        <f>#REF!*1.35</f>
        <v>#REF!</v>
      </c>
      <c r="AF1356" s="20">
        <f t="shared" si="433"/>
        <v>1930068000.0000002</v>
      </c>
      <c r="AG1356">
        <f t="shared" si="434"/>
        <v>14933479.167948799</v>
      </c>
      <c r="AH1356">
        <f t="shared" si="435"/>
        <v>0</v>
      </c>
      <c r="AI1356">
        <f t="shared" si="436"/>
        <v>16695949475.283735</v>
      </c>
    </row>
    <row r="1357" spans="2:35" x14ac:dyDescent="0.25">
      <c r="B1357" s="4">
        <v>2024</v>
      </c>
      <c r="C1357" s="4" t="s">
        <v>33</v>
      </c>
      <c r="D1357" s="1" t="s">
        <v>81</v>
      </c>
      <c r="E1357" s="4" t="s">
        <v>696</v>
      </c>
      <c r="F1357" s="11" t="s">
        <v>146</v>
      </c>
      <c r="G1357" s="11"/>
      <c r="H1357" s="11" t="s">
        <v>733</v>
      </c>
      <c r="I1357" s="11"/>
      <c r="J1357" s="11" t="s">
        <v>21</v>
      </c>
      <c r="K1357" s="92">
        <v>24385.993269035076</v>
      </c>
      <c r="L1357" s="92">
        <v>27095.548076705643</v>
      </c>
      <c r="M1357" s="93">
        <v>424729.21410548344</v>
      </c>
      <c r="N1357" s="8">
        <v>0</v>
      </c>
      <c r="O1357" s="8">
        <f>SUMIFS(EIAwtransport!$J$2:$J$675,EIAwtransport!$E$2:$E$675,Program_data!$E1357,EIAwtransport!$H$2:$H$675,Program_data!$F1357,EIAwtransport!$I$2:$I$675,Program_data!O$2)</f>
        <v>555000000</v>
      </c>
      <c r="P1357" s="5">
        <f>SUMIFS(EIAwtransport!$J$2:$J$675,EIAwtransport!$E$2:$E$675,Program_data!$E1357,EIAwtransport!$H$2:$H$675,Program_data!$F1357,EIAwtransport!$I$2:$I$675,Program_data!P$2)</f>
        <v>75825366.219932109</v>
      </c>
      <c r="Q1357" s="5">
        <f>SUMIFS(EIAwtransport!$J$2:$J$675,EIAwtransport!$E$2:$E$675,Program_data!$E1357,EIAwtransport!$H$2:$H$675,Program_data!$F1357,EIAwtransport!$I$2:$I$675,Program_data!Q$2)</f>
        <v>98444</v>
      </c>
      <c r="R1357" s="8">
        <f>SUMIFS(EIAwtransport!$J$2:$J$675,EIAwtransport!$E$2:$E$675,Program_data!$E1357,EIAwtransport!$I$2:$I$675,Program_data!R$2)</f>
        <v>1429680000</v>
      </c>
      <c r="S1357" s="5">
        <f>SUMIFS(EIAwtransport!$J$2:$J$675,EIAwtransport!$E$2:$E$675,Program_data!$E1357,EIAwtransport!$I$2:$I$675,Program_data!S$2)</f>
        <v>158285451.98410821</v>
      </c>
      <c r="T1357" s="5">
        <f>SUMIFS(EIAwtransport!$J$2:$J$675,EIAwtransport!$E$2:$E$675,Program_data!$E1357,EIAwtransport!$I$2:$I$675,Program_data!T$2)</f>
        <v>1074614</v>
      </c>
      <c r="U1357" s="24">
        <f t="shared" si="421"/>
        <v>1.4870983559438499E-5</v>
      </c>
      <c r="V1357" s="24">
        <f t="shared" si="424"/>
        <v>1.6523315066042775E-5</v>
      </c>
      <c r="W1357" s="24">
        <f t="shared" si="422"/>
        <v>2.970799158591317E-4</v>
      </c>
      <c r="X1357" s="25">
        <f t="shared" si="423"/>
        <v>2.590069262504065E-4</v>
      </c>
      <c r="Y1357" s="8">
        <f t="shared" si="430"/>
        <v>7.1839519824692874E-2</v>
      </c>
      <c r="Z1357" s="27">
        <f t="shared" si="431"/>
        <v>5.2099020451205583E-2</v>
      </c>
      <c r="AA1357" s="27"/>
      <c r="AB1357" s="27"/>
      <c r="AC1357" s="56">
        <f t="shared" si="432"/>
        <v>3.7216134911124961E-3</v>
      </c>
      <c r="AE1357" s="20" t="e">
        <f>#REF!*1.35</f>
        <v>#REF!</v>
      </c>
      <c r="AF1357" s="20">
        <f t="shared" si="433"/>
        <v>1930068000.0000002</v>
      </c>
      <c r="AG1357">
        <f t="shared" si="434"/>
        <v>44800437.503846392</v>
      </c>
      <c r="AH1357">
        <f t="shared" si="435"/>
        <v>0</v>
      </c>
      <c r="AI1357">
        <f t="shared" si="436"/>
        <v>16695949475.283735</v>
      </c>
    </row>
    <row r="1358" spans="2:35" x14ac:dyDescent="0.25">
      <c r="B1358" s="4">
        <v>2024</v>
      </c>
      <c r="C1358" s="4" t="s">
        <v>33</v>
      </c>
      <c r="D1358" s="1" t="s">
        <v>81</v>
      </c>
      <c r="E1358" s="4" t="s">
        <v>696</v>
      </c>
      <c r="F1358" s="11" t="s">
        <v>146</v>
      </c>
      <c r="G1358" s="11"/>
      <c r="H1358" s="11" t="s">
        <v>734</v>
      </c>
      <c r="I1358" s="11"/>
      <c r="J1358" s="11" t="s">
        <v>21</v>
      </c>
      <c r="K1358" s="92">
        <v>405.08294466835673</v>
      </c>
      <c r="L1358" s="92">
        <v>450.0921607426186</v>
      </c>
      <c r="M1358" s="93">
        <v>943.84269801218534</v>
      </c>
      <c r="N1358" s="8">
        <v>0</v>
      </c>
      <c r="O1358" s="8">
        <f>SUMIFS(EIAwtransport!$J$2:$J$675,EIAwtransport!$E$2:$E$675,Program_data!$E1358,EIAwtransport!$H$2:$H$675,Program_data!$F1358,EIAwtransport!$I$2:$I$675,Program_data!O$2)</f>
        <v>555000000</v>
      </c>
      <c r="P1358" s="5">
        <f>SUMIFS(EIAwtransport!$J$2:$J$675,EIAwtransport!$E$2:$E$675,Program_data!$E1358,EIAwtransport!$H$2:$H$675,Program_data!$F1358,EIAwtransport!$I$2:$I$675,Program_data!P$2)</f>
        <v>75825366.219932109</v>
      </c>
      <c r="Q1358" s="5">
        <f>SUMIFS(EIAwtransport!$J$2:$J$675,EIAwtransport!$E$2:$E$675,Program_data!$E1358,EIAwtransport!$H$2:$H$675,Program_data!$F1358,EIAwtransport!$I$2:$I$675,Program_data!Q$2)</f>
        <v>98444</v>
      </c>
      <c r="R1358" s="8">
        <f>SUMIFS(EIAwtransport!$J$2:$J$675,EIAwtransport!$E$2:$E$675,Program_data!$E1358,EIAwtransport!$I$2:$I$675,Program_data!R$2)</f>
        <v>1429680000</v>
      </c>
      <c r="S1358" s="5">
        <f>SUMIFS(EIAwtransport!$J$2:$J$675,EIAwtransport!$E$2:$E$675,Program_data!$E1358,EIAwtransport!$I$2:$I$675,Program_data!S$2)</f>
        <v>158285451.98410821</v>
      </c>
      <c r="T1358" s="5">
        <f>SUMIFS(EIAwtransport!$J$2:$J$675,EIAwtransport!$E$2:$E$675,Program_data!$E1358,EIAwtransport!$I$2:$I$675,Program_data!T$2)</f>
        <v>1074614</v>
      </c>
      <c r="U1358" s="24">
        <f t="shared" si="421"/>
        <v>2.4702630497406142E-7</v>
      </c>
      <c r="V1358" s="24">
        <f t="shared" si="424"/>
        <v>2.7447367219340158E-7</v>
      </c>
      <c r="W1358" s="24">
        <f t="shared" si="422"/>
        <v>6.6017759079807039E-7</v>
      </c>
      <c r="X1358" s="25">
        <f t="shared" si="423"/>
        <v>5.7557094722312564E-7</v>
      </c>
      <c r="Y1358" s="8">
        <f t="shared" si="430"/>
        <v>1.5964337738820635E-4</v>
      </c>
      <c r="Z1358" s="27">
        <f t="shared" si="431"/>
        <v>1.1577560100267906E-4</v>
      </c>
      <c r="AA1358" s="27"/>
      <c r="AB1358" s="27"/>
      <c r="AC1358" s="56">
        <f t="shared" si="432"/>
        <v>8.2702522024722127E-6</v>
      </c>
      <c r="AE1358" s="20" t="e">
        <f>#REF!*1.35</f>
        <v>#REF!</v>
      </c>
      <c r="AF1358" s="20">
        <f t="shared" si="433"/>
        <v>1930068000.0000002</v>
      </c>
      <c r="AG1358">
        <f t="shared" si="434"/>
        <v>99556.527786325314</v>
      </c>
      <c r="AH1358">
        <f t="shared" si="435"/>
        <v>0</v>
      </c>
      <c r="AI1358">
        <f t="shared" si="436"/>
        <v>16695949475.283735</v>
      </c>
    </row>
    <row r="1359" spans="2:35" x14ac:dyDescent="0.25">
      <c r="B1359" s="4">
        <v>2024</v>
      </c>
      <c r="C1359" s="4" t="s">
        <v>33</v>
      </c>
      <c r="D1359" s="1" t="s">
        <v>81</v>
      </c>
      <c r="E1359" s="4" t="s">
        <v>696</v>
      </c>
      <c r="F1359" s="11" t="s">
        <v>146</v>
      </c>
      <c r="G1359" s="11"/>
      <c r="H1359" s="11" t="s">
        <v>735</v>
      </c>
      <c r="I1359" s="11"/>
      <c r="J1359" s="11" t="s">
        <v>21</v>
      </c>
      <c r="K1359" s="92">
        <v>10548.359879164011</v>
      </c>
      <c r="L1359" s="92">
        <v>11720.399865737791</v>
      </c>
      <c r="M1359" s="93">
        <v>13213.797772170596</v>
      </c>
      <c r="N1359" s="8">
        <v>0</v>
      </c>
      <c r="O1359" s="8">
        <f>SUMIFS(EIAwtransport!$J$2:$J$675,EIAwtransport!$E$2:$E$675,Program_data!$E1359,EIAwtransport!$H$2:$H$675,Program_data!$F1359,EIAwtransport!$I$2:$I$675,Program_data!O$2)</f>
        <v>555000000</v>
      </c>
      <c r="P1359" s="5">
        <f>SUMIFS(EIAwtransport!$J$2:$J$675,EIAwtransport!$E$2:$E$675,Program_data!$E1359,EIAwtransport!$H$2:$H$675,Program_data!$F1359,EIAwtransport!$I$2:$I$675,Program_data!P$2)</f>
        <v>75825366.219932109</v>
      </c>
      <c r="Q1359" s="5">
        <f>SUMIFS(EIAwtransport!$J$2:$J$675,EIAwtransport!$E$2:$E$675,Program_data!$E1359,EIAwtransport!$H$2:$H$675,Program_data!$F1359,EIAwtransport!$I$2:$I$675,Program_data!Q$2)</f>
        <v>98444</v>
      </c>
      <c r="R1359" s="8">
        <f>SUMIFS(EIAwtransport!$J$2:$J$675,EIAwtransport!$E$2:$E$675,Program_data!$E1359,EIAwtransport!$I$2:$I$675,Program_data!R$2)</f>
        <v>1429680000</v>
      </c>
      <c r="S1359" s="5">
        <f>SUMIFS(EIAwtransport!$J$2:$J$675,EIAwtransport!$E$2:$E$675,Program_data!$E1359,EIAwtransport!$I$2:$I$675,Program_data!S$2)</f>
        <v>158285451.98410821</v>
      </c>
      <c r="T1359" s="5">
        <f>SUMIFS(EIAwtransport!$J$2:$J$675,EIAwtransport!$E$2:$E$675,Program_data!$E1359,EIAwtransport!$I$2:$I$675,Program_data!T$2)</f>
        <v>1074614</v>
      </c>
      <c r="U1359" s="24">
        <f t="shared" si="421"/>
        <v>6.4325649815245607E-6</v>
      </c>
      <c r="V1359" s="24">
        <f t="shared" si="424"/>
        <v>7.1472944239161787E-6</v>
      </c>
      <c r="W1359" s="24">
        <f t="shared" si="422"/>
        <v>9.2424862711729869E-6</v>
      </c>
      <c r="X1359" s="25">
        <f t="shared" si="423"/>
        <v>8.0579932611237581E-6</v>
      </c>
      <c r="Y1359" s="8">
        <f t="shared" si="430"/>
        <v>2.2350072834348891E-3</v>
      </c>
      <c r="Z1359" s="27">
        <f t="shared" si="431"/>
        <v>1.6208584140375069E-3</v>
      </c>
      <c r="AA1359" s="27"/>
      <c r="AB1359" s="27"/>
      <c r="AC1359" s="56">
        <f t="shared" si="432"/>
        <v>1.1578353083461098E-4</v>
      </c>
      <c r="AE1359" s="20" t="e">
        <f>#REF!*1.35</f>
        <v>#REF!</v>
      </c>
      <c r="AF1359" s="20">
        <f t="shared" si="433"/>
        <v>1930068000.0000002</v>
      </c>
      <c r="AG1359">
        <f t="shared" si="434"/>
        <v>1393791.3890085544</v>
      </c>
      <c r="AH1359">
        <f t="shared" si="435"/>
        <v>0</v>
      </c>
      <c r="AI1359">
        <f t="shared" si="436"/>
        <v>16695949475.283735</v>
      </c>
    </row>
    <row r="1360" spans="2:35" x14ac:dyDescent="0.25">
      <c r="B1360" s="4">
        <v>2024</v>
      </c>
      <c r="C1360" s="4" t="s">
        <v>33</v>
      </c>
      <c r="D1360" s="1" t="s">
        <v>81</v>
      </c>
      <c r="E1360" s="4" t="s">
        <v>696</v>
      </c>
      <c r="F1360" s="11" t="s">
        <v>146</v>
      </c>
      <c r="G1360" s="11"/>
      <c r="H1360" s="11" t="s">
        <v>736</v>
      </c>
      <c r="I1360" s="11"/>
      <c r="J1360" s="11" t="s">
        <v>21</v>
      </c>
      <c r="K1360" s="92">
        <v>0</v>
      </c>
      <c r="L1360" s="92">
        <v>0</v>
      </c>
      <c r="M1360" s="93">
        <v>861293.23308270669</v>
      </c>
      <c r="N1360" s="8">
        <v>0</v>
      </c>
      <c r="O1360" s="8">
        <f>SUMIFS(EIAwtransport!$J$2:$J$675,EIAwtransport!$E$2:$E$675,Program_data!$E1360,EIAwtransport!$H$2:$H$675,Program_data!$F1360,EIAwtransport!$I$2:$I$675,Program_data!O$2)</f>
        <v>555000000</v>
      </c>
      <c r="P1360" s="5">
        <f>SUMIFS(EIAwtransport!$J$2:$J$675,EIAwtransport!$E$2:$E$675,Program_data!$E1360,EIAwtransport!$H$2:$H$675,Program_data!$F1360,EIAwtransport!$I$2:$I$675,Program_data!P$2)</f>
        <v>75825366.219932109</v>
      </c>
      <c r="Q1360" s="5">
        <f>SUMIFS(EIAwtransport!$J$2:$J$675,EIAwtransport!$E$2:$E$675,Program_data!$E1360,EIAwtransport!$H$2:$H$675,Program_data!$F1360,EIAwtransport!$I$2:$I$675,Program_data!Q$2)</f>
        <v>98444</v>
      </c>
      <c r="R1360" s="8">
        <f>SUMIFS(EIAwtransport!$J$2:$J$675,EIAwtransport!$E$2:$E$675,Program_data!$E1360,EIAwtransport!$I$2:$I$675,Program_data!R$2)</f>
        <v>1429680000</v>
      </c>
      <c r="S1360" s="5">
        <f>SUMIFS(EIAwtransport!$J$2:$J$675,EIAwtransport!$E$2:$E$675,Program_data!$E1360,EIAwtransport!$I$2:$I$675,Program_data!S$2)</f>
        <v>158285451.98410821</v>
      </c>
      <c r="T1360" s="5">
        <f>SUMIFS(EIAwtransport!$J$2:$J$675,EIAwtransport!$E$2:$E$675,Program_data!$E1360,EIAwtransport!$I$2:$I$675,Program_data!T$2)</f>
        <v>1074614</v>
      </c>
      <c r="U1360" s="24">
        <f t="shared" si="421"/>
        <v>0</v>
      </c>
      <c r="V1360" s="24">
        <f t="shared" si="424"/>
        <v>0</v>
      </c>
      <c r="W1360" s="24">
        <f t="shared" si="422"/>
        <v>6.0243777144725161E-4</v>
      </c>
      <c r="X1360" s="25">
        <f t="shared" si="423"/>
        <v>5.2523091299677737E-4</v>
      </c>
      <c r="Y1360" s="8">
        <f t="shared" si="430"/>
        <v>0.14568080140951173</v>
      </c>
      <c r="Z1360" s="27">
        <f t="shared" si="431"/>
        <v>0.10564974641399782</v>
      </c>
      <c r="AA1360" s="27"/>
      <c r="AB1360" s="27"/>
      <c r="AC1360" s="56">
        <f t="shared" si="432"/>
        <v>7.5469273353267032E-3</v>
      </c>
      <c r="AE1360" s="20" t="e">
        <f>#REF!*1.35</f>
        <v>#REF!</v>
      </c>
      <c r="AF1360" s="20">
        <f t="shared" si="433"/>
        <v>1930068000.0000002</v>
      </c>
      <c r="AG1360">
        <f t="shared" si="434"/>
        <v>90849210.225563899</v>
      </c>
      <c r="AH1360">
        <f t="shared" si="435"/>
        <v>0</v>
      </c>
      <c r="AI1360">
        <f t="shared" si="436"/>
        <v>16695949475.283735</v>
      </c>
    </row>
    <row r="1361" spans="2:35" x14ac:dyDescent="0.25">
      <c r="B1361" s="4">
        <v>2024</v>
      </c>
      <c r="C1361" s="4" t="s">
        <v>33</v>
      </c>
      <c r="D1361" s="1" t="s">
        <v>81</v>
      </c>
      <c r="E1361" s="4" t="s">
        <v>696</v>
      </c>
      <c r="F1361" s="11" t="s">
        <v>146</v>
      </c>
      <c r="G1361" s="11"/>
      <c r="H1361" s="11" t="s">
        <v>737</v>
      </c>
      <c r="I1361" s="11"/>
      <c r="J1361" s="11" t="s">
        <v>21</v>
      </c>
      <c r="K1361" s="92">
        <v>69551.233900379564</v>
      </c>
      <c r="L1361" s="92">
        <v>77279.148778199509</v>
      </c>
      <c r="M1361" s="93">
        <v>574195.48872180446</v>
      </c>
      <c r="N1361" s="8">
        <v>0</v>
      </c>
      <c r="O1361" s="8">
        <f>SUMIFS(EIAwtransport!$J$2:$J$675,EIAwtransport!$E$2:$E$675,Program_data!$E1361,EIAwtransport!$H$2:$H$675,Program_data!$F1361,EIAwtransport!$I$2:$I$675,Program_data!O$2)</f>
        <v>555000000</v>
      </c>
      <c r="P1361" s="5">
        <f>SUMIFS(EIAwtransport!$J$2:$J$675,EIAwtransport!$E$2:$E$675,Program_data!$E1361,EIAwtransport!$H$2:$H$675,Program_data!$F1361,EIAwtransport!$I$2:$I$675,Program_data!P$2)</f>
        <v>75825366.219932109</v>
      </c>
      <c r="Q1361" s="5">
        <f>SUMIFS(EIAwtransport!$J$2:$J$675,EIAwtransport!$E$2:$E$675,Program_data!$E1361,EIAwtransport!$H$2:$H$675,Program_data!$F1361,EIAwtransport!$I$2:$I$675,Program_data!Q$2)</f>
        <v>98444</v>
      </c>
      <c r="R1361" s="8">
        <f>SUMIFS(EIAwtransport!$J$2:$J$675,EIAwtransport!$E$2:$E$675,Program_data!$E1361,EIAwtransport!$I$2:$I$675,Program_data!R$2)</f>
        <v>1429680000</v>
      </c>
      <c r="S1361" s="5">
        <f>SUMIFS(EIAwtransport!$J$2:$J$675,EIAwtransport!$E$2:$E$675,Program_data!$E1361,EIAwtransport!$I$2:$I$675,Program_data!S$2)</f>
        <v>158285451.98410821</v>
      </c>
      <c r="T1361" s="5">
        <f>SUMIFS(EIAwtransport!$J$2:$J$675,EIAwtransport!$E$2:$E$675,Program_data!$E1361,EIAwtransport!$I$2:$I$675,Program_data!T$2)</f>
        <v>1074614</v>
      </c>
      <c r="U1361" s="24">
        <f t="shared" si="421"/>
        <v>4.2413497144056738E-5</v>
      </c>
      <c r="V1361" s="24">
        <f t="shared" si="424"/>
        <v>4.7126107937840817E-5</v>
      </c>
      <c r="W1361" s="24">
        <f t="shared" si="422"/>
        <v>4.0162518096483439E-4</v>
      </c>
      <c r="X1361" s="25">
        <f t="shared" si="423"/>
        <v>3.501539419978516E-4</v>
      </c>
      <c r="Y1361" s="8">
        <f t="shared" si="430"/>
        <v>9.7120534273007819E-2</v>
      </c>
      <c r="Z1361" s="27">
        <f t="shared" si="431"/>
        <v>7.043316427599855E-2</v>
      </c>
      <c r="AA1361" s="27"/>
      <c r="AB1361" s="27"/>
      <c r="AC1361" s="56">
        <f t="shared" si="432"/>
        <v>5.0312848902178018E-3</v>
      </c>
      <c r="AE1361" s="20" t="e">
        <f>#REF!*1.35</f>
        <v>#REF!</v>
      </c>
      <c r="AF1361" s="20">
        <f t="shared" si="433"/>
        <v>1930068000.0000002</v>
      </c>
      <c r="AG1361">
        <f t="shared" si="434"/>
        <v>60566140.15037594</v>
      </c>
      <c r="AH1361">
        <f t="shared" si="435"/>
        <v>0</v>
      </c>
      <c r="AI1361">
        <f t="shared" si="436"/>
        <v>16695949475.283735</v>
      </c>
    </row>
    <row r="1362" spans="2:35" x14ac:dyDescent="0.25">
      <c r="B1362" s="4">
        <v>2024</v>
      </c>
      <c r="C1362" s="4" t="s">
        <v>33</v>
      </c>
      <c r="D1362" s="1" t="s">
        <v>81</v>
      </c>
      <c r="E1362" s="4" t="s">
        <v>696</v>
      </c>
      <c r="F1362" s="11" t="s">
        <v>146</v>
      </c>
      <c r="G1362" s="11"/>
      <c r="H1362" s="11" t="s">
        <v>738</v>
      </c>
      <c r="I1362" s="11"/>
      <c r="J1362" s="11" t="s">
        <v>71</v>
      </c>
      <c r="K1362" s="92">
        <v>92982.933021897814</v>
      </c>
      <c r="L1362" s="92">
        <v>103314.3700243309</v>
      </c>
      <c r="M1362" s="93">
        <v>287097.74436090223</v>
      </c>
      <c r="N1362" s="8">
        <v>0</v>
      </c>
      <c r="O1362" s="8">
        <f>SUMIFS(EIAwtransport!$J$2:$J$675,EIAwtransport!$E$2:$E$675,Program_data!$E1362,EIAwtransport!$H$2:$H$675,Program_data!$F1362,EIAwtransport!$I$2:$I$675,Program_data!O$2)</f>
        <v>555000000</v>
      </c>
      <c r="P1362" s="5">
        <f>SUMIFS(EIAwtransport!$J$2:$J$675,EIAwtransport!$E$2:$E$675,Program_data!$E1362,EIAwtransport!$H$2:$H$675,Program_data!$F1362,EIAwtransport!$I$2:$I$675,Program_data!P$2)</f>
        <v>75825366.219932109</v>
      </c>
      <c r="Q1362" s="5">
        <f>SUMIFS(EIAwtransport!$J$2:$J$675,EIAwtransport!$E$2:$E$675,Program_data!$E1362,EIAwtransport!$H$2:$H$675,Program_data!$F1362,EIAwtransport!$I$2:$I$675,Program_data!Q$2)</f>
        <v>98444</v>
      </c>
      <c r="R1362" s="8">
        <f>SUMIFS(EIAwtransport!$J$2:$J$675,EIAwtransport!$E$2:$E$675,Program_data!$E1362,EIAwtransport!$I$2:$I$675,Program_data!R$2)</f>
        <v>1429680000</v>
      </c>
      <c r="S1362" s="5">
        <f>SUMIFS(EIAwtransport!$J$2:$J$675,EIAwtransport!$E$2:$E$675,Program_data!$E1362,EIAwtransport!$I$2:$I$675,Program_data!S$2)</f>
        <v>158285451.98410821</v>
      </c>
      <c r="T1362" s="5">
        <f>SUMIFS(EIAwtransport!$J$2:$J$675,EIAwtransport!$E$2:$E$675,Program_data!$E1362,EIAwtransport!$I$2:$I$675,Program_data!T$2)</f>
        <v>1074614</v>
      </c>
      <c r="U1362" s="24">
        <f t="shared" si="421"/>
        <v>5.6702536288845906E-5</v>
      </c>
      <c r="V1362" s="24">
        <f t="shared" si="424"/>
        <v>6.300281809871768E-5</v>
      </c>
      <c r="W1362" s="24">
        <f t="shared" si="422"/>
        <v>2.0081259048241719E-4</v>
      </c>
      <c r="X1362" s="25">
        <f t="shared" si="423"/>
        <v>1.750769709989258E-4</v>
      </c>
      <c r="Y1362" s="8">
        <f t="shared" si="430"/>
        <v>4.856026713650391E-2</v>
      </c>
      <c r="Z1362" s="27">
        <f t="shared" si="431"/>
        <v>3.5216582137999275E-2</v>
      </c>
      <c r="AA1362" s="27"/>
      <c r="AB1362" s="27"/>
      <c r="AC1362" s="56">
        <f t="shared" si="432"/>
        <v>2.5156424451089009E-3</v>
      </c>
      <c r="AE1362" s="20" t="e">
        <f>#REF!*1.35</f>
        <v>#REF!</v>
      </c>
      <c r="AF1362" s="20">
        <f t="shared" si="433"/>
        <v>1930068000.0000002</v>
      </c>
      <c r="AG1362">
        <f t="shared" si="434"/>
        <v>30283070.07518797</v>
      </c>
      <c r="AH1362">
        <f t="shared" si="435"/>
        <v>0</v>
      </c>
      <c r="AI1362">
        <f t="shared" si="436"/>
        <v>16695949475.283735</v>
      </c>
    </row>
    <row r="1363" spans="2:35" x14ac:dyDescent="0.25">
      <c r="B1363" s="4">
        <v>2024</v>
      </c>
      <c r="C1363" s="4" t="s">
        <v>33</v>
      </c>
      <c r="D1363" s="1" t="s">
        <v>81</v>
      </c>
      <c r="E1363" s="4" t="s">
        <v>696</v>
      </c>
      <c r="F1363" s="11" t="s">
        <v>146</v>
      </c>
      <c r="G1363" s="11"/>
      <c r="H1363" s="11" t="s">
        <v>739</v>
      </c>
      <c r="I1363" s="11"/>
      <c r="J1363" s="11" t="s">
        <v>21</v>
      </c>
      <c r="K1363" s="92">
        <v>28979.680791824816</v>
      </c>
      <c r="L1363" s="92">
        <v>32199.645324249792</v>
      </c>
      <c r="M1363" s="93">
        <v>538308.27067669167</v>
      </c>
      <c r="N1363" s="8">
        <v>0</v>
      </c>
      <c r="O1363" s="8">
        <f>SUMIFS(EIAwtransport!$J$2:$J$675,EIAwtransport!$E$2:$E$675,Program_data!$E1363,EIAwtransport!$H$2:$H$675,Program_data!$F1363,EIAwtransport!$I$2:$I$675,Program_data!O$2)</f>
        <v>555000000</v>
      </c>
      <c r="P1363" s="5">
        <f>SUMIFS(EIAwtransport!$J$2:$J$675,EIAwtransport!$E$2:$E$675,Program_data!$E1363,EIAwtransport!$H$2:$H$675,Program_data!$F1363,EIAwtransport!$I$2:$I$675,Program_data!P$2)</f>
        <v>75825366.219932109</v>
      </c>
      <c r="Q1363" s="5">
        <f>SUMIFS(EIAwtransport!$J$2:$J$675,EIAwtransport!$E$2:$E$675,Program_data!$E1363,EIAwtransport!$H$2:$H$675,Program_data!$F1363,EIAwtransport!$I$2:$I$675,Program_data!Q$2)</f>
        <v>98444</v>
      </c>
      <c r="R1363" s="8">
        <f>SUMIFS(EIAwtransport!$J$2:$J$675,EIAwtransport!$E$2:$E$675,Program_data!$E1363,EIAwtransport!$I$2:$I$675,Program_data!R$2)</f>
        <v>1429680000</v>
      </c>
      <c r="S1363" s="5">
        <f>SUMIFS(EIAwtransport!$J$2:$J$675,EIAwtransport!$E$2:$E$675,Program_data!$E1363,EIAwtransport!$I$2:$I$675,Program_data!S$2)</f>
        <v>158285451.98410821</v>
      </c>
      <c r="T1363" s="5">
        <f>SUMIFS(EIAwtransport!$J$2:$J$675,EIAwtransport!$E$2:$E$675,Program_data!$E1363,EIAwtransport!$I$2:$I$675,Program_data!T$2)</f>
        <v>1074614</v>
      </c>
      <c r="U1363" s="24">
        <f t="shared" si="421"/>
        <v>1.7672290476690305E-5</v>
      </c>
      <c r="V1363" s="24">
        <f t="shared" si="424"/>
        <v>1.963587830743367E-5</v>
      </c>
      <c r="W1363" s="24">
        <f t="shared" si="422"/>
        <v>3.7652360715453224E-4</v>
      </c>
      <c r="X1363" s="25">
        <f t="shared" si="423"/>
        <v>3.2826932062298585E-4</v>
      </c>
      <c r="Y1363" s="8">
        <f t="shared" si="430"/>
        <v>9.1050500880944837E-2</v>
      </c>
      <c r="Z1363" s="27">
        <f t="shared" si="431"/>
        <v>6.6031091508748641E-2</v>
      </c>
      <c r="AA1363" s="27"/>
      <c r="AB1363" s="27"/>
      <c r="AC1363" s="56">
        <f t="shared" si="432"/>
        <v>4.7168295845791894E-3</v>
      </c>
      <c r="AE1363" s="20" t="e">
        <f>#REF!*1.35</f>
        <v>#REF!</v>
      </c>
      <c r="AF1363" s="20">
        <f t="shared" si="433"/>
        <v>1930068000.0000002</v>
      </c>
      <c r="AG1363">
        <f t="shared" si="434"/>
        <v>56780756.390977442</v>
      </c>
      <c r="AH1363">
        <f t="shared" si="435"/>
        <v>0</v>
      </c>
      <c r="AI1363">
        <f t="shared" si="436"/>
        <v>16695949475.283735</v>
      </c>
    </row>
    <row r="1364" spans="2:35" x14ac:dyDescent="0.25">
      <c r="B1364" s="4">
        <v>2024</v>
      </c>
      <c r="C1364" s="4" t="s">
        <v>33</v>
      </c>
      <c r="D1364" s="1" t="s">
        <v>81</v>
      </c>
      <c r="E1364" s="4" t="s">
        <v>696</v>
      </c>
      <c r="F1364" s="11" t="s">
        <v>146</v>
      </c>
      <c r="G1364" s="11"/>
      <c r="H1364" s="11" t="s">
        <v>740</v>
      </c>
      <c r="I1364" s="11"/>
      <c r="J1364" s="11" t="s">
        <v>68</v>
      </c>
      <c r="K1364" s="92">
        <v>92982.933021897814</v>
      </c>
      <c r="L1364" s="92">
        <v>103314.3700243309</v>
      </c>
      <c r="M1364" s="93">
        <v>125605.26315789473</v>
      </c>
      <c r="N1364" s="8">
        <v>0</v>
      </c>
      <c r="O1364" s="8">
        <f>SUMIFS(EIAwtransport!$J$2:$J$675,EIAwtransport!$E$2:$E$675,Program_data!$E1364,EIAwtransport!$H$2:$H$675,Program_data!$F1364,EIAwtransport!$I$2:$I$675,Program_data!O$2)</f>
        <v>555000000</v>
      </c>
      <c r="P1364" s="5">
        <f>SUMIFS(EIAwtransport!$J$2:$J$675,EIAwtransport!$E$2:$E$675,Program_data!$E1364,EIAwtransport!$H$2:$H$675,Program_data!$F1364,EIAwtransport!$I$2:$I$675,Program_data!P$2)</f>
        <v>75825366.219932109</v>
      </c>
      <c r="Q1364" s="5">
        <f>SUMIFS(EIAwtransport!$J$2:$J$675,EIAwtransport!$E$2:$E$675,Program_data!$E1364,EIAwtransport!$H$2:$H$675,Program_data!$F1364,EIAwtransport!$I$2:$I$675,Program_data!Q$2)</f>
        <v>98444</v>
      </c>
      <c r="R1364" s="8">
        <f>SUMIFS(EIAwtransport!$J$2:$J$675,EIAwtransport!$E$2:$E$675,Program_data!$E1364,EIAwtransport!$I$2:$I$675,Program_data!R$2)</f>
        <v>1429680000</v>
      </c>
      <c r="S1364" s="5">
        <f>SUMIFS(EIAwtransport!$J$2:$J$675,EIAwtransport!$E$2:$E$675,Program_data!$E1364,EIAwtransport!$I$2:$I$675,Program_data!S$2)</f>
        <v>158285451.98410821</v>
      </c>
      <c r="T1364" s="5">
        <f>SUMIFS(EIAwtransport!$J$2:$J$675,EIAwtransport!$E$2:$E$675,Program_data!$E1364,EIAwtransport!$I$2:$I$675,Program_data!T$2)</f>
        <v>1074614</v>
      </c>
      <c r="U1364" s="24">
        <f t="shared" si="421"/>
        <v>5.6702536288845906E-5</v>
      </c>
      <c r="V1364" s="24">
        <f t="shared" si="424"/>
        <v>6.300281809871768E-5</v>
      </c>
      <c r="W1364" s="24">
        <f t="shared" si="422"/>
        <v>8.7855508336057538E-5</v>
      </c>
      <c r="X1364" s="25">
        <f t="shared" si="423"/>
        <v>7.6596174812030042E-5</v>
      </c>
      <c r="Y1364" s="8">
        <f t="shared" si="430"/>
        <v>2.1245116872220464E-2</v>
      </c>
      <c r="Z1364" s="27">
        <f t="shared" si="431"/>
        <v>1.5407254685374683E-2</v>
      </c>
      <c r="AA1364" s="27"/>
      <c r="AB1364" s="27"/>
      <c r="AC1364" s="56">
        <f t="shared" si="432"/>
        <v>1.1005935697351442E-3</v>
      </c>
      <c r="AE1364" s="20" t="e">
        <f>#REF!*1.35</f>
        <v>#REF!</v>
      </c>
      <c r="AF1364" s="20">
        <f t="shared" si="433"/>
        <v>1930068000.0000002</v>
      </c>
      <c r="AG1364">
        <f t="shared" si="434"/>
        <v>13248843.157894736</v>
      </c>
      <c r="AH1364">
        <f t="shared" si="435"/>
        <v>0</v>
      </c>
      <c r="AI1364">
        <f t="shared" si="436"/>
        <v>16695949475.283735</v>
      </c>
    </row>
    <row r="1365" spans="2:35" x14ac:dyDescent="0.25">
      <c r="B1365" s="4">
        <v>2024</v>
      </c>
      <c r="C1365" s="4" t="s">
        <v>33</v>
      </c>
      <c r="D1365" s="1" t="s">
        <v>81</v>
      </c>
      <c r="E1365" s="4" t="s">
        <v>696</v>
      </c>
      <c r="F1365" s="11" t="s">
        <v>146</v>
      </c>
      <c r="G1365" s="11"/>
      <c r="H1365" s="11" t="s">
        <v>741</v>
      </c>
      <c r="I1365" s="11"/>
      <c r="J1365" s="11" t="s">
        <v>32</v>
      </c>
      <c r="K1365" s="92">
        <v>0</v>
      </c>
      <c r="L1365" s="92">
        <v>0</v>
      </c>
      <c r="M1365" s="93">
        <v>0</v>
      </c>
      <c r="N1365" s="8">
        <v>0</v>
      </c>
      <c r="O1365" s="8">
        <f>SUMIFS(EIAwtransport!$J$2:$J$675,EIAwtransport!$E$2:$E$675,Program_data!$E1365,EIAwtransport!$H$2:$H$675,Program_data!$F1365,EIAwtransport!$I$2:$I$675,Program_data!O$2)</f>
        <v>555000000</v>
      </c>
      <c r="P1365" s="5">
        <f>SUMIFS(EIAwtransport!$J$2:$J$675,EIAwtransport!$E$2:$E$675,Program_data!$E1365,EIAwtransport!$H$2:$H$675,Program_data!$F1365,EIAwtransport!$I$2:$I$675,Program_data!P$2)</f>
        <v>75825366.219932109</v>
      </c>
      <c r="Q1365" s="5">
        <f>SUMIFS(EIAwtransport!$J$2:$J$675,EIAwtransport!$E$2:$E$675,Program_data!$E1365,EIAwtransport!$H$2:$H$675,Program_data!$F1365,EIAwtransport!$I$2:$I$675,Program_data!Q$2)</f>
        <v>98444</v>
      </c>
      <c r="R1365" s="8">
        <f>SUMIFS(EIAwtransport!$J$2:$J$675,EIAwtransport!$E$2:$E$675,Program_data!$E1365,EIAwtransport!$I$2:$I$675,Program_data!R$2)</f>
        <v>1429680000</v>
      </c>
      <c r="S1365" s="5">
        <f>SUMIFS(EIAwtransport!$J$2:$J$675,EIAwtransport!$E$2:$E$675,Program_data!$E1365,EIAwtransport!$I$2:$I$675,Program_data!S$2)</f>
        <v>158285451.98410821</v>
      </c>
      <c r="T1365" s="5">
        <f>SUMIFS(EIAwtransport!$J$2:$J$675,EIAwtransport!$E$2:$E$675,Program_data!$E1365,EIAwtransport!$I$2:$I$675,Program_data!T$2)</f>
        <v>1074614</v>
      </c>
      <c r="U1365" s="24">
        <f t="shared" ref="U1365:U1428" si="437">IFERROR(K1365/10.36/S1365,"")</f>
        <v>0</v>
      </c>
      <c r="V1365" s="24">
        <f t="shared" si="424"/>
        <v>0</v>
      </c>
      <c r="W1365" s="24">
        <f t="shared" ref="W1365:W1428" si="438">IFERROR(M1365/R1365,"")</f>
        <v>0</v>
      </c>
      <c r="X1365" s="25">
        <f t="shared" ref="X1365:X1428" si="439">IFERROR(M1365/S1365/10.36,"")</f>
        <v>0</v>
      </c>
      <c r="Y1365" s="8">
        <f t="shared" si="430"/>
        <v>0</v>
      </c>
      <c r="Z1365" s="27">
        <f t="shared" si="431"/>
        <v>0</v>
      </c>
      <c r="AA1365" s="27"/>
      <c r="AB1365" s="27"/>
      <c r="AC1365" s="56">
        <f t="shared" si="432"/>
        <v>0</v>
      </c>
      <c r="AE1365" s="20" t="e">
        <f>#REF!*1.35</f>
        <v>#REF!</v>
      </c>
      <c r="AF1365" s="20">
        <f t="shared" si="433"/>
        <v>1930068000.0000002</v>
      </c>
      <c r="AG1365">
        <f t="shared" si="434"/>
        <v>0</v>
      </c>
      <c r="AH1365">
        <f t="shared" si="435"/>
        <v>0</v>
      </c>
      <c r="AI1365">
        <f t="shared" si="436"/>
        <v>16695949475.283735</v>
      </c>
    </row>
    <row r="1366" spans="2:35" x14ac:dyDescent="0.25">
      <c r="B1366" s="4">
        <v>2024</v>
      </c>
      <c r="C1366" s="4" t="s">
        <v>33</v>
      </c>
      <c r="D1366" s="1" t="s">
        <v>81</v>
      </c>
      <c r="E1366" s="4" t="s">
        <v>696</v>
      </c>
      <c r="F1366" s="11" t="s">
        <v>146</v>
      </c>
      <c r="G1366" s="11"/>
      <c r="H1366" s="11" t="s">
        <v>742</v>
      </c>
      <c r="I1366" s="11"/>
      <c r="J1366" s="11" t="s">
        <v>32</v>
      </c>
      <c r="K1366" s="92">
        <v>0</v>
      </c>
      <c r="L1366" s="92">
        <v>0</v>
      </c>
      <c r="M1366" s="93">
        <v>0</v>
      </c>
      <c r="N1366" s="8">
        <v>0</v>
      </c>
      <c r="O1366" s="8">
        <f>SUMIFS(EIAwtransport!$J$2:$J$675,EIAwtransport!$E$2:$E$675,Program_data!$E1366,EIAwtransport!$H$2:$H$675,Program_data!$F1366,EIAwtransport!$I$2:$I$675,Program_data!O$2)</f>
        <v>555000000</v>
      </c>
      <c r="P1366" s="5">
        <f>SUMIFS(EIAwtransport!$J$2:$J$675,EIAwtransport!$E$2:$E$675,Program_data!$E1366,EIAwtransport!$H$2:$H$675,Program_data!$F1366,EIAwtransport!$I$2:$I$675,Program_data!P$2)</f>
        <v>75825366.219932109</v>
      </c>
      <c r="Q1366" s="5">
        <f>SUMIFS(EIAwtransport!$J$2:$J$675,EIAwtransport!$E$2:$E$675,Program_data!$E1366,EIAwtransport!$H$2:$H$675,Program_data!$F1366,EIAwtransport!$I$2:$I$675,Program_data!Q$2)</f>
        <v>98444</v>
      </c>
      <c r="R1366" s="8">
        <f>SUMIFS(EIAwtransport!$J$2:$J$675,EIAwtransport!$E$2:$E$675,Program_data!$E1366,EIAwtransport!$I$2:$I$675,Program_data!R$2)</f>
        <v>1429680000</v>
      </c>
      <c r="S1366" s="5">
        <f>SUMIFS(EIAwtransport!$J$2:$J$675,EIAwtransport!$E$2:$E$675,Program_data!$E1366,EIAwtransport!$I$2:$I$675,Program_data!S$2)</f>
        <v>158285451.98410821</v>
      </c>
      <c r="T1366" s="5">
        <f>SUMIFS(EIAwtransport!$J$2:$J$675,EIAwtransport!$E$2:$E$675,Program_data!$E1366,EIAwtransport!$I$2:$I$675,Program_data!T$2)</f>
        <v>1074614</v>
      </c>
      <c r="U1366" s="24">
        <f t="shared" si="437"/>
        <v>0</v>
      </c>
      <c r="V1366" s="24">
        <f t="shared" si="424"/>
        <v>0</v>
      </c>
      <c r="W1366" s="24">
        <f t="shared" si="438"/>
        <v>0</v>
      </c>
      <c r="X1366" s="25">
        <f t="shared" si="439"/>
        <v>0</v>
      </c>
      <c r="Y1366" s="8">
        <f t="shared" si="430"/>
        <v>0</v>
      </c>
      <c r="Z1366" s="27">
        <f t="shared" si="431"/>
        <v>0</v>
      </c>
      <c r="AA1366" s="27"/>
      <c r="AB1366" s="27"/>
      <c r="AC1366" s="56">
        <f t="shared" si="432"/>
        <v>0</v>
      </c>
      <c r="AE1366" s="20" t="e">
        <f>#REF!*1.35</f>
        <v>#REF!</v>
      </c>
      <c r="AF1366" s="20">
        <f t="shared" si="433"/>
        <v>1930068000.0000002</v>
      </c>
      <c r="AG1366">
        <f t="shared" si="434"/>
        <v>0</v>
      </c>
      <c r="AH1366">
        <f t="shared" si="435"/>
        <v>0</v>
      </c>
      <c r="AI1366">
        <f t="shared" si="436"/>
        <v>16695949475.283735</v>
      </c>
    </row>
    <row r="1367" spans="2:35" x14ac:dyDescent="0.25">
      <c r="B1367" s="4">
        <v>2024</v>
      </c>
      <c r="C1367" s="4" t="s">
        <v>33</v>
      </c>
      <c r="D1367" s="1" t="s">
        <v>81</v>
      </c>
      <c r="E1367" s="4" t="s">
        <v>696</v>
      </c>
      <c r="F1367" s="11" t="s">
        <v>146</v>
      </c>
      <c r="G1367" s="11"/>
      <c r="H1367" s="11" t="s">
        <v>743</v>
      </c>
      <c r="I1367" s="11"/>
      <c r="J1367" s="11" t="s">
        <v>21</v>
      </c>
      <c r="K1367" s="92">
        <v>43385.159871959273</v>
      </c>
      <c r="L1367" s="92">
        <v>48205.733191065854</v>
      </c>
      <c r="M1367" s="93">
        <v>231325.20325203252</v>
      </c>
      <c r="N1367" s="8">
        <v>0</v>
      </c>
      <c r="O1367" s="8">
        <f>SUMIFS(EIAwtransport!$J$2:$J$675,EIAwtransport!$E$2:$E$675,Program_data!$E1367,EIAwtransport!$H$2:$H$675,Program_data!$F1367,EIAwtransport!$I$2:$I$675,Program_data!O$2)</f>
        <v>555000000</v>
      </c>
      <c r="P1367" s="5">
        <f>SUMIFS(EIAwtransport!$J$2:$J$675,EIAwtransport!$E$2:$E$675,Program_data!$E1367,EIAwtransport!$H$2:$H$675,Program_data!$F1367,EIAwtransport!$I$2:$I$675,Program_data!P$2)</f>
        <v>75825366.219932109</v>
      </c>
      <c r="Q1367" s="5">
        <f>SUMIFS(EIAwtransport!$J$2:$J$675,EIAwtransport!$E$2:$E$675,Program_data!$E1367,EIAwtransport!$H$2:$H$675,Program_data!$F1367,EIAwtransport!$I$2:$I$675,Program_data!Q$2)</f>
        <v>98444</v>
      </c>
      <c r="R1367" s="8">
        <f>SUMIFS(EIAwtransport!$J$2:$J$675,EIAwtransport!$E$2:$E$675,Program_data!$E1367,EIAwtransport!$I$2:$I$675,Program_data!R$2)</f>
        <v>1429680000</v>
      </c>
      <c r="S1367" s="5">
        <f>SUMIFS(EIAwtransport!$J$2:$J$675,EIAwtransport!$E$2:$E$675,Program_data!$E1367,EIAwtransport!$I$2:$I$675,Program_data!S$2)</f>
        <v>158285451.98410821</v>
      </c>
      <c r="T1367" s="5">
        <f>SUMIFS(EIAwtransport!$J$2:$J$675,EIAwtransport!$E$2:$E$675,Program_data!$E1367,EIAwtransport!$I$2:$I$675,Program_data!T$2)</f>
        <v>1074614</v>
      </c>
      <c r="U1367" s="24">
        <f t="shared" si="437"/>
        <v>2.6456990784080788E-5</v>
      </c>
      <c r="V1367" s="24">
        <f t="shared" si="424"/>
        <v>2.9396656426756428E-5</v>
      </c>
      <c r="W1367" s="24">
        <f t="shared" si="438"/>
        <v>1.6180208385934791E-4</v>
      </c>
      <c r="X1367" s="25">
        <f t="shared" si="439"/>
        <v>1.4106594947735186E-4</v>
      </c>
      <c r="Y1367" s="8">
        <f t="shared" si="430"/>
        <v>3.9126791784207873E-2</v>
      </c>
      <c r="Z1367" s="27">
        <f t="shared" si="431"/>
        <v>2.8375294410790886E-2</v>
      </c>
      <c r="AA1367" s="27"/>
      <c r="AB1367" s="27"/>
      <c r="AC1367" s="56">
        <f t="shared" si="432"/>
        <v>2.0269455659419162E-3</v>
      </c>
      <c r="AE1367" s="20" t="e">
        <f>#REF!*1.35</f>
        <v>#REF!</v>
      </c>
      <c r="AF1367" s="20">
        <f t="shared" si="433"/>
        <v>1930068000.0000002</v>
      </c>
      <c r="AG1367">
        <f t="shared" si="434"/>
        <v>24400182.439024393</v>
      </c>
      <c r="AH1367">
        <f t="shared" si="435"/>
        <v>0</v>
      </c>
      <c r="AI1367">
        <f t="shared" si="436"/>
        <v>16695949475.283735</v>
      </c>
    </row>
    <row r="1368" spans="2:35" x14ac:dyDescent="0.25">
      <c r="B1368" s="4">
        <v>2024</v>
      </c>
      <c r="C1368" s="4" t="s">
        <v>33</v>
      </c>
      <c r="D1368" s="1" t="s">
        <v>81</v>
      </c>
      <c r="E1368" s="4" t="s">
        <v>696</v>
      </c>
      <c r="F1368" s="11" t="s">
        <v>146</v>
      </c>
      <c r="G1368" s="11"/>
      <c r="H1368" s="11" t="s">
        <v>744</v>
      </c>
      <c r="I1368" s="11"/>
      <c r="J1368" s="11" t="s">
        <v>21</v>
      </c>
      <c r="K1368" s="92">
        <v>0</v>
      </c>
      <c r="L1368" s="92">
        <v>0</v>
      </c>
      <c r="M1368" s="93">
        <v>42409.620596205961</v>
      </c>
      <c r="N1368" s="8">
        <v>0</v>
      </c>
      <c r="O1368" s="8">
        <f>SUMIFS(EIAwtransport!$J$2:$J$675,EIAwtransport!$E$2:$E$675,Program_data!$E1368,EIAwtransport!$H$2:$H$675,Program_data!$F1368,EIAwtransport!$I$2:$I$675,Program_data!O$2)</f>
        <v>555000000</v>
      </c>
      <c r="P1368" s="5">
        <f>SUMIFS(EIAwtransport!$J$2:$J$675,EIAwtransport!$E$2:$E$675,Program_data!$E1368,EIAwtransport!$H$2:$H$675,Program_data!$F1368,EIAwtransport!$I$2:$I$675,Program_data!P$2)</f>
        <v>75825366.219932109</v>
      </c>
      <c r="Q1368" s="5">
        <f>SUMIFS(EIAwtransport!$J$2:$J$675,EIAwtransport!$E$2:$E$675,Program_data!$E1368,EIAwtransport!$H$2:$H$675,Program_data!$F1368,EIAwtransport!$I$2:$I$675,Program_data!Q$2)</f>
        <v>98444</v>
      </c>
      <c r="R1368" s="8">
        <f>SUMIFS(EIAwtransport!$J$2:$J$675,EIAwtransport!$E$2:$E$675,Program_data!$E1368,EIAwtransport!$I$2:$I$675,Program_data!R$2)</f>
        <v>1429680000</v>
      </c>
      <c r="S1368" s="5">
        <f>SUMIFS(EIAwtransport!$J$2:$J$675,EIAwtransport!$E$2:$E$675,Program_data!$E1368,EIAwtransport!$I$2:$I$675,Program_data!S$2)</f>
        <v>158285451.98410821</v>
      </c>
      <c r="T1368" s="5">
        <f>SUMIFS(EIAwtransport!$J$2:$J$675,EIAwtransport!$E$2:$E$675,Program_data!$E1368,EIAwtransport!$I$2:$I$675,Program_data!T$2)</f>
        <v>1074614</v>
      </c>
      <c r="U1368" s="24">
        <f t="shared" si="437"/>
        <v>0</v>
      </c>
      <c r="V1368" s="24">
        <f t="shared" si="424"/>
        <v>0</v>
      </c>
      <c r="W1368" s="24">
        <f t="shared" si="438"/>
        <v>2.9663715374213782E-5</v>
      </c>
      <c r="X1368" s="25">
        <f t="shared" si="439"/>
        <v>2.5862090737514505E-5</v>
      </c>
      <c r="Y1368" s="8">
        <f t="shared" si="430"/>
        <v>7.1732451604381107E-3</v>
      </c>
      <c r="Z1368" s="27">
        <f t="shared" si="431"/>
        <v>5.2021373086449958E-3</v>
      </c>
      <c r="AA1368" s="27"/>
      <c r="AB1368" s="27"/>
      <c r="AC1368" s="56">
        <f t="shared" si="432"/>
        <v>3.7160668708935131E-4</v>
      </c>
      <c r="AE1368" s="20" t="e">
        <f>#REF!*1.35</f>
        <v>#REF!</v>
      </c>
      <c r="AF1368" s="20">
        <f t="shared" si="433"/>
        <v>1930068000.0000002</v>
      </c>
      <c r="AG1368">
        <f t="shared" si="434"/>
        <v>4473366.7804878047</v>
      </c>
      <c r="AH1368">
        <f t="shared" si="435"/>
        <v>0</v>
      </c>
      <c r="AI1368">
        <f t="shared" si="436"/>
        <v>16695949475.283735</v>
      </c>
    </row>
    <row r="1369" spans="2:35" x14ac:dyDescent="0.25">
      <c r="B1369" s="4">
        <v>2024</v>
      </c>
      <c r="C1369" s="4" t="s">
        <v>33</v>
      </c>
      <c r="D1369" s="1" t="s">
        <v>81</v>
      </c>
      <c r="E1369" s="4" t="s">
        <v>696</v>
      </c>
      <c r="F1369" s="11" t="s">
        <v>146</v>
      </c>
      <c r="G1369" s="11"/>
      <c r="H1369" s="11" t="s">
        <v>745</v>
      </c>
      <c r="I1369" s="11"/>
      <c r="J1369" s="11" t="s">
        <v>21</v>
      </c>
      <c r="K1369" s="92">
        <v>2317.5833264935509</v>
      </c>
      <c r="L1369" s="92">
        <v>2575.0925849928344</v>
      </c>
      <c r="M1369" s="93">
        <v>32385.528455284551</v>
      </c>
      <c r="N1369" s="8">
        <v>0</v>
      </c>
      <c r="O1369" s="8">
        <f>SUMIFS(EIAwtransport!$J$2:$J$675,EIAwtransport!$E$2:$E$675,Program_data!$E1369,EIAwtransport!$H$2:$H$675,Program_data!$F1369,EIAwtransport!$I$2:$I$675,Program_data!O$2)</f>
        <v>555000000</v>
      </c>
      <c r="P1369" s="5">
        <f>SUMIFS(EIAwtransport!$J$2:$J$675,EIAwtransport!$E$2:$E$675,Program_data!$E1369,EIAwtransport!$H$2:$H$675,Program_data!$F1369,EIAwtransport!$I$2:$I$675,Program_data!P$2)</f>
        <v>75825366.219932109</v>
      </c>
      <c r="Q1369" s="5">
        <f>SUMIFS(EIAwtransport!$J$2:$J$675,EIAwtransport!$E$2:$E$675,Program_data!$E1369,EIAwtransport!$H$2:$H$675,Program_data!$F1369,EIAwtransport!$I$2:$I$675,Program_data!Q$2)</f>
        <v>98444</v>
      </c>
      <c r="R1369" s="8">
        <f>SUMIFS(EIAwtransport!$J$2:$J$675,EIAwtransport!$E$2:$E$675,Program_data!$E1369,EIAwtransport!$I$2:$I$675,Program_data!R$2)</f>
        <v>1429680000</v>
      </c>
      <c r="S1369" s="5">
        <f>SUMIFS(EIAwtransport!$J$2:$J$675,EIAwtransport!$E$2:$E$675,Program_data!$E1369,EIAwtransport!$I$2:$I$675,Program_data!S$2)</f>
        <v>158285451.98410821</v>
      </c>
      <c r="T1369" s="5">
        <f>SUMIFS(EIAwtransport!$J$2:$J$675,EIAwtransport!$E$2:$E$675,Program_data!$E1369,EIAwtransport!$I$2:$I$675,Program_data!T$2)</f>
        <v>1074614</v>
      </c>
      <c r="U1369" s="24">
        <f t="shared" si="437"/>
        <v>1.4133007897479056E-6</v>
      </c>
      <c r="V1369" s="24">
        <f t="shared" si="424"/>
        <v>1.5703342108310063E-6</v>
      </c>
      <c r="W1369" s="24">
        <f t="shared" si="438"/>
        <v>2.2652291740308705E-5</v>
      </c>
      <c r="X1369" s="25">
        <f t="shared" si="439"/>
        <v>1.974923292682926E-5</v>
      </c>
      <c r="Y1369" s="8">
        <f t="shared" si="430"/>
        <v>5.4777508497891028E-3</v>
      </c>
      <c r="Z1369" s="27">
        <f t="shared" si="431"/>
        <v>3.9725412175107243E-3</v>
      </c>
      <c r="AA1369" s="27"/>
      <c r="AB1369" s="27"/>
      <c r="AC1369" s="56">
        <f t="shared" si="432"/>
        <v>2.837723792318683E-4</v>
      </c>
      <c r="AE1369" s="20" t="e">
        <f>#REF!*1.35</f>
        <v>#REF!</v>
      </c>
      <c r="AF1369" s="20">
        <f t="shared" si="433"/>
        <v>1930068000.0000002</v>
      </c>
      <c r="AG1369">
        <f t="shared" si="434"/>
        <v>3416025.5414634147</v>
      </c>
      <c r="AH1369">
        <f t="shared" si="435"/>
        <v>0</v>
      </c>
      <c r="AI1369">
        <f t="shared" si="436"/>
        <v>16695949475.283735</v>
      </c>
    </row>
    <row r="1370" spans="2:35" x14ac:dyDescent="0.25">
      <c r="B1370" s="4">
        <v>2024</v>
      </c>
      <c r="C1370" s="4" t="s">
        <v>33</v>
      </c>
      <c r="D1370" s="1" t="s">
        <v>81</v>
      </c>
      <c r="E1370" s="4" t="s">
        <v>696</v>
      </c>
      <c r="F1370" s="11" t="s">
        <v>146</v>
      </c>
      <c r="G1370" s="11"/>
      <c r="H1370" s="11" t="s">
        <v>746</v>
      </c>
      <c r="I1370" s="11"/>
      <c r="J1370" s="11" t="s">
        <v>21</v>
      </c>
      <c r="K1370" s="92">
        <v>4635.1666529871018</v>
      </c>
      <c r="L1370" s="92">
        <v>5150.1851699856688</v>
      </c>
      <c r="M1370" s="93">
        <v>17734.932249322494</v>
      </c>
      <c r="N1370" s="8">
        <v>0</v>
      </c>
      <c r="O1370" s="8">
        <f>SUMIFS(EIAwtransport!$J$2:$J$675,EIAwtransport!$E$2:$E$675,Program_data!$E1370,EIAwtransport!$H$2:$H$675,Program_data!$F1370,EIAwtransport!$I$2:$I$675,Program_data!O$2)</f>
        <v>555000000</v>
      </c>
      <c r="P1370" s="5">
        <f>SUMIFS(EIAwtransport!$J$2:$J$675,EIAwtransport!$E$2:$E$675,Program_data!$E1370,EIAwtransport!$H$2:$H$675,Program_data!$F1370,EIAwtransport!$I$2:$I$675,Program_data!P$2)</f>
        <v>75825366.219932109</v>
      </c>
      <c r="Q1370" s="5">
        <f>SUMIFS(EIAwtransport!$J$2:$J$675,EIAwtransport!$E$2:$E$675,Program_data!$E1370,EIAwtransport!$H$2:$H$675,Program_data!$F1370,EIAwtransport!$I$2:$I$675,Program_data!Q$2)</f>
        <v>98444</v>
      </c>
      <c r="R1370" s="8">
        <f>SUMIFS(EIAwtransport!$J$2:$J$675,EIAwtransport!$E$2:$E$675,Program_data!$E1370,EIAwtransport!$I$2:$I$675,Program_data!R$2)</f>
        <v>1429680000</v>
      </c>
      <c r="S1370" s="5">
        <f>SUMIFS(EIAwtransport!$J$2:$J$675,EIAwtransport!$E$2:$E$675,Program_data!$E1370,EIAwtransport!$I$2:$I$675,Program_data!S$2)</f>
        <v>158285451.98410821</v>
      </c>
      <c r="T1370" s="5">
        <f>SUMIFS(EIAwtransport!$J$2:$J$675,EIAwtransport!$E$2:$E$675,Program_data!$E1370,EIAwtransport!$I$2:$I$675,Program_data!T$2)</f>
        <v>1074614</v>
      </c>
      <c r="U1370" s="24">
        <f t="shared" si="437"/>
        <v>2.8266015794958112E-6</v>
      </c>
      <c r="V1370" s="24">
        <f t="shared" si="424"/>
        <v>3.1406684216620125E-6</v>
      </c>
      <c r="W1370" s="24">
        <f t="shared" si="438"/>
        <v>1.2404826429216673E-5</v>
      </c>
      <c r="X1370" s="25">
        <f t="shared" si="439"/>
        <v>1.0815056126596977E-5</v>
      </c>
      <c r="Y1370" s="8">
        <f t="shared" si="430"/>
        <v>2.9997207034559372E-3</v>
      </c>
      <c r="Z1370" s="27">
        <f t="shared" si="431"/>
        <v>2.1754392381606348E-3</v>
      </c>
      <c r="AA1370" s="27"/>
      <c r="AB1370" s="27"/>
      <c r="AC1370" s="56">
        <f t="shared" si="432"/>
        <v>1.5539916005554694E-4</v>
      </c>
      <c r="AE1370" s="20" t="e">
        <f>#REF!*1.35</f>
        <v>#REF!</v>
      </c>
      <c r="AF1370" s="20">
        <f t="shared" si="433"/>
        <v>1930068000.0000002</v>
      </c>
      <c r="AG1370">
        <f t="shared" si="434"/>
        <v>1870680.6536585367</v>
      </c>
      <c r="AH1370">
        <f t="shared" si="435"/>
        <v>0</v>
      </c>
      <c r="AI1370">
        <f t="shared" si="436"/>
        <v>16695949475.283735</v>
      </c>
    </row>
    <row r="1371" spans="2:35" x14ac:dyDescent="0.25">
      <c r="B1371" s="4">
        <v>2024</v>
      </c>
      <c r="C1371" s="4" t="s">
        <v>33</v>
      </c>
      <c r="D1371" s="1" t="s">
        <v>81</v>
      </c>
      <c r="E1371" s="4" t="s">
        <v>696</v>
      </c>
      <c r="F1371" s="11" t="s">
        <v>146</v>
      </c>
      <c r="G1371" s="11"/>
      <c r="H1371" s="11" t="s">
        <v>747</v>
      </c>
      <c r="I1371" s="11"/>
      <c r="J1371" s="11" t="s">
        <v>21</v>
      </c>
      <c r="K1371" s="92">
        <v>2781.0999917922609</v>
      </c>
      <c r="L1371" s="92">
        <v>3090.1111019914006</v>
      </c>
      <c r="M1371" s="93">
        <v>161927.64227642276</v>
      </c>
      <c r="N1371" s="8">
        <v>0</v>
      </c>
      <c r="O1371" s="8">
        <f>SUMIFS(EIAwtransport!$J$2:$J$675,EIAwtransport!$E$2:$E$675,Program_data!$E1371,EIAwtransport!$H$2:$H$675,Program_data!$F1371,EIAwtransport!$I$2:$I$675,Program_data!O$2)</f>
        <v>555000000</v>
      </c>
      <c r="P1371" s="5">
        <f>SUMIFS(EIAwtransport!$J$2:$J$675,EIAwtransport!$E$2:$E$675,Program_data!$E1371,EIAwtransport!$H$2:$H$675,Program_data!$F1371,EIAwtransport!$I$2:$I$675,Program_data!P$2)</f>
        <v>75825366.219932109</v>
      </c>
      <c r="Q1371" s="5">
        <f>SUMIFS(EIAwtransport!$J$2:$J$675,EIAwtransport!$E$2:$E$675,Program_data!$E1371,EIAwtransport!$H$2:$H$675,Program_data!$F1371,EIAwtransport!$I$2:$I$675,Program_data!Q$2)</f>
        <v>98444</v>
      </c>
      <c r="R1371" s="8">
        <f>SUMIFS(EIAwtransport!$J$2:$J$675,EIAwtransport!$E$2:$E$675,Program_data!$E1371,EIAwtransport!$I$2:$I$675,Program_data!R$2)</f>
        <v>1429680000</v>
      </c>
      <c r="S1371" s="5">
        <f>SUMIFS(EIAwtransport!$J$2:$J$675,EIAwtransport!$E$2:$E$675,Program_data!$E1371,EIAwtransport!$I$2:$I$675,Program_data!S$2)</f>
        <v>158285451.98410821</v>
      </c>
      <c r="T1371" s="5">
        <f>SUMIFS(EIAwtransport!$J$2:$J$675,EIAwtransport!$E$2:$E$675,Program_data!$E1371,EIAwtransport!$I$2:$I$675,Program_data!T$2)</f>
        <v>1074614</v>
      </c>
      <c r="U1371" s="24">
        <f t="shared" si="437"/>
        <v>1.6959609476974866E-6</v>
      </c>
      <c r="V1371" s="24">
        <f t="shared" si="424"/>
        <v>1.8844010529972069E-6</v>
      </c>
      <c r="W1371" s="24">
        <f t="shared" si="438"/>
        <v>1.1326145870154353E-4</v>
      </c>
      <c r="X1371" s="25">
        <f t="shared" si="439"/>
        <v>9.8746164634146288E-5</v>
      </c>
      <c r="Y1371" s="8">
        <f t="shared" si="430"/>
        <v>2.7388754248945515E-2</v>
      </c>
      <c r="Z1371" s="27">
        <f t="shared" si="431"/>
        <v>1.9862706087553621E-2</v>
      </c>
      <c r="AA1371" s="27"/>
      <c r="AB1371" s="27"/>
      <c r="AC1371" s="56">
        <f t="shared" si="432"/>
        <v>1.4188618961593414E-3</v>
      </c>
      <c r="AE1371" s="20" t="e">
        <f>#REF!*1.35</f>
        <v>#REF!</v>
      </c>
      <c r="AF1371" s="20">
        <f t="shared" si="433"/>
        <v>1930068000.0000002</v>
      </c>
      <c r="AG1371">
        <f t="shared" si="434"/>
        <v>17080127.707317073</v>
      </c>
      <c r="AH1371">
        <f t="shared" si="435"/>
        <v>0</v>
      </c>
      <c r="AI1371">
        <f t="shared" si="436"/>
        <v>16695949475.283735</v>
      </c>
    </row>
    <row r="1372" spans="2:35" x14ac:dyDescent="0.25">
      <c r="B1372" s="4">
        <v>2024</v>
      </c>
      <c r="C1372" s="4" t="s">
        <v>33</v>
      </c>
      <c r="D1372" s="1" t="s">
        <v>81</v>
      </c>
      <c r="E1372" s="4" t="s">
        <v>696</v>
      </c>
      <c r="F1372" s="11" t="s">
        <v>146</v>
      </c>
      <c r="G1372" s="11"/>
      <c r="H1372" s="11" t="s">
        <v>748</v>
      </c>
      <c r="I1372" s="11"/>
      <c r="J1372" s="11" t="s">
        <v>21</v>
      </c>
      <c r="K1372" s="92">
        <v>83432.999753767828</v>
      </c>
      <c r="L1372" s="92">
        <v>92703.333059742014</v>
      </c>
      <c r="M1372" s="93">
        <v>83277.073170731703</v>
      </c>
      <c r="N1372" s="8">
        <v>0</v>
      </c>
      <c r="O1372" s="8">
        <f>SUMIFS(EIAwtransport!$J$2:$J$675,EIAwtransport!$E$2:$E$675,Program_data!$E1372,EIAwtransport!$H$2:$H$675,Program_data!$F1372,EIAwtransport!$I$2:$I$675,Program_data!O$2)</f>
        <v>555000000</v>
      </c>
      <c r="P1372" s="5">
        <f>SUMIFS(EIAwtransport!$J$2:$J$675,EIAwtransport!$E$2:$E$675,Program_data!$E1372,EIAwtransport!$H$2:$H$675,Program_data!$F1372,EIAwtransport!$I$2:$I$675,Program_data!P$2)</f>
        <v>75825366.219932109</v>
      </c>
      <c r="Q1372" s="5">
        <f>SUMIFS(EIAwtransport!$J$2:$J$675,EIAwtransport!$E$2:$E$675,Program_data!$E1372,EIAwtransport!$H$2:$H$675,Program_data!$F1372,EIAwtransport!$I$2:$I$675,Program_data!Q$2)</f>
        <v>98444</v>
      </c>
      <c r="R1372" s="8">
        <f>SUMIFS(EIAwtransport!$J$2:$J$675,EIAwtransport!$E$2:$E$675,Program_data!$E1372,EIAwtransport!$I$2:$I$675,Program_data!R$2)</f>
        <v>1429680000</v>
      </c>
      <c r="S1372" s="5">
        <f>SUMIFS(EIAwtransport!$J$2:$J$675,EIAwtransport!$E$2:$E$675,Program_data!$E1372,EIAwtransport!$I$2:$I$675,Program_data!S$2)</f>
        <v>158285451.98410821</v>
      </c>
      <c r="T1372" s="5">
        <f>SUMIFS(EIAwtransport!$J$2:$J$675,EIAwtransport!$E$2:$E$675,Program_data!$E1372,EIAwtransport!$I$2:$I$675,Program_data!T$2)</f>
        <v>1074614</v>
      </c>
      <c r="U1372" s="24">
        <f t="shared" si="437"/>
        <v>5.0878828430924591E-5</v>
      </c>
      <c r="V1372" s="24">
        <f t="shared" si="424"/>
        <v>5.653203158991621E-5</v>
      </c>
      <c r="W1372" s="24">
        <f t="shared" si="438"/>
        <v>5.8248750189365247E-5</v>
      </c>
      <c r="X1372" s="25">
        <f t="shared" si="439"/>
        <v>5.0783741811846662E-5</v>
      </c>
      <c r="Y1372" s="8">
        <f t="shared" si="430"/>
        <v>1.4085645042314835E-2</v>
      </c>
      <c r="Z1372" s="27">
        <f t="shared" si="431"/>
        <v>1.0215105987884719E-2</v>
      </c>
      <c r="AA1372" s="27"/>
      <c r="AB1372" s="27"/>
      <c r="AC1372" s="56">
        <f t="shared" si="432"/>
        <v>7.2970040373908981E-4</v>
      </c>
      <c r="AE1372" s="20" t="e">
        <f>#REF!*1.35</f>
        <v>#REF!</v>
      </c>
      <c r="AF1372" s="20">
        <f t="shared" si="433"/>
        <v>1930068000.0000002</v>
      </c>
      <c r="AG1372">
        <f t="shared" si="434"/>
        <v>8784065.6780487802</v>
      </c>
      <c r="AH1372">
        <f t="shared" si="435"/>
        <v>0</v>
      </c>
      <c r="AI1372">
        <f t="shared" si="436"/>
        <v>16695949475.283735</v>
      </c>
    </row>
    <row r="1373" spans="2:35" x14ac:dyDescent="0.25">
      <c r="B1373" s="4">
        <v>2024</v>
      </c>
      <c r="C1373" s="4" t="s">
        <v>33</v>
      </c>
      <c r="D1373" s="1" t="s">
        <v>81</v>
      </c>
      <c r="E1373" s="4" t="s">
        <v>696</v>
      </c>
      <c r="F1373" s="11" t="s">
        <v>146</v>
      </c>
      <c r="G1373" s="11"/>
      <c r="H1373" s="11" t="s">
        <v>749</v>
      </c>
      <c r="I1373" s="11"/>
      <c r="J1373" s="11" t="s">
        <v>55</v>
      </c>
      <c r="K1373" s="92">
        <v>20403.193769823094</v>
      </c>
      <c r="L1373" s="92">
        <v>22670.21529980344</v>
      </c>
      <c r="M1373" s="93">
        <v>346349.35328238539</v>
      </c>
      <c r="N1373" s="8">
        <v>0</v>
      </c>
      <c r="O1373" s="8">
        <f>SUMIFS(EIAwtransport!$J$2:$J$675,EIAwtransport!$E$2:$E$675,Program_data!$E1373,EIAwtransport!$H$2:$H$675,Program_data!$F1373,EIAwtransport!$I$2:$I$675,Program_data!O$2)</f>
        <v>555000000</v>
      </c>
      <c r="P1373" s="5">
        <f>SUMIFS(EIAwtransport!$J$2:$J$675,EIAwtransport!$E$2:$E$675,Program_data!$E1373,EIAwtransport!$H$2:$H$675,Program_data!$F1373,EIAwtransport!$I$2:$I$675,Program_data!P$2)</f>
        <v>75825366.219932109</v>
      </c>
      <c r="Q1373" s="5">
        <f>SUMIFS(EIAwtransport!$J$2:$J$675,EIAwtransport!$E$2:$E$675,Program_data!$E1373,EIAwtransport!$H$2:$H$675,Program_data!$F1373,EIAwtransport!$I$2:$I$675,Program_data!Q$2)</f>
        <v>98444</v>
      </c>
      <c r="R1373" s="8">
        <f>SUMIFS(EIAwtransport!$J$2:$J$675,EIAwtransport!$E$2:$E$675,Program_data!$E1373,EIAwtransport!$I$2:$I$675,Program_data!R$2)</f>
        <v>1429680000</v>
      </c>
      <c r="S1373" s="5">
        <f>SUMIFS(EIAwtransport!$J$2:$J$675,EIAwtransport!$E$2:$E$675,Program_data!$E1373,EIAwtransport!$I$2:$I$675,Program_data!S$2)</f>
        <v>158285451.98410821</v>
      </c>
      <c r="T1373" s="5">
        <f>SUMIFS(EIAwtransport!$J$2:$J$675,EIAwtransport!$E$2:$E$675,Program_data!$E1373,EIAwtransport!$I$2:$I$675,Program_data!T$2)</f>
        <v>1074614</v>
      </c>
      <c r="U1373" s="24">
        <f t="shared" si="437"/>
        <v>1.2442206301120783E-5</v>
      </c>
      <c r="V1373" s="24">
        <f t="shared" si="424"/>
        <v>1.3824673667911984E-5</v>
      </c>
      <c r="W1373" s="24">
        <f t="shared" si="438"/>
        <v>2.4225655621005077E-4</v>
      </c>
      <c r="X1373" s="25">
        <f t="shared" si="439"/>
        <v>2.1120958583321675E-4</v>
      </c>
      <c r="Y1373" s="8">
        <f t="shared" si="430"/>
        <v>5.8582198739971836E-2</v>
      </c>
      <c r="Z1373" s="27">
        <f t="shared" si="431"/>
        <v>4.2484626535342115E-2</v>
      </c>
      <c r="AA1373" s="27"/>
      <c r="AB1373" s="27"/>
      <c r="AC1373" s="56">
        <f t="shared" si="432"/>
        <v>3.0348240314208522E-3</v>
      </c>
      <c r="AE1373" s="20" t="e">
        <f>#REF!*1.35</f>
        <v>#REF!</v>
      </c>
      <c r="AF1373" s="20">
        <f t="shared" si="433"/>
        <v>1930068000.0000002</v>
      </c>
      <c r="AG1373">
        <f t="shared" si="434"/>
        <v>36532929.784226015</v>
      </c>
      <c r="AH1373">
        <f t="shared" si="435"/>
        <v>0</v>
      </c>
      <c r="AI1373">
        <f t="shared" si="436"/>
        <v>16695949475.283735</v>
      </c>
    </row>
    <row r="1374" spans="2:35" x14ac:dyDescent="0.25">
      <c r="B1374" s="4">
        <v>2024</v>
      </c>
      <c r="C1374" s="4" t="s">
        <v>33</v>
      </c>
      <c r="D1374" s="1" t="s">
        <v>81</v>
      </c>
      <c r="E1374" s="4" t="s">
        <v>696</v>
      </c>
      <c r="F1374" s="11" t="s">
        <v>146</v>
      </c>
      <c r="G1374" s="11"/>
      <c r="H1374" s="11" t="s">
        <v>750</v>
      </c>
      <c r="I1374" s="11"/>
      <c r="J1374" s="11" t="s">
        <v>21</v>
      </c>
      <c r="K1374" s="92">
        <v>10216.511500240365</v>
      </c>
      <c r="L1374" s="92">
        <v>11351.679444711517</v>
      </c>
      <c r="M1374" s="93">
        <v>19972.5812994917</v>
      </c>
      <c r="N1374" s="8">
        <v>0</v>
      </c>
      <c r="O1374" s="8">
        <f>SUMIFS(EIAwtransport!$J$2:$J$675,EIAwtransport!$E$2:$E$675,Program_data!$E1374,EIAwtransport!$H$2:$H$675,Program_data!$F1374,EIAwtransport!$I$2:$I$675,Program_data!O$2)</f>
        <v>555000000</v>
      </c>
      <c r="P1374" s="5">
        <f>SUMIFS(EIAwtransport!$J$2:$J$675,EIAwtransport!$E$2:$E$675,Program_data!$E1374,EIAwtransport!$H$2:$H$675,Program_data!$F1374,EIAwtransport!$I$2:$I$675,Program_data!P$2)</f>
        <v>75825366.219932109</v>
      </c>
      <c r="Q1374" s="5">
        <f>SUMIFS(EIAwtransport!$J$2:$J$675,EIAwtransport!$E$2:$E$675,Program_data!$E1374,EIAwtransport!$H$2:$H$675,Program_data!$F1374,EIAwtransport!$I$2:$I$675,Program_data!Q$2)</f>
        <v>98444</v>
      </c>
      <c r="R1374" s="8">
        <f>SUMIFS(EIAwtransport!$J$2:$J$675,EIAwtransport!$E$2:$E$675,Program_data!$E1374,EIAwtransport!$I$2:$I$675,Program_data!R$2)</f>
        <v>1429680000</v>
      </c>
      <c r="S1374" s="5">
        <f>SUMIFS(EIAwtransport!$J$2:$J$675,EIAwtransport!$E$2:$E$675,Program_data!$E1374,EIAwtransport!$I$2:$I$675,Program_data!S$2)</f>
        <v>158285451.98410821</v>
      </c>
      <c r="T1374" s="5">
        <f>SUMIFS(EIAwtransport!$J$2:$J$675,EIAwtransport!$E$2:$E$675,Program_data!$E1374,EIAwtransport!$I$2:$I$675,Program_data!T$2)</f>
        <v>1074614</v>
      </c>
      <c r="U1374" s="24">
        <f t="shared" si="437"/>
        <v>6.2301983306050701E-6</v>
      </c>
      <c r="V1374" s="24">
        <f t="shared" si="424"/>
        <v>6.92244258956119E-6</v>
      </c>
      <c r="W1374" s="24">
        <f t="shared" si="438"/>
        <v>1.3969966215860682E-5</v>
      </c>
      <c r="X1374" s="25">
        <f t="shared" si="439"/>
        <v>1.2179611667548132E-5</v>
      </c>
      <c r="Y1374" s="8">
        <f t="shared" si="430"/>
        <v>3.3782009868028053E-3</v>
      </c>
      <c r="Z1374" s="27">
        <f t="shared" si="431"/>
        <v>2.4499184116097989E-3</v>
      </c>
      <c r="AA1374" s="27"/>
      <c r="AB1374" s="27"/>
      <c r="AC1374" s="56">
        <f t="shared" si="432"/>
        <v>1.7500615815437928E-4</v>
      </c>
      <c r="AE1374" s="20" t="e">
        <f>#REF!*1.35</f>
        <v>#REF!</v>
      </c>
      <c r="AF1374" s="20">
        <f t="shared" si="433"/>
        <v>1930068000.0000002</v>
      </c>
      <c r="AG1374">
        <f t="shared" si="434"/>
        <v>2106707.8754703845</v>
      </c>
      <c r="AH1374">
        <f t="shared" si="435"/>
        <v>0</v>
      </c>
      <c r="AI1374">
        <f t="shared" si="436"/>
        <v>16695949475.283735</v>
      </c>
    </row>
    <row r="1375" spans="2:35" x14ac:dyDescent="0.25">
      <c r="B1375" s="4">
        <v>2024</v>
      </c>
      <c r="C1375" s="4" t="s">
        <v>33</v>
      </c>
      <c r="D1375" s="1" t="s">
        <v>81</v>
      </c>
      <c r="E1375" s="4" t="s">
        <v>696</v>
      </c>
      <c r="F1375" s="11" t="s">
        <v>146</v>
      </c>
      <c r="G1375" s="11"/>
      <c r="H1375" s="11" t="s">
        <v>751</v>
      </c>
      <c r="I1375" s="11"/>
      <c r="J1375" s="11" t="s">
        <v>21</v>
      </c>
      <c r="K1375" s="92">
        <v>700.98692045444841</v>
      </c>
      <c r="L1375" s="92">
        <v>778.87435606049826</v>
      </c>
      <c r="M1375" s="93">
        <v>10786.112181325492</v>
      </c>
      <c r="N1375" s="8">
        <v>0</v>
      </c>
      <c r="O1375" s="8">
        <f>SUMIFS(EIAwtransport!$J$2:$J$675,EIAwtransport!$E$2:$E$675,Program_data!$E1375,EIAwtransport!$H$2:$H$675,Program_data!$F1375,EIAwtransport!$I$2:$I$675,Program_data!O$2)</f>
        <v>555000000</v>
      </c>
      <c r="P1375" s="5">
        <f>SUMIFS(EIAwtransport!$J$2:$J$675,EIAwtransport!$E$2:$E$675,Program_data!$E1375,EIAwtransport!$H$2:$H$675,Program_data!$F1375,EIAwtransport!$I$2:$I$675,Program_data!P$2)</f>
        <v>75825366.219932109</v>
      </c>
      <c r="Q1375" s="5">
        <f>SUMIFS(EIAwtransport!$J$2:$J$675,EIAwtransport!$E$2:$E$675,Program_data!$E1375,EIAwtransport!$H$2:$H$675,Program_data!$F1375,EIAwtransport!$I$2:$I$675,Program_data!Q$2)</f>
        <v>98444</v>
      </c>
      <c r="R1375" s="8">
        <f>SUMIFS(EIAwtransport!$J$2:$J$675,EIAwtransport!$E$2:$E$675,Program_data!$E1375,EIAwtransport!$I$2:$I$675,Program_data!R$2)</f>
        <v>1429680000</v>
      </c>
      <c r="S1375" s="5">
        <f>SUMIFS(EIAwtransport!$J$2:$J$675,EIAwtransport!$E$2:$E$675,Program_data!$E1375,EIAwtransport!$I$2:$I$675,Program_data!S$2)</f>
        <v>158285451.98410821</v>
      </c>
      <c r="T1375" s="5">
        <f>SUMIFS(EIAwtransport!$J$2:$J$675,EIAwtransport!$E$2:$E$675,Program_data!$E1375,EIAwtransport!$I$2:$I$675,Program_data!T$2)</f>
        <v>1074614</v>
      </c>
      <c r="U1375" s="24">
        <f t="shared" si="437"/>
        <v>4.2747346209990999E-7</v>
      </c>
      <c r="V1375" s="24">
        <f t="shared" si="424"/>
        <v>4.7497051344434436E-7</v>
      </c>
      <c r="W1375" s="24">
        <f t="shared" si="438"/>
        <v>7.5444240538620475E-6</v>
      </c>
      <c r="X1375" s="25">
        <f t="shared" si="439"/>
        <v>6.5775502826216258E-6</v>
      </c>
      <c r="Y1375" s="8">
        <f t="shared" si="430"/>
        <v>1.8243838524591145E-3</v>
      </c>
      <c r="Z1375" s="27">
        <f t="shared" si="431"/>
        <v>1.3230685821962618E-3</v>
      </c>
      <c r="AA1375" s="27"/>
      <c r="AB1375" s="27"/>
      <c r="AC1375" s="56">
        <f t="shared" si="432"/>
        <v>9.4511371663509827E-5</v>
      </c>
      <c r="AE1375" s="20" t="e">
        <f>#REF!*1.35</f>
        <v>#REF!</v>
      </c>
      <c r="AF1375" s="20">
        <f t="shared" si="433"/>
        <v>1930068000.0000002</v>
      </c>
      <c r="AG1375">
        <f t="shared" si="434"/>
        <v>1137719.112886213</v>
      </c>
      <c r="AH1375">
        <f t="shared" si="435"/>
        <v>0</v>
      </c>
      <c r="AI1375">
        <f t="shared" si="436"/>
        <v>16695949475.283735</v>
      </c>
    </row>
    <row r="1376" spans="2:35" x14ac:dyDescent="0.25">
      <c r="B1376" s="4">
        <v>2024</v>
      </c>
      <c r="C1376" s="4" t="s">
        <v>33</v>
      </c>
      <c r="D1376" s="1" t="s">
        <v>81</v>
      </c>
      <c r="E1376" s="4" t="s">
        <v>696</v>
      </c>
      <c r="F1376" s="11" t="s">
        <v>146</v>
      </c>
      <c r="G1376" s="11"/>
      <c r="H1376" s="11" t="s">
        <v>752</v>
      </c>
      <c r="I1376" s="11"/>
      <c r="J1376" s="11" t="s">
        <v>21</v>
      </c>
      <c r="K1376" s="92">
        <v>0</v>
      </c>
      <c r="L1376" s="92">
        <v>0</v>
      </c>
      <c r="M1376" s="93">
        <v>10528.993893332037</v>
      </c>
      <c r="N1376" s="8">
        <v>0</v>
      </c>
      <c r="O1376" s="8">
        <f>SUMIFS(EIAwtransport!$J$2:$J$675,EIAwtransport!$E$2:$E$675,Program_data!$E1376,EIAwtransport!$H$2:$H$675,Program_data!$F1376,EIAwtransport!$I$2:$I$675,Program_data!O$2)</f>
        <v>555000000</v>
      </c>
      <c r="P1376" s="5">
        <f>SUMIFS(EIAwtransport!$J$2:$J$675,EIAwtransport!$E$2:$E$675,Program_data!$E1376,EIAwtransport!$H$2:$H$675,Program_data!$F1376,EIAwtransport!$I$2:$I$675,Program_data!P$2)</f>
        <v>75825366.219932109</v>
      </c>
      <c r="Q1376" s="5">
        <f>SUMIFS(EIAwtransport!$J$2:$J$675,EIAwtransport!$E$2:$E$675,Program_data!$E1376,EIAwtransport!$H$2:$H$675,Program_data!$F1376,EIAwtransport!$I$2:$I$675,Program_data!Q$2)</f>
        <v>98444</v>
      </c>
      <c r="R1376" s="8">
        <f>SUMIFS(EIAwtransport!$J$2:$J$675,EIAwtransport!$E$2:$E$675,Program_data!$E1376,EIAwtransport!$I$2:$I$675,Program_data!R$2)</f>
        <v>1429680000</v>
      </c>
      <c r="S1376" s="5">
        <f>SUMIFS(EIAwtransport!$J$2:$J$675,EIAwtransport!$E$2:$E$675,Program_data!$E1376,EIAwtransport!$I$2:$I$675,Program_data!S$2)</f>
        <v>158285451.98410821</v>
      </c>
      <c r="T1376" s="5">
        <f>SUMIFS(EIAwtransport!$J$2:$J$675,EIAwtransport!$E$2:$E$675,Program_data!$E1376,EIAwtransport!$I$2:$I$675,Program_data!T$2)</f>
        <v>1074614</v>
      </c>
      <c r="U1376" s="24">
        <f t="shared" si="437"/>
        <v>0</v>
      </c>
      <c r="V1376" s="24">
        <f t="shared" si="424"/>
        <v>0</v>
      </c>
      <c r="W1376" s="24">
        <f t="shared" si="438"/>
        <v>7.3645808106233826E-6</v>
      </c>
      <c r="X1376" s="25">
        <f t="shared" si="439"/>
        <v>6.4207552818439949E-6</v>
      </c>
      <c r="Y1376" s="8">
        <f t="shared" si="430"/>
        <v>1.7808943684910787E-3</v>
      </c>
      <c r="Z1376" s="27">
        <f t="shared" si="431"/>
        <v>1.2915294026445035E-3</v>
      </c>
      <c r="AA1376" s="27"/>
      <c r="AB1376" s="27"/>
      <c r="AC1376" s="56">
        <f t="shared" si="432"/>
        <v>9.2258418822901731E-5</v>
      </c>
      <c r="AE1376" s="20" t="e">
        <f>#REF!*1.35</f>
        <v>#REF!</v>
      </c>
      <c r="AF1376" s="20">
        <f t="shared" si="433"/>
        <v>1930068000.0000002</v>
      </c>
      <c r="AG1376">
        <f t="shared" si="434"/>
        <v>1110598.2758686633</v>
      </c>
      <c r="AH1376">
        <f t="shared" si="435"/>
        <v>0</v>
      </c>
      <c r="AI1376">
        <f t="shared" si="436"/>
        <v>16695949475.283735</v>
      </c>
    </row>
    <row r="1377" spans="2:35" x14ac:dyDescent="0.25">
      <c r="B1377" s="4">
        <v>2024</v>
      </c>
      <c r="C1377" s="4" t="s">
        <v>33</v>
      </c>
      <c r="D1377" s="1" t="s">
        <v>81</v>
      </c>
      <c r="E1377" s="4" t="s">
        <v>696</v>
      </c>
      <c r="F1377" s="11" t="s">
        <v>146</v>
      </c>
      <c r="G1377" s="11"/>
      <c r="H1377" s="11" t="s">
        <v>753</v>
      </c>
      <c r="I1377" s="11"/>
      <c r="J1377" s="11" t="s">
        <v>21</v>
      </c>
      <c r="K1377" s="92">
        <v>15086.133405099457</v>
      </c>
      <c r="L1377" s="92">
        <v>16762.370450110509</v>
      </c>
      <c r="M1377" s="93">
        <v>56154.634097770861</v>
      </c>
      <c r="N1377" s="8">
        <v>0</v>
      </c>
      <c r="O1377" s="8">
        <f>SUMIFS(EIAwtransport!$J$2:$J$675,EIAwtransport!$E$2:$E$675,Program_data!$E1377,EIAwtransport!$H$2:$H$675,Program_data!$F1377,EIAwtransport!$I$2:$I$675,Program_data!O$2)</f>
        <v>555000000</v>
      </c>
      <c r="P1377" s="5">
        <f>SUMIFS(EIAwtransport!$J$2:$J$675,EIAwtransport!$E$2:$E$675,Program_data!$E1377,EIAwtransport!$H$2:$H$675,Program_data!$F1377,EIAwtransport!$I$2:$I$675,Program_data!P$2)</f>
        <v>75825366.219932109</v>
      </c>
      <c r="Q1377" s="5">
        <f>SUMIFS(EIAwtransport!$J$2:$J$675,EIAwtransport!$E$2:$E$675,Program_data!$E1377,EIAwtransport!$H$2:$H$675,Program_data!$F1377,EIAwtransport!$I$2:$I$675,Program_data!Q$2)</f>
        <v>98444</v>
      </c>
      <c r="R1377" s="8">
        <f>SUMIFS(EIAwtransport!$J$2:$J$675,EIAwtransport!$E$2:$E$675,Program_data!$E1377,EIAwtransport!$I$2:$I$675,Program_data!R$2)</f>
        <v>1429680000</v>
      </c>
      <c r="S1377" s="5">
        <f>SUMIFS(EIAwtransport!$J$2:$J$675,EIAwtransport!$E$2:$E$675,Program_data!$E1377,EIAwtransport!$I$2:$I$675,Program_data!S$2)</f>
        <v>158285451.98410821</v>
      </c>
      <c r="T1377" s="5">
        <f>SUMIFS(EIAwtransport!$J$2:$J$675,EIAwtransport!$E$2:$E$675,Program_data!$E1377,EIAwtransport!$I$2:$I$675,Program_data!T$2)</f>
        <v>1074614</v>
      </c>
      <c r="U1377" s="24">
        <f t="shared" si="437"/>
        <v>9.1997746151927418E-6</v>
      </c>
      <c r="V1377" s="24">
        <f t="shared" si="424"/>
        <v>1.0221971794658603E-5</v>
      </c>
      <c r="W1377" s="24">
        <f t="shared" si="438"/>
        <v>3.92777643233247E-5</v>
      </c>
      <c r="X1377" s="25">
        <f t="shared" si="439"/>
        <v>3.4244028169834635E-5</v>
      </c>
      <c r="Y1377" s="8">
        <f t="shared" si="430"/>
        <v>9.4981032986190851E-3</v>
      </c>
      <c r="Z1377" s="27">
        <f t="shared" si="431"/>
        <v>6.8881568141040189E-3</v>
      </c>
      <c r="AA1377" s="27"/>
      <c r="AB1377" s="27"/>
      <c r="AC1377" s="56">
        <f t="shared" si="432"/>
        <v>4.9204490038880927E-4</v>
      </c>
      <c r="AE1377" s="20" t="e">
        <f>#REF!*1.35</f>
        <v>#REF!</v>
      </c>
      <c r="AF1377" s="20">
        <f t="shared" si="433"/>
        <v>1930068000.0000002</v>
      </c>
      <c r="AG1377">
        <f t="shared" si="434"/>
        <v>5923190.8046328705</v>
      </c>
      <c r="AH1377">
        <f t="shared" si="435"/>
        <v>0</v>
      </c>
      <c r="AI1377">
        <f t="shared" si="436"/>
        <v>16695949475.283735</v>
      </c>
    </row>
    <row r="1378" spans="2:35" x14ac:dyDescent="0.25">
      <c r="B1378" s="4">
        <v>2024</v>
      </c>
      <c r="C1378" s="4" t="s">
        <v>33</v>
      </c>
      <c r="D1378" s="1" t="s">
        <v>81</v>
      </c>
      <c r="E1378" s="4" t="s">
        <v>696</v>
      </c>
      <c r="F1378" s="11" t="s">
        <v>146</v>
      </c>
      <c r="G1378" s="11"/>
      <c r="H1378" s="11" t="s">
        <v>754</v>
      </c>
      <c r="I1378" s="11"/>
      <c r="J1378" s="11" t="s">
        <v>21</v>
      </c>
      <c r="K1378" s="92">
        <v>1498.9188405462144</v>
      </c>
      <c r="L1378" s="92">
        <v>1665.4653783846825</v>
      </c>
      <c r="M1378" s="93">
        <v>19650.265159899904</v>
      </c>
      <c r="N1378" s="8">
        <v>0</v>
      </c>
      <c r="O1378" s="8">
        <f>SUMIFS(EIAwtransport!$J$2:$J$675,EIAwtransport!$E$2:$E$675,Program_data!$E1378,EIAwtransport!$H$2:$H$675,Program_data!$F1378,EIAwtransport!$I$2:$I$675,Program_data!O$2)</f>
        <v>555000000</v>
      </c>
      <c r="P1378" s="5">
        <f>SUMIFS(EIAwtransport!$J$2:$J$675,EIAwtransport!$E$2:$E$675,Program_data!$E1378,EIAwtransport!$H$2:$H$675,Program_data!$F1378,EIAwtransport!$I$2:$I$675,Program_data!P$2)</f>
        <v>75825366.219932109</v>
      </c>
      <c r="Q1378" s="5">
        <f>SUMIFS(EIAwtransport!$J$2:$J$675,EIAwtransport!$E$2:$E$675,Program_data!$E1378,EIAwtransport!$H$2:$H$675,Program_data!$F1378,EIAwtransport!$I$2:$I$675,Program_data!Q$2)</f>
        <v>98444</v>
      </c>
      <c r="R1378" s="8">
        <f>SUMIFS(EIAwtransport!$J$2:$J$675,EIAwtransport!$E$2:$E$675,Program_data!$E1378,EIAwtransport!$I$2:$I$675,Program_data!R$2)</f>
        <v>1429680000</v>
      </c>
      <c r="S1378" s="5">
        <f>SUMIFS(EIAwtransport!$J$2:$J$675,EIAwtransport!$E$2:$E$675,Program_data!$E1378,EIAwtransport!$I$2:$I$675,Program_data!S$2)</f>
        <v>158285451.98410821</v>
      </c>
      <c r="T1378" s="5">
        <f>SUMIFS(EIAwtransport!$J$2:$J$675,EIAwtransport!$E$2:$E$675,Program_data!$E1378,EIAwtransport!$I$2:$I$675,Program_data!T$2)</f>
        <v>1074614</v>
      </c>
      <c r="U1378" s="24">
        <f t="shared" si="437"/>
        <v>9.1406559449023311E-7</v>
      </c>
      <c r="V1378" s="24">
        <f t="shared" si="424"/>
        <v>1.0156284383224812E-6</v>
      </c>
      <c r="W1378" s="24">
        <f t="shared" si="438"/>
        <v>1.3744519864515069E-5</v>
      </c>
      <c r="X1378" s="25">
        <f t="shared" si="439"/>
        <v>1.198305793443046E-5</v>
      </c>
      <c r="Y1378" s="8">
        <f t="shared" si="430"/>
        <v>3.32368381225716E-3</v>
      </c>
      <c r="Z1378" s="27">
        <f t="shared" si="431"/>
        <v>2.4103817972431305E-3</v>
      </c>
      <c r="AA1378" s="27"/>
      <c r="AB1378" s="27"/>
      <c r="AC1378" s="56">
        <f t="shared" si="432"/>
        <v>1.7218192084347416E-4</v>
      </c>
      <c r="AE1378" s="20" t="e">
        <f>#REF!*1.35</f>
        <v>#REF!</v>
      </c>
      <c r="AF1378" s="20">
        <f t="shared" si="433"/>
        <v>1930068000.0000002</v>
      </c>
      <c r="AG1378">
        <f t="shared" si="434"/>
        <v>2072709.969066242</v>
      </c>
      <c r="AH1378">
        <f t="shared" si="435"/>
        <v>0</v>
      </c>
      <c r="AI1378">
        <f t="shared" si="436"/>
        <v>16695949475.283735</v>
      </c>
    </row>
    <row r="1379" spans="2:35" x14ac:dyDescent="0.25">
      <c r="B1379" s="4">
        <v>2024</v>
      </c>
      <c r="C1379" s="4" t="s">
        <v>33</v>
      </c>
      <c r="D1379" s="1" t="s">
        <v>81</v>
      </c>
      <c r="E1379" s="4" t="s">
        <v>696</v>
      </c>
      <c r="F1379" s="11" t="s">
        <v>146</v>
      </c>
      <c r="G1379" s="11"/>
      <c r="H1379" s="11" t="s">
        <v>755</v>
      </c>
      <c r="I1379" s="11"/>
      <c r="J1379" s="11" t="s">
        <v>21</v>
      </c>
      <c r="K1379" s="92">
        <v>2930.7219121127473</v>
      </c>
      <c r="L1379" s="92">
        <v>3256.3576801252748</v>
      </c>
      <c r="M1379" s="93">
        <v>19650.265159899904</v>
      </c>
      <c r="N1379" s="8">
        <v>0</v>
      </c>
      <c r="O1379" s="8">
        <f>SUMIFS(EIAwtransport!$J$2:$J$675,EIAwtransport!$E$2:$E$675,Program_data!$E1379,EIAwtransport!$H$2:$H$675,Program_data!$F1379,EIAwtransport!$I$2:$I$675,Program_data!O$2)</f>
        <v>555000000</v>
      </c>
      <c r="P1379" s="5">
        <f>SUMIFS(EIAwtransport!$J$2:$J$675,EIAwtransport!$E$2:$E$675,Program_data!$E1379,EIAwtransport!$H$2:$H$675,Program_data!$F1379,EIAwtransport!$I$2:$I$675,Program_data!P$2)</f>
        <v>75825366.219932109</v>
      </c>
      <c r="Q1379" s="5">
        <f>SUMIFS(EIAwtransport!$J$2:$J$675,EIAwtransport!$E$2:$E$675,Program_data!$E1379,EIAwtransport!$H$2:$H$675,Program_data!$F1379,EIAwtransport!$I$2:$I$675,Program_data!Q$2)</f>
        <v>98444</v>
      </c>
      <c r="R1379" s="8">
        <f>SUMIFS(EIAwtransport!$J$2:$J$675,EIAwtransport!$E$2:$E$675,Program_data!$E1379,EIAwtransport!$I$2:$I$675,Program_data!R$2)</f>
        <v>1429680000</v>
      </c>
      <c r="S1379" s="5">
        <f>SUMIFS(EIAwtransport!$J$2:$J$675,EIAwtransport!$E$2:$E$675,Program_data!$E1379,EIAwtransport!$I$2:$I$675,Program_data!S$2)</f>
        <v>158285451.98410821</v>
      </c>
      <c r="T1379" s="5">
        <f>SUMIFS(EIAwtransport!$J$2:$J$675,EIAwtransport!$E$2:$E$675,Program_data!$E1379,EIAwtransport!$I$2:$I$675,Program_data!T$2)</f>
        <v>1074614</v>
      </c>
      <c r="U1379" s="24">
        <f t="shared" si="437"/>
        <v>1.7872028787794108E-6</v>
      </c>
      <c r="V1379" s="24">
        <f t="shared" si="424"/>
        <v>1.9857809764215676E-6</v>
      </c>
      <c r="W1379" s="24">
        <f t="shared" si="438"/>
        <v>1.3744519864515069E-5</v>
      </c>
      <c r="X1379" s="25">
        <f t="shared" si="439"/>
        <v>1.198305793443046E-5</v>
      </c>
      <c r="Y1379" s="8">
        <f t="shared" si="430"/>
        <v>3.32368381225716E-3</v>
      </c>
      <c r="Z1379" s="27">
        <f t="shared" si="431"/>
        <v>2.4103817972431305E-3</v>
      </c>
      <c r="AA1379" s="27"/>
      <c r="AB1379" s="27"/>
      <c r="AC1379" s="56">
        <f t="shared" si="432"/>
        <v>1.7218192084347416E-4</v>
      </c>
      <c r="AE1379" s="20" t="e">
        <f>#REF!*1.35</f>
        <v>#REF!</v>
      </c>
      <c r="AF1379" s="20">
        <f t="shared" si="433"/>
        <v>1930068000.0000002</v>
      </c>
      <c r="AG1379">
        <f t="shared" si="434"/>
        <v>2072709.969066242</v>
      </c>
      <c r="AH1379">
        <f t="shared" si="435"/>
        <v>0</v>
      </c>
      <c r="AI1379">
        <f t="shared" si="436"/>
        <v>16695949475.283735</v>
      </c>
    </row>
    <row r="1380" spans="2:35" x14ac:dyDescent="0.25">
      <c r="B1380" s="4">
        <v>2024</v>
      </c>
      <c r="C1380" s="4" t="s">
        <v>33</v>
      </c>
      <c r="D1380" s="1" t="s">
        <v>81</v>
      </c>
      <c r="E1380" s="4" t="s">
        <v>696</v>
      </c>
      <c r="F1380" s="11" t="s">
        <v>146</v>
      </c>
      <c r="G1380" s="11"/>
      <c r="H1380" s="11" t="s">
        <v>756</v>
      </c>
      <c r="I1380" s="11"/>
      <c r="J1380" s="11" t="s">
        <v>21</v>
      </c>
      <c r="K1380" s="92">
        <v>3378.1603719772884</v>
      </c>
      <c r="L1380" s="92">
        <v>3753.5115244192098</v>
      </c>
      <c r="M1380" s="93">
        <v>19650.265159899904</v>
      </c>
      <c r="N1380" s="8">
        <v>0</v>
      </c>
      <c r="O1380" s="8">
        <f>SUMIFS(EIAwtransport!$J$2:$J$675,EIAwtransport!$E$2:$E$675,Program_data!$E1380,EIAwtransport!$H$2:$H$675,Program_data!$F1380,EIAwtransport!$I$2:$I$675,Program_data!O$2)</f>
        <v>555000000</v>
      </c>
      <c r="P1380" s="5">
        <f>SUMIFS(EIAwtransport!$J$2:$J$675,EIAwtransport!$E$2:$E$675,Program_data!$E1380,EIAwtransport!$H$2:$H$675,Program_data!$F1380,EIAwtransport!$I$2:$I$675,Program_data!P$2)</f>
        <v>75825366.219932109</v>
      </c>
      <c r="Q1380" s="5">
        <f>SUMIFS(EIAwtransport!$J$2:$J$675,EIAwtransport!$E$2:$E$675,Program_data!$E1380,EIAwtransport!$H$2:$H$675,Program_data!$F1380,EIAwtransport!$I$2:$I$675,Program_data!Q$2)</f>
        <v>98444</v>
      </c>
      <c r="R1380" s="8">
        <f>SUMIFS(EIAwtransport!$J$2:$J$675,EIAwtransport!$E$2:$E$675,Program_data!$E1380,EIAwtransport!$I$2:$I$675,Program_data!R$2)</f>
        <v>1429680000</v>
      </c>
      <c r="S1380" s="5">
        <f>SUMIFS(EIAwtransport!$J$2:$J$675,EIAwtransport!$E$2:$E$675,Program_data!$E1380,EIAwtransport!$I$2:$I$675,Program_data!S$2)</f>
        <v>158285451.98410821</v>
      </c>
      <c r="T1380" s="5">
        <f>SUMIFS(EIAwtransport!$J$2:$J$675,EIAwtransport!$E$2:$E$675,Program_data!$E1380,EIAwtransport!$I$2:$I$675,Program_data!T$2)</f>
        <v>1074614</v>
      </c>
      <c r="U1380" s="24">
        <f t="shared" si="437"/>
        <v>2.0600582801197783E-6</v>
      </c>
      <c r="V1380" s="24">
        <f t="shared" si="424"/>
        <v>2.2889536445775321E-6</v>
      </c>
      <c r="W1380" s="24">
        <f t="shared" si="438"/>
        <v>1.3744519864515069E-5</v>
      </c>
      <c r="X1380" s="25">
        <f t="shared" si="439"/>
        <v>1.198305793443046E-5</v>
      </c>
      <c r="Y1380" s="8">
        <f t="shared" si="430"/>
        <v>3.32368381225716E-3</v>
      </c>
      <c r="Z1380" s="27">
        <f t="shared" si="431"/>
        <v>2.4103817972431305E-3</v>
      </c>
      <c r="AA1380" s="27"/>
      <c r="AB1380" s="27"/>
      <c r="AC1380" s="56">
        <f t="shared" si="432"/>
        <v>1.7218192084347416E-4</v>
      </c>
      <c r="AE1380" s="20" t="e">
        <f>#REF!*1.35</f>
        <v>#REF!</v>
      </c>
      <c r="AF1380" s="20">
        <f t="shared" si="433"/>
        <v>1930068000.0000002</v>
      </c>
      <c r="AG1380">
        <f t="shared" si="434"/>
        <v>2072709.969066242</v>
      </c>
      <c r="AH1380">
        <f t="shared" si="435"/>
        <v>0</v>
      </c>
      <c r="AI1380">
        <f t="shared" si="436"/>
        <v>16695949475.283735</v>
      </c>
    </row>
    <row r="1381" spans="2:35" x14ac:dyDescent="0.25">
      <c r="B1381" s="4">
        <v>2024</v>
      </c>
      <c r="C1381" s="4" t="s">
        <v>33</v>
      </c>
      <c r="D1381" s="1" t="s">
        <v>81</v>
      </c>
      <c r="E1381" s="4" t="s">
        <v>696</v>
      </c>
      <c r="F1381" s="11" t="s">
        <v>146</v>
      </c>
      <c r="G1381" s="11"/>
      <c r="H1381" s="11" t="s">
        <v>757</v>
      </c>
      <c r="I1381" s="11"/>
      <c r="J1381" s="11" t="s">
        <v>21</v>
      </c>
      <c r="K1381" s="92">
        <v>6577.3453600087605</v>
      </c>
      <c r="L1381" s="92">
        <v>7308.1615111208457</v>
      </c>
      <c r="M1381" s="93">
        <v>19650.265159899904</v>
      </c>
      <c r="N1381" s="8">
        <v>0</v>
      </c>
      <c r="O1381" s="8">
        <f>SUMIFS(EIAwtransport!$J$2:$J$675,EIAwtransport!$E$2:$E$675,Program_data!$E1381,EIAwtransport!$H$2:$H$675,Program_data!$F1381,EIAwtransport!$I$2:$I$675,Program_data!O$2)</f>
        <v>555000000</v>
      </c>
      <c r="P1381" s="5">
        <f>SUMIFS(EIAwtransport!$J$2:$J$675,EIAwtransport!$E$2:$E$675,Program_data!$E1381,EIAwtransport!$H$2:$H$675,Program_data!$F1381,EIAwtransport!$I$2:$I$675,Program_data!P$2)</f>
        <v>75825366.219932109</v>
      </c>
      <c r="Q1381" s="5">
        <f>SUMIFS(EIAwtransport!$J$2:$J$675,EIAwtransport!$E$2:$E$675,Program_data!$E1381,EIAwtransport!$H$2:$H$675,Program_data!$F1381,EIAwtransport!$I$2:$I$675,Program_data!Q$2)</f>
        <v>98444</v>
      </c>
      <c r="R1381" s="8">
        <f>SUMIFS(EIAwtransport!$J$2:$J$675,EIAwtransport!$E$2:$E$675,Program_data!$E1381,EIAwtransport!$I$2:$I$675,Program_data!R$2)</f>
        <v>1429680000</v>
      </c>
      <c r="S1381" s="5">
        <f>SUMIFS(EIAwtransport!$J$2:$J$675,EIAwtransport!$E$2:$E$675,Program_data!$E1381,EIAwtransport!$I$2:$I$675,Program_data!S$2)</f>
        <v>158285451.98410821</v>
      </c>
      <c r="T1381" s="5">
        <f>SUMIFS(EIAwtransport!$J$2:$J$675,EIAwtransport!$E$2:$E$675,Program_data!$E1381,EIAwtransport!$I$2:$I$675,Program_data!T$2)</f>
        <v>1074614</v>
      </c>
      <c r="U1381" s="24">
        <f t="shared" si="437"/>
        <v>4.0109743997034103E-6</v>
      </c>
      <c r="V1381" s="24">
        <f t="shared" si="424"/>
        <v>4.456638221892679E-6</v>
      </c>
      <c r="W1381" s="24">
        <f t="shared" si="438"/>
        <v>1.3744519864515069E-5</v>
      </c>
      <c r="X1381" s="25">
        <f t="shared" si="439"/>
        <v>1.198305793443046E-5</v>
      </c>
      <c r="Y1381" s="8">
        <f t="shared" si="430"/>
        <v>3.32368381225716E-3</v>
      </c>
      <c r="Z1381" s="27">
        <f t="shared" si="431"/>
        <v>2.4103817972431305E-3</v>
      </c>
      <c r="AA1381" s="27"/>
      <c r="AB1381" s="27"/>
      <c r="AC1381" s="56">
        <f t="shared" si="432"/>
        <v>1.7218192084347416E-4</v>
      </c>
      <c r="AE1381" s="20" t="e">
        <f>#REF!*1.35</f>
        <v>#REF!</v>
      </c>
      <c r="AF1381" s="20">
        <f t="shared" si="433"/>
        <v>1930068000.0000002</v>
      </c>
      <c r="AG1381">
        <f t="shared" si="434"/>
        <v>2072709.969066242</v>
      </c>
      <c r="AH1381">
        <f t="shared" si="435"/>
        <v>0</v>
      </c>
      <c r="AI1381">
        <f t="shared" si="436"/>
        <v>16695949475.283735</v>
      </c>
    </row>
    <row r="1382" spans="2:35" x14ac:dyDescent="0.25">
      <c r="B1382" s="4">
        <v>2024</v>
      </c>
      <c r="C1382" s="4" t="s">
        <v>33</v>
      </c>
      <c r="D1382" s="1" t="s">
        <v>81</v>
      </c>
      <c r="E1382" s="4" t="s">
        <v>696</v>
      </c>
      <c r="F1382" s="11" t="s">
        <v>146</v>
      </c>
      <c r="G1382" s="11"/>
      <c r="H1382" s="11" t="s">
        <v>758</v>
      </c>
      <c r="I1382" s="11"/>
      <c r="J1382" s="11" t="s">
        <v>21</v>
      </c>
      <c r="K1382" s="92">
        <v>5883.8157472187213</v>
      </c>
      <c r="L1382" s="92">
        <v>6537.5730524652463</v>
      </c>
      <c r="M1382" s="93">
        <v>19650.265159899904</v>
      </c>
      <c r="N1382" s="8">
        <v>0</v>
      </c>
      <c r="O1382" s="8">
        <f>SUMIFS(EIAwtransport!$J$2:$J$675,EIAwtransport!$E$2:$E$675,Program_data!$E1382,EIAwtransport!$H$2:$H$675,Program_data!$F1382,EIAwtransport!$I$2:$I$675,Program_data!O$2)</f>
        <v>555000000</v>
      </c>
      <c r="P1382" s="5">
        <f>SUMIFS(EIAwtransport!$J$2:$J$675,EIAwtransport!$E$2:$E$675,Program_data!$E1382,EIAwtransport!$H$2:$H$675,Program_data!$F1382,EIAwtransport!$I$2:$I$675,Program_data!P$2)</f>
        <v>75825366.219932109</v>
      </c>
      <c r="Q1382" s="5">
        <f>SUMIFS(EIAwtransport!$J$2:$J$675,EIAwtransport!$E$2:$E$675,Program_data!$E1382,EIAwtransport!$H$2:$H$675,Program_data!$F1382,EIAwtransport!$I$2:$I$675,Program_data!Q$2)</f>
        <v>98444</v>
      </c>
      <c r="R1382" s="8">
        <f>SUMIFS(EIAwtransport!$J$2:$J$675,EIAwtransport!$E$2:$E$675,Program_data!$E1382,EIAwtransport!$I$2:$I$675,Program_data!R$2)</f>
        <v>1429680000</v>
      </c>
      <c r="S1382" s="5">
        <f>SUMIFS(EIAwtransport!$J$2:$J$675,EIAwtransport!$E$2:$E$675,Program_data!$E1382,EIAwtransport!$I$2:$I$675,Program_data!S$2)</f>
        <v>158285451.98410821</v>
      </c>
      <c r="T1382" s="5">
        <f>SUMIFS(EIAwtransport!$J$2:$J$675,EIAwtransport!$E$2:$E$675,Program_data!$E1382,EIAwtransport!$I$2:$I$675,Program_data!T$2)</f>
        <v>1074614</v>
      </c>
      <c r="U1382" s="24">
        <f t="shared" si="437"/>
        <v>3.5880485276258402E-6</v>
      </c>
      <c r="V1382" s="24">
        <f t="shared" si="424"/>
        <v>3.9867205862509337E-6</v>
      </c>
      <c r="W1382" s="24">
        <f t="shared" si="438"/>
        <v>1.3744519864515069E-5</v>
      </c>
      <c r="X1382" s="25">
        <f t="shared" si="439"/>
        <v>1.198305793443046E-5</v>
      </c>
      <c r="Y1382" s="8">
        <f t="shared" si="430"/>
        <v>3.32368381225716E-3</v>
      </c>
      <c r="Z1382" s="27">
        <f t="shared" si="431"/>
        <v>2.4103817972431305E-3</v>
      </c>
      <c r="AA1382" s="27"/>
      <c r="AB1382" s="27"/>
      <c r="AC1382" s="56">
        <f t="shared" si="432"/>
        <v>1.7218192084347416E-4</v>
      </c>
      <c r="AE1382" s="20" t="e">
        <f>#REF!*1.35</f>
        <v>#REF!</v>
      </c>
      <c r="AF1382" s="20">
        <f t="shared" si="433"/>
        <v>1930068000.0000002</v>
      </c>
      <c r="AG1382">
        <f t="shared" si="434"/>
        <v>2072709.969066242</v>
      </c>
      <c r="AH1382">
        <f t="shared" si="435"/>
        <v>0</v>
      </c>
      <c r="AI1382">
        <f t="shared" si="436"/>
        <v>16695949475.283735</v>
      </c>
    </row>
    <row r="1383" spans="2:35" x14ac:dyDescent="0.25">
      <c r="B1383" s="4">
        <v>2024</v>
      </c>
      <c r="C1383" s="4" t="s">
        <v>33</v>
      </c>
      <c r="D1383" s="1" t="s">
        <v>81</v>
      </c>
      <c r="E1383" s="4" t="s">
        <v>696</v>
      </c>
      <c r="F1383" s="11" t="s">
        <v>146</v>
      </c>
      <c r="G1383" s="11"/>
      <c r="H1383" s="11" t="s">
        <v>759</v>
      </c>
      <c r="I1383" s="11"/>
      <c r="J1383" s="11" t="s">
        <v>21</v>
      </c>
      <c r="K1383" s="92">
        <v>11409.68072654581</v>
      </c>
      <c r="L1383" s="92">
        <v>12677.423029495343</v>
      </c>
      <c r="M1383" s="93">
        <v>19650.265159899904</v>
      </c>
      <c r="N1383" s="8">
        <v>0</v>
      </c>
      <c r="O1383" s="8">
        <f>SUMIFS(EIAwtransport!$J$2:$J$675,EIAwtransport!$E$2:$E$675,Program_data!$E1383,EIAwtransport!$H$2:$H$675,Program_data!$F1383,EIAwtransport!$I$2:$I$675,Program_data!O$2)</f>
        <v>555000000</v>
      </c>
      <c r="P1383" s="5">
        <f>SUMIFS(EIAwtransport!$J$2:$J$675,EIAwtransport!$E$2:$E$675,Program_data!$E1383,EIAwtransport!$H$2:$H$675,Program_data!$F1383,EIAwtransport!$I$2:$I$675,Program_data!P$2)</f>
        <v>75825366.219932109</v>
      </c>
      <c r="Q1383" s="5">
        <f>SUMIFS(EIAwtransport!$J$2:$J$675,EIAwtransport!$E$2:$E$675,Program_data!$E1383,EIAwtransport!$H$2:$H$675,Program_data!$F1383,EIAwtransport!$I$2:$I$675,Program_data!Q$2)</f>
        <v>98444</v>
      </c>
      <c r="R1383" s="8">
        <f>SUMIFS(EIAwtransport!$J$2:$J$675,EIAwtransport!$E$2:$E$675,Program_data!$E1383,EIAwtransport!$I$2:$I$675,Program_data!R$2)</f>
        <v>1429680000</v>
      </c>
      <c r="S1383" s="5">
        <f>SUMIFS(EIAwtransport!$J$2:$J$675,EIAwtransport!$E$2:$E$675,Program_data!$E1383,EIAwtransport!$I$2:$I$675,Program_data!S$2)</f>
        <v>158285451.98410821</v>
      </c>
      <c r="T1383" s="5">
        <f>SUMIFS(EIAwtransport!$J$2:$J$675,EIAwtransport!$E$2:$E$675,Program_data!$E1383,EIAwtransport!$I$2:$I$675,Program_data!T$2)</f>
        <v>1074614</v>
      </c>
      <c r="U1383" s="24">
        <f t="shared" si="437"/>
        <v>6.957812734179385E-6</v>
      </c>
      <c r="V1383" s="24">
        <f t="shared" si="424"/>
        <v>7.7309030379770939E-6</v>
      </c>
      <c r="W1383" s="24">
        <f t="shared" si="438"/>
        <v>1.3744519864515069E-5</v>
      </c>
      <c r="X1383" s="25">
        <f t="shared" si="439"/>
        <v>1.198305793443046E-5</v>
      </c>
      <c r="Y1383" s="8">
        <f t="shared" si="430"/>
        <v>3.32368381225716E-3</v>
      </c>
      <c r="Z1383" s="27">
        <f t="shared" si="431"/>
        <v>2.4103817972431305E-3</v>
      </c>
      <c r="AA1383" s="27"/>
      <c r="AB1383" s="27"/>
      <c r="AC1383" s="56">
        <f t="shared" si="432"/>
        <v>1.7218192084347416E-4</v>
      </c>
      <c r="AE1383" s="20" t="e">
        <f>#REF!*1.35</f>
        <v>#REF!</v>
      </c>
      <c r="AF1383" s="20">
        <f t="shared" si="433"/>
        <v>1930068000.0000002</v>
      </c>
      <c r="AG1383">
        <f t="shared" si="434"/>
        <v>2072709.969066242</v>
      </c>
      <c r="AH1383">
        <f t="shared" si="435"/>
        <v>0</v>
      </c>
      <c r="AI1383">
        <f t="shared" si="436"/>
        <v>16695949475.283735</v>
      </c>
    </row>
    <row r="1384" spans="2:35" x14ac:dyDescent="0.25">
      <c r="B1384" s="4">
        <v>2024</v>
      </c>
      <c r="C1384" s="4" t="s">
        <v>33</v>
      </c>
      <c r="D1384" s="1" t="s">
        <v>81</v>
      </c>
      <c r="E1384" s="4" t="s">
        <v>696</v>
      </c>
      <c r="F1384" s="11" t="s">
        <v>146</v>
      </c>
      <c r="G1384" s="11"/>
      <c r="H1384" s="11" t="s">
        <v>760</v>
      </c>
      <c r="I1384" s="11"/>
      <c r="J1384" s="11" t="s">
        <v>21</v>
      </c>
      <c r="K1384" s="92">
        <v>81277.196234393952</v>
      </c>
      <c r="L1384" s="92">
        <v>90307.995815993301</v>
      </c>
      <c r="M1384" s="93">
        <v>97311.92576872342</v>
      </c>
      <c r="N1384" s="8">
        <v>0</v>
      </c>
      <c r="O1384" s="8">
        <f>SUMIFS(EIAwtransport!$J$2:$J$675,EIAwtransport!$E$2:$E$675,Program_data!$E1384,EIAwtransport!$H$2:$H$675,Program_data!$F1384,EIAwtransport!$I$2:$I$675,Program_data!O$2)</f>
        <v>555000000</v>
      </c>
      <c r="P1384" s="5">
        <f>SUMIFS(EIAwtransport!$J$2:$J$675,EIAwtransport!$E$2:$E$675,Program_data!$E1384,EIAwtransport!$H$2:$H$675,Program_data!$F1384,EIAwtransport!$I$2:$I$675,Program_data!P$2)</f>
        <v>75825366.219932109</v>
      </c>
      <c r="Q1384" s="5">
        <f>SUMIFS(EIAwtransport!$J$2:$J$675,EIAwtransport!$E$2:$E$675,Program_data!$E1384,EIAwtransport!$H$2:$H$675,Program_data!$F1384,EIAwtransport!$I$2:$I$675,Program_data!Q$2)</f>
        <v>98444</v>
      </c>
      <c r="R1384" s="8">
        <f>SUMIFS(EIAwtransport!$J$2:$J$675,EIAwtransport!$E$2:$E$675,Program_data!$E1384,EIAwtransport!$I$2:$I$675,Program_data!R$2)</f>
        <v>1429680000</v>
      </c>
      <c r="S1384" s="5">
        <f>SUMIFS(EIAwtransport!$J$2:$J$675,EIAwtransport!$E$2:$E$675,Program_data!$E1384,EIAwtransport!$I$2:$I$675,Program_data!S$2)</f>
        <v>158285451.98410821</v>
      </c>
      <c r="T1384" s="5">
        <f>SUMIFS(EIAwtransport!$J$2:$J$675,EIAwtransport!$E$2:$E$675,Program_data!$E1384,EIAwtransport!$I$2:$I$675,Program_data!T$2)</f>
        <v>1074614</v>
      </c>
      <c r="U1384" s="24">
        <f t="shared" si="437"/>
        <v>4.9564183653477844E-5</v>
      </c>
      <c r="V1384" s="24">
        <f t="shared" si="424"/>
        <v>5.5071315170530951E-5</v>
      </c>
      <c r="W1384" s="24">
        <f t="shared" si="438"/>
        <v>6.8065529187456923E-5</v>
      </c>
      <c r="X1384" s="25">
        <f t="shared" si="439"/>
        <v>5.9342427937168308E-5</v>
      </c>
      <c r="Y1384" s="8">
        <f t="shared" si="430"/>
        <v>1.6459527125216866E-2</v>
      </c>
      <c r="Z1384" s="27">
        <f t="shared" si="431"/>
        <v>1.1936678340924763E-2</v>
      </c>
      <c r="AA1384" s="27"/>
      <c r="AB1384" s="27"/>
      <c r="AC1384" s="56">
        <f t="shared" si="432"/>
        <v>8.5267828008900608E-4</v>
      </c>
      <c r="AE1384" s="20" t="e">
        <f>#REF!*1.35</f>
        <v>#REF!</v>
      </c>
      <c r="AF1384" s="20">
        <f t="shared" si="433"/>
        <v>1930068000.0000002</v>
      </c>
      <c r="AG1384">
        <f t="shared" si="434"/>
        <v>10264461.930084947</v>
      </c>
      <c r="AH1384">
        <f t="shared" si="435"/>
        <v>0</v>
      </c>
      <c r="AI1384">
        <f t="shared" si="436"/>
        <v>16695949475.283735</v>
      </c>
    </row>
    <row r="1385" spans="2:35" x14ac:dyDescent="0.25">
      <c r="B1385" s="4">
        <v>2024</v>
      </c>
      <c r="C1385" s="4" t="s">
        <v>33</v>
      </c>
      <c r="D1385" s="1" t="s">
        <v>81</v>
      </c>
      <c r="E1385" s="4" t="s">
        <v>696</v>
      </c>
      <c r="F1385" s="11" t="s">
        <v>146</v>
      </c>
      <c r="G1385" s="11"/>
      <c r="H1385" s="11" t="s">
        <v>761</v>
      </c>
      <c r="I1385" s="11"/>
      <c r="J1385" s="11" t="s">
        <v>21</v>
      </c>
      <c r="K1385" s="92">
        <v>143873.83676944333</v>
      </c>
      <c r="L1385" s="92">
        <v>159859.8186327148</v>
      </c>
      <c r="M1385" s="93">
        <v>97311.92576872342</v>
      </c>
      <c r="N1385" s="8">
        <v>0</v>
      </c>
      <c r="O1385" s="8">
        <f>SUMIFS(EIAwtransport!$J$2:$J$675,EIAwtransport!$E$2:$E$675,Program_data!$E1385,EIAwtransport!$H$2:$H$675,Program_data!$F1385,EIAwtransport!$I$2:$I$675,Program_data!O$2)</f>
        <v>555000000</v>
      </c>
      <c r="P1385" s="5">
        <f>SUMIFS(EIAwtransport!$J$2:$J$675,EIAwtransport!$E$2:$E$675,Program_data!$E1385,EIAwtransport!$H$2:$H$675,Program_data!$F1385,EIAwtransport!$I$2:$I$675,Program_data!P$2)</f>
        <v>75825366.219932109</v>
      </c>
      <c r="Q1385" s="5">
        <f>SUMIFS(EIAwtransport!$J$2:$J$675,EIAwtransport!$E$2:$E$675,Program_data!$E1385,EIAwtransport!$H$2:$H$675,Program_data!$F1385,EIAwtransport!$I$2:$I$675,Program_data!Q$2)</f>
        <v>98444</v>
      </c>
      <c r="R1385" s="8">
        <f>SUMIFS(EIAwtransport!$J$2:$J$675,EIAwtransport!$E$2:$E$675,Program_data!$E1385,EIAwtransport!$I$2:$I$675,Program_data!R$2)</f>
        <v>1429680000</v>
      </c>
      <c r="S1385" s="5">
        <f>SUMIFS(EIAwtransport!$J$2:$J$675,EIAwtransport!$E$2:$E$675,Program_data!$E1385,EIAwtransport!$I$2:$I$675,Program_data!S$2)</f>
        <v>158285451.98410821</v>
      </c>
      <c r="T1385" s="5">
        <f>SUMIFS(EIAwtransport!$J$2:$J$675,EIAwtransport!$E$2:$E$675,Program_data!$E1385,EIAwtransport!$I$2:$I$675,Program_data!T$2)</f>
        <v>1074614</v>
      </c>
      <c r="U1385" s="24">
        <f t="shared" si="437"/>
        <v>8.7736654300995344E-5</v>
      </c>
      <c r="V1385" s="24">
        <f t="shared" ref="V1385:V1444" si="440">IFERROR(L1385/10.36/S1385,"")</f>
        <v>9.7485171445550376E-5</v>
      </c>
      <c r="W1385" s="24">
        <f t="shared" si="438"/>
        <v>6.8065529187456923E-5</v>
      </c>
      <c r="X1385" s="25">
        <f t="shared" si="439"/>
        <v>5.9342427937168308E-5</v>
      </c>
      <c r="Y1385" s="8">
        <f t="shared" si="430"/>
        <v>1.6459527125216866E-2</v>
      </c>
      <c r="Z1385" s="27">
        <f t="shared" si="431"/>
        <v>1.1936678340924763E-2</v>
      </c>
      <c r="AA1385" s="27"/>
      <c r="AB1385" s="27"/>
      <c r="AC1385" s="56">
        <f t="shared" ref="AC1385:AC1416" si="441">IFERROR(M1385/SUMIFS($M$3:$M$1234,$E$3:$E$1234,E1385,$B$3:$B$1234,B1385),"")</f>
        <v>8.5267828008900608E-4</v>
      </c>
      <c r="AE1385" s="20" t="e">
        <f>#REF!*1.35</f>
        <v>#REF!</v>
      </c>
      <c r="AF1385" s="20">
        <f t="shared" ref="AF1385:AF1416" si="442">R1385*1.35</f>
        <v>1930068000.0000002</v>
      </c>
      <c r="AG1385">
        <f t="shared" ref="AG1385:AG1416" si="443">M1385*105.48</f>
        <v>10264461.930084947</v>
      </c>
      <c r="AH1385">
        <f t="shared" ref="AH1385:AH1416" si="444">N1385*105.48</f>
        <v>0</v>
      </c>
      <c r="AI1385">
        <f t="shared" ref="AI1385:AI1416" si="445">S1385*105.48</f>
        <v>16695949475.283735</v>
      </c>
    </row>
    <row r="1386" spans="2:35" x14ac:dyDescent="0.25">
      <c r="B1386" s="4">
        <v>2024</v>
      </c>
      <c r="C1386" s="4" t="s">
        <v>33</v>
      </c>
      <c r="D1386" s="1" t="s">
        <v>81</v>
      </c>
      <c r="E1386" s="4" t="s">
        <v>696</v>
      </c>
      <c r="F1386" s="11" t="s">
        <v>146</v>
      </c>
      <c r="G1386" s="11"/>
      <c r="H1386" s="11" t="s">
        <v>762</v>
      </c>
      <c r="I1386" s="11"/>
      <c r="J1386" s="11" t="s">
        <v>21</v>
      </c>
      <c r="K1386" s="92">
        <v>139063.87332589951</v>
      </c>
      <c r="L1386" s="92">
        <v>154515.414806555</v>
      </c>
      <c r="M1386" s="93">
        <v>194623.85153744684</v>
      </c>
      <c r="N1386" s="8">
        <v>0</v>
      </c>
      <c r="O1386" s="8">
        <f>SUMIFS(EIAwtransport!$J$2:$J$675,EIAwtransport!$E$2:$E$675,Program_data!$E1386,EIAwtransport!$H$2:$H$675,Program_data!$F1386,EIAwtransport!$I$2:$I$675,Program_data!O$2)</f>
        <v>555000000</v>
      </c>
      <c r="P1386" s="5">
        <f>SUMIFS(EIAwtransport!$J$2:$J$675,EIAwtransport!$E$2:$E$675,Program_data!$E1386,EIAwtransport!$H$2:$H$675,Program_data!$F1386,EIAwtransport!$I$2:$I$675,Program_data!P$2)</f>
        <v>75825366.219932109</v>
      </c>
      <c r="Q1386" s="5">
        <f>SUMIFS(EIAwtransport!$J$2:$J$675,EIAwtransport!$E$2:$E$675,Program_data!$E1386,EIAwtransport!$H$2:$H$675,Program_data!$F1386,EIAwtransport!$I$2:$I$675,Program_data!Q$2)</f>
        <v>98444</v>
      </c>
      <c r="R1386" s="8">
        <f>SUMIFS(EIAwtransport!$J$2:$J$675,EIAwtransport!$E$2:$E$675,Program_data!$E1386,EIAwtransport!$I$2:$I$675,Program_data!R$2)</f>
        <v>1429680000</v>
      </c>
      <c r="S1386" s="5">
        <f>SUMIFS(EIAwtransport!$J$2:$J$675,EIAwtransport!$E$2:$E$675,Program_data!$E1386,EIAwtransport!$I$2:$I$675,Program_data!S$2)</f>
        <v>158285451.98410821</v>
      </c>
      <c r="T1386" s="5">
        <f>SUMIFS(EIAwtransport!$J$2:$J$675,EIAwtransport!$E$2:$E$675,Program_data!$E1386,EIAwtransport!$I$2:$I$675,Program_data!T$2)</f>
        <v>1074614</v>
      </c>
      <c r="U1386" s="24">
        <f t="shared" si="437"/>
        <v>8.4803458736586391E-5</v>
      </c>
      <c r="V1386" s="24">
        <f t="shared" si="440"/>
        <v>9.4226065262873761E-5</v>
      </c>
      <c r="W1386" s="24">
        <f t="shared" si="438"/>
        <v>1.3613105837491385E-4</v>
      </c>
      <c r="X1386" s="25">
        <f t="shared" si="439"/>
        <v>1.1868485587433662E-4</v>
      </c>
      <c r="Y1386" s="8">
        <f t="shared" si="430"/>
        <v>3.2919054250433732E-2</v>
      </c>
      <c r="Z1386" s="27">
        <f t="shared" si="431"/>
        <v>2.3873356681849527E-2</v>
      </c>
      <c r="AA1386" s="27"/>
      <c r="AB1386" s="27"/>
      <c r="AC1386" s="56">
        <f t="shared" si="441"/>
        <v>1.7053565601780122E-3</v>
      </c>
      <c r="AE1386" s="20" t="e">
        <f>#REF!*1.35</f>
        <v>#REF!</v>
      </c>
      <c r="AF1386" s="20">
        <f t="shared" si="442"/>
        <v>1930068000.0000002</v>
      </c>
      <c r="AG1386">
        <f t="shared" si="443"/>
        <v>20528923.860169895</v>
      </c>
      <c r="AH1386">
        <f t="shared" si="444"/>
        <v>0</v>
      </c>
      <c r="AI1386">
        <f t="shared" si="445"/>
        <v>16695949475.283735</v>
      </c>
    </row>
    <row r="1387" spans="2:35" x14ac:dyDescent="0.25">
      <c r="B1387" s="4">
        <v>2024</v>
      </c>
      <c r="C1387" s="4" t="s">
        <v>33</v>
      </c>
      <c r="D1387" s="1" t="s">
        <v>81</v>
      </c>
      <c r="E1387" s="4" t="s">
        <v>696</v>
      </c>
      <c r="F1387" s="11" t="s">
        <v>146</v>
      </c>
      <c r="G1387" s="11"/>
      <c r="H1387" s="11" t="s">
        <v>763</v>
      </c>
      <c r="I1387" s="11"/>
      <c r="J1387" s="11" t="s">
        <v>21</v>
      </c>
      <c r="K1387" s="5">
        <v>264734.42208652041</v>
      </c>
      <c r="L1387" s="5">
        <v>294149.35787391162</v>
      </c>
      <c r="M1387" s="8">
        <v>99862.906497458491</v>
      </c>
      <c r="N1387" s="8">
        <v>0</v>
      </c>
      <c r="O1387" s="8">
        <f>SUMIFS(EIAwtransport!$J$2:$J$675,EIAwtransport!$E$2:$E$675,Program_data!$E1387,EIAwtransport!$H$2:$H$675,Program_data!$F1387,EIAwtransport!$I$2:$I$675,Program_data!O$2)</f>
        <v>555000000</v>
      </c>
      <c r="P1387" s="5">
        <f>SUMIFS(EIAwtransport!$J$2:$J$675,EIAwtransport!$E$2:$E$675,Program_data!$E1387,EIAwtransport!$H$2:$H$675,Program_data!$F1387,EIAwtransport!$I$2:$I$675,Program_data!P$2)</f>
        <v>75825366.219932109</v>
      </c>
      <c r="Q1387" s="5">
        <f>SUMIFS(EIAwtransport!$J$2:$J$675,EIAwtransport!$E$2:$E$675,Program_data!$E1387,EIAwtransport!$H$2:$H$675,Program_data!$F1387,EIAwtransport!$I$2:$I$675,Program_data!Q$2)</f>
        <v>98444</v>
      </c>
      <c r="R1387" s="8">
        <f>SUMIFS(EIAwtransport!$J$2:$J$675,EIAwtransport!$E$2:$E$675,Program_data!$E1387,EIAwtransport!$I$2:$I$675,Program_data!R$2)</f>
        <v>1429680000</v>
      </c>
      <c r="S1387" s="5">
        <f>SUMIFS(EIAwtransport!$J$2:$J$675,EIAwtransport!$E$2:$E$675,Program_data!$E1387,EIAwtransport!$I$2:$I$675,Program_data!S$2)</f>
        <v>158285451.98410821</v>
      </c>
      <c r="T1387" s="5">
        <f>SUMIFS(EIAwtransport!$J$2:$J$675,EIAwtransport!$E$2:$E$675,Program_data!$E1387,EIAwtransport!$I$2:$I$675,Program_data!T$2)</f>
        <v>1074614</v>
      </c>
      <c r="U1387" s="24">
        <f t="shared" si="437"/>
        <v>1.6143944579305108E-4</v>
      </c>
      <c r="V1387" s="24">
        <f t="shared" si="440"/>
        <v>1.7937716199227903E-4</v>
      </c>
      <c r="W1387" s="24">
        <f t="shared" si="438"/>
        <v>6.98498310793034E-5</v>
      </c>
      <c r="X1387" s="25">
        <f t="shared" si="439"/>
        <v>6.0898058337740663E-5</v>
      </c>
      <c r="Y1387" s="8">
        <f t="shared" si="430"/>
        <v>1.6891004934014024E-2</v>
      </c>
      <c r="Z1387" s="27">
        <f t="shared" si="431"/>
        <v>1.2249592058048995E-2</v>
      </c>
      <c r="AA1387" s="27"/>
      <c r="AB1387" s="27"/>
      <c r="AC1387" s="56">
        <f t="shared" si="441"/>
        <v>8.7503079077189637E-4</v>
      </c>
      <c r="AE1387" s="20" t="e">
        <f>#REF!*1.35</f>
        <v>#REF!</v>
      </c>
      <c r="AF1387" s="20">
        <f t="shared" si="442"/>
        <v>1930068000.0000002</v>
      </c>
      <c r="AG1387">
        <f t="shared" si="443"/>
        <v>10533539.377351923</v>
      </c>
      <c r="AH1387">
        <f t="shared" si="444"/>
        <v>0</v>
      </c>
      <c r="AI1387">
        <f t="shared" si="445"/>
        <v>16695949475.283735</v>
      </c>
    </row>
    <row r="1388" spans="2:35" x14ac:dyDescent="0.25">
      <c r="B1388" s="4">
        <v>2024</v>
      </c>
      <c r="C1388" s="4" t="s">
        <v>33</v>
      </c>
      <c r="D1388" s="1" t="s">
        <v>81</v>
      </c>
      <c r="E1388" s="4" t="s">
        <v>696</v>
      </c>
      <c r="F1388" s="4" t="s">
        <v>146</v>
      </c>
      <c r="G1388" s="11"/>
      <c r="H1388" s="11" t="s">
        <v>764</v>
      </c>
      <c r="I1388" s="11"/>
      <c r="J1388" s="11" t="s">
        <v>21</v>
      </c>
      <c r="K1388" s="92">
        <v>1677.8942244920306</v>
      </c>
      <c r="L1388" s="92">
        <v>1864.3269161022567</v>
      </c>
      <c r="M1388" s="93">
        <v>4793.4195118780081</v>
      </c>
      <c r="N1388" s="8">
        <v>0</v>
      </c>
      <c r="O1388" s="8">
        <f>SUMIFS(EIAwtransport!$J$2:$J$675,EIAwtransport!$E$2:$E$675,Program_data!$E1388,EIAwtransport!$H$2:$H$675,Program_data!$F1388,EIAwtransport!$I$2:$I$675,Program_data!O$2)</f>
        <v>555000000</v>
      </c>
      <c r="P1388" s="5">
        <f>SUMIFS(EIAwtransport!$J$2:$J$675,EIAwtransport!$E$2:$E$675,Program_data!$E1388,EIAwtransport!$H$2:$H$675,Program_data!$F1388,EIAwtransport!$I$2:$I$675,Program_data!P$2)</f>
        <v>75825366.219932109</v>
      </c>
      <c r="Q1388" s="5">
        <f>SUMIFS(EIAwtransport!$J$2:$J$675,EIAwtransport!$E$2:$E$675,Program_data!$E1388,EIAwtransport!$H$2:$H$675,Program_data!$F1388,EIAwtransport!$I$2:$I$675,Program_data!Q$2)</f>
        <v>98444</v>
      </c>
      <c r="R1388" s="8">
        <f>SUMIFS(EIAwtransport!$J$2:$J$675,EIAwtransport!$E$2:$E$675,Program_data!$E1388,EIAwtransport!$I$2:$I$675,Program_data!R$2)</f>
        <v>1429680000</v>
      </c>
      <c r="S1388" s="5">
        <f>SUMIFS(EIAwtransport!$J$2:$J$675,EIAwtransport!$E$2:$E$675,Program_data!$E1388,EIAwtransport!$I$2:$I$675,Program_data!S$2)</f>
        <v>158285451.98410821</v>
      </c>
      <c r="T1388" s="5">
        <f>SUMIFS(EIAwtransport!$J$2:$J$675,EIAwtransport!$E$2:$E$675,Program_data!$E1388,EIAwtransport!$I$2:$I$675,Program_data!T$2)</f>
        <v>1074614</v>
      </c>
      <c r="U1388" s="24">
        <f t="shared" si="437"/>
        <v>1.0232077550263801E-6</v>
      </c>
      <c r="V1388" s="24">
        <f t="shared" si="440"/>
        <v>1.136897505584867E-6</v>
      </c>
      <c r="W1388" s="24">
        <f t="shared" si="438"/>
        <v>3.3527918918065636E-6</v>
      </c>
      <c r="X1388" s="25">
        <f t="shared" si="439"/>
        <v>2.9231068002115521E-6</v>
      </c>
      <c r="Y1388" s="8">
        <f t="shared" si="430"/>
        <v>8.1076823683267328E-4</v>
      </c>
      <c r="Z1388" s="27">
        <f t="shared" si="431"/>
        <v>5.8798041878635173E-4</v>
      </c>
      <c r="AA1388" s="27"/>
      <c r="AB1388" s="27"/>
      <c r="AC1388" s="56">
        <f t="shared" si="441"/>
        <v>4.2001477957051033E-5</v>
      </c>
      <c r="AE1388" s="20" t="e">
        <f>#REF!*1.35</f>
        <v>#REF!</v>
      </c>
      <c r="AF1388" s="20">
        <f t="shared" si="442"/>
        <v>1930068000.0000002</v>
      </c>
      <c r="AG1388">
        <f t="shared" si="443"/>
        <v>505609.89011289232</v>
      </c>
      <c r="AH1388">
        <f t="shared" si="444"/>
        <v>0</v>
      </c>
      <c r="AI1388">
        <f t="shared" si="445"/>
        <v>16695949475.283735</v>
      </c>
    </row>
    <row r="1389" spans="2:35" x14ac:dyDescent="0.25">
      <c r="B1389" s="4">
        <v>2024</v>
      </c>
      <c r="C1389" s="4" t="s">
        <v>33</v>
      </c>
      <c r="D1389" s="1" t="s">
        <v>81</v>
      </c>
      <c r="E1389" s="4" t="s">
        <v>696</v>
      </c>
      <c r="F1389" s="4" t="s">
        <v>146</v>
      </c>
      <c r="G1389" s="11"/>
      <c r="H1389" s="11" t="s">
        <v>765</v>
      </c>
      <c r="I1389" s="11"/>
      <c r="J1389" s="11" t="s">
        <v>21</v>
      </c>
      <c r="K1389" s="92">
        <v>3915.0865238147389</v>
      </c>
      <c r="L1389" s="92">
        <v>4350.0961375719326</v>
      </c>
      <c r="M1389" s="93">
        <v>15382.101579208527</v>
      </c>
      <c r="N1389" s="8">
        <v>0</v>
      </c>
      <c r="O1389" s="8">
        <f>SUMIFS(EIAwtransport!$J$2:$J$675,EIAwtransport!$E$2:$E$675,Program_data!$E1389,EIAwtransport!$H$2:$H$675,Program_data!$F1389,EIAwtransport!$I$2:$I$675,Program_data!O$2)</f>
        <v>555000000</v>
      </c>
      <c r="P1389" s="5">
        <f>SUMIFS(EIAwtransport!$J$2:$J$675,EIAwtransport!$E$2:$E$675,Program_data!$E1389,EIAwtransport!$H$2:$H$675,Program_data!$F1389,EIAwtransport!$I$2:$I$675,Program_data!P$2)</f>
        <v>75825366.219932109</v>
      </c>
      <c r="Q1389" s="5">
        <f>SUMIFS(EIAwtransport!$J$2:$J$675,EIAwtransport!$E$2:$E$675,Program_data!$E1389,EIAwtransport!$H$2:$H$675,Program_data!$F1389,EIAwtransport!$I$2:$I$675,Program_data!Q$2)</f>
        <v>98444</v>
      </c>
      <c r="R1389" s="8">
        <f>SUMIFS(EIAwtransport!$J$2:$J$675,EIAwtransport!$E$2:$E$675,Program_data!$E1389,EIAwtransport!$I$2:$I$675,Program_data!R$2)</f>
        <v>1429680000</v>
      </c>
      <c r="S1389" s="5">
        <f>SUMIFS(EIAwtransport!$J$2:$J$675,EIAwtransport!$E$2:$E$675,Program_data!$E1389,EIAwtransport!$I$2:$I$675,Program_data!S$2)</f>
        <v>158285451.98410821</v>
      </c>
      <c r="T1389" s="5">
        <f>SUMIFS(EIAwtransport!$J$2:$J$675,EIAwtransport!$E$2:$E$675,Program_data!$E1389,EIAwtransport!$I$2:$I$675,Program_data!T$2)</f>
        <v>1074614</v>
      </c>
      <c r="U1389" s="24">
        <f t="shared" si="437"/>
        <v>2.3874847617282206E-6</v>
      </c>
      <c r="V1389" s="24">
        <f t="shared" si="440"/>
        <v>2.6527608463646899E-6</v>
      </c>
      <c r="W1389" s="24">
        <f t="shared" si="438"/>
        <v>1.0759122026753209E-5</v>
      </c>
      <c r="X1389" s="25">
        <f t="shared" si="439"/>
        <v>9.3802609215217831E-6</v>
      </c>
      <c r="Y1389" s="8">
        <f t="shared" si="430"/>
        <v>2.6017583783877604E-3</v>
      </c>
      <c r="Z1389" s="27">
        <f t="shared" si="431"/>
        <v>1.8868314166839422E-3</v>
      </c>
      <c r="AA1389" s="27"/>
      <c r="AB1389" s="27"/>
      <c r="AC1389" s="56">
        <f t="shared" si="441"/>
        <v>1.3478290368937966E-4</v>
      </c>
      <c r="AE1389" s="20" t="e">
        <f>#REF!*1.35</f>
        <v>#REF!</v>
      </c>
      <c r="AF1389" s="20">
        <f t="shared" si="442"/>
        <v>1930068000.0000002</v>
      </c>
      <c r="AG1389">
        <f t="shared" si="443"/>
        <v>1622504.0745749155</v>
      </c>
      <c r="AH1389">
        <f t="shared" si="444"/>
        <v>0</v>
      </c>
      <c r="AI1389">
        <f t="shared" si="445"/>
        <v>16695949475.283735</v>
      </c>
    </row>
    <row r="1390" spans="2:35" x14ac:dyDescent="0.25">
      <c r="B1390" s="4">
        <v>2024</v>
      </c>
      <c r="C1390" s="4" t="s">
        <v>33</v>
      </c>
      <c r="D1390" s="1" t="s">
        <v>81</v>
      </c>
      <c r="E1390" s="4" t="s">
        <v>696</v>
      </c>
      <c r="F1390" s="4" t="s">
        <v>146</v>
      </c>
      <c r="G1390" s="11"/>
      <c r="H1390" s="11" t="s">
        <v>766</v>
      </c>
      <c r="I1390" s="11"/>
      <c r="J1390" s="11" t="s">
        <v>21</v>
      </c>
      <c r="K1390" s="92">
        <v>7457.3076644090261</v>
      </c>
      <c r="L1390" s="92">
        <v>8285.8974048989185</v>
      </c>
      <c r="M1390" s="93">
        <v>44940.603622856259</v>
      </c>
      <c r="N1390" s="8">
        <v>0</v>
      </c>
      <c r="O1390" s="8">
        <f>SUMIFS(EIAwtransport!$J$2:$J$675,EIAwtransport!$E$2:$E$675,Program_data!$E1390,EIAwtransport!$H$2:$H$675,Program_data!$F1390,EIAwtransport!$I$2:$I$675,Program_data!O$2)</f>
        <v>555000000</v>
      </c>
      <c r="P1390" s="5">
        <f>SUMIFS(EIAwtransport!$J$2:$J$675,EIAwtransport!$E$2:$E$675,Program_data!$E1390,EIAwtransport!$H$2:$H$675,Program_data!$F1390,EIAwtransport!$I$2:$I$675,Program_data!P$2)</f>
        <v>75825366.219932109</v>
      </c>
      <c r="Q1390" s="5">
        <f>SUMIFS(EIAwtransport!$J$2:$J$675,EIAwtransport!$E$2:$E$675,Program_data!$E1390,EIAwtransport!$H$2:$H$675,Program_data!$F1390,EIAwtransport!$I$2:$I$675,Program_data!Q$2)</f>
        <v>98444</v>
      </c>
      <c r="R1390" s="8">
        <f>SUMIFS(EIAwtransport!$J$2:$J$675,EIAwtransport!$E$2:$E$675,Program_data!$E1390,EIAwtransport!$I$2:$I$675,Program_data!R$2)</f>
        <v>1429680000</v>
      </c>
      <c r="S1390" s="5">
        <f>SUMIFS(EIAwtransport!$J$2:$J$675,EIAwtransport!$E$2:$E$675,Program_data!$E1390,EIAwtransport!$I$2:$I$675,Program_data!S$2)</f>
        <v>158285451.98410821</v>
      </c>
      <c r="T1390" s="5">
        <f>SUMIFS(EIAwtransport!$J$2:$J$675,EIAwtransport!$E$2:$E$675,Program_data!$E1390,EIAwtransport!$I$2:$I$675,Program_data!T$2)</f>
        <v>1074614</v>
      </c>
      <c r="U1390" s="24">
        <f t="shared" si="437"/>
        <v>4.5475900223394678E-6</v>
      </c>
      <c r="V1390" s="24">
        <f t="shared" si="440"/>
        <v>5.0528778025994089E-6</v>
      </c>
      <c r="W1390" s="24">
        <f t="shared" si="438"/>
        <v>3.1434029728929731E-5</v>
      </c>
      <c r="X1390" s="25">
        <f t="shared" si="439"/>
        <v>2.7405526207347382E-5</v>
      </c>
      <c r="Y1390" s="8">
        <f t="shared" si="430"/>
        <v>7.6013405192703106E-3</v>
      </c>
      <c r="Z1390" s="27">
        <f t="shared" si="431"/>
        <v>5.5125980259394733E-3</v>
      </c>
      <c r="AA1390" s="27"/>
      <c r="AB1390" s="27"/>
      <c r="AC1390" s="56">
        <f t="shared" si="441"/>
        <v>3.9378397149771591E-4</v>
      </c>
      <c r="AE1390" s="20" t="e">
        <f>#REF!*1.35</f>
        <v>#REF!</v>
      </c>
      <c r="AF1390" s="20">
        <f t="shared" si="442"/>
        <v>1930068000.0000002</v>
      </c>
      <c r="AG1390">
        <f t="shared" si="443"/>
        <v>4740334.870138878</v>
      </c>
      <c r="AH1390">
        <f t="shared" si="444"/>
        <v>0</v>
      </c>
      <c r="AI1390">
        <f t="shared" si="445"/>
        <v>16695949475.283735</v>
      </c>
    </row>
    <row r="1391" spans="2:35" x14ac:dyDescent="0.25">
      <c r="B1391" s="4">
        <v>2024</v>
      </c>
      <c r="C1391" s="4" t="s">
        <v>33</v>
      </c>
      <c r="D1391" s="1" t="s">
        <v>81</v>
      </c>
      <c r="E1391" s="4" t="s">
        <v>696</v>
      </c>
      <c r="F1391" s="4" t="s">
        <v>146</v>
      </c>
      <c r="G1391" s="11"/>
      <c r="H1391" s="11" t="s">
        <v>767</v>
      </c>
      <c r="I1391" s="11"/>
      <c r="J1391" s="11" t="s">
        <v>21</v>
      </c>
      <c r="K1391" s="92">
        <v>993304.0878610207</v>
      </c>
      <c r="L1391" s="92">
        <v>1103671.2087344674</v>
      </c>
      <c r="M1391" s="93">
        <v>2242545.7119748653</v>
      </c>
      <c r="N1391" s="8">
        <v>0</v>
      </c>
      <c r="O1391" s="8">
        <f>SUMIFS(EIAwtransport!$J$2:$J$675,EIAwtransport!$E$2:$E$675,Program_data!$E1391,EIAwtransport!$H$2:$H$675,Program_data!$F1391,EIAwtransport!$I$2:$I$675,Program_data!O$2)</f>
        <v>555000000</v>
      </c>
      <c r="P1391" s="5">
        <f>SUMIFS(EIAwtransport!$J$2:$J$675,EIAwtransport!$E$2:$E$675,Program_data!$E1391,EIAwtransport!$H$2:$H$675,Program_data!$F1391,EIAwtransport!$I$2:$I$675,Program_data!P$2)</f>
        <v>75825366.219932109</v>
      </c>
      <c r="Q1391" s="5">
        <f>SUMIFS(EIAwtransport!$J$2:$J$675,EIAwtransport!$E$2:$E$675,Program_data!$E1391,EIAwtransport!$H$2:$H$675,Program_data!$F1391,EIAwtransport!$I$2:$I$675,Program_data!Q$2)</f>
        <v>98444</v>
      </c>
      <c r="R1391" s="8">
        <f>SUMIFS(EIAwtransport!$J$2:$J$675,EIAwtransport!$E$2:$E$675,Program_data!$E1391,EIAwtransport!$I$2:$I$675,Program_data!R$2)</f>
        <v>1429680000</v>
      </c>
      <c r="S1391" s="5">
        <f>SUMIFS(EIAwtransport!$J$2:$J$675,EIAwtransport!$E$2:$E$675,Program_data!$E1391,EIAwtransport!$I$2:$I$675,Program_data!S$2)</f>
        <v>158285451.98410821</v>
      </c>
      <c r="T1391" s="5">
        <f>SUMIFS(EIAwtransport!$J$2:$J$675,EIAwtransport!$E$2:$E$675,Program_data!$E1391,EIAwtransport!$I$2:$I$675,Program_data!T$2)</f>
        <v>1074614</v>
      </c>
      <c r="U1391" s="24">
        <f t="shared" si="437"/>
        <v>6.057333239265992E-4</v>
      </c>
      <c r="V1391" s="24">
        <f t="shared" si="440"/>
        <v>6.7303702658511023E-4</v>
      </c>
      <c r="W1391" s="24">
        <f t="shared" si="438"/>
        <v>1.5685647921037332E-3</v>
      </c>
      <c r="X1391" s="25">
        <f t="shared" si="439"/>
        <v>1.3675416066161778E-3</v>
      </c>
      <c r="Y1391" s="8">
        <f t="shared" si="430"/>
        <v>0.37930851418472844</v>
      </c>
      <c r="Z1391" s="27">
        <f t="shared" si="431"/>
        <v>0.27507981798945791</v>
      </c>
      <c r="AA1391" s="27"/>
      <c r="AB1391" s="27"/>
      <c r="AC1391" s="56">
        <f t="shared" si="441"/>
        <v>1.9649904218854597E-2</v>
      </c>
      <c r="AE1391" s="20" t="e">
        <f>#REF!*1.35</f>
        <v>#REF!</v>
      </c>
      <c r="AF1391" s="20">
        <f t="shared" si="442"/>
        <v>1930068000.0000002</v>
      </c>
      <c r="AG1391">
        <f t="shared" si="443"/>
        <v>236543721.69910881</v>
      </c>
      <c r="AH1391">
        <f t="shared" si="444"/>
        <v>0</v>
      </c>
      <c r="AI1391">
        <f t="shared" si="445"/>
        <v>16695949475.283735</v>
      </c>
    </row>
    <row r="1392" spans="2:35" x14ac:dyDescent="0.25">
      <c r="B1392" s="4">
        <v>2024</v>
      </c>
      <c r="C1392" s="4" t="s">
        <v>33</v>
      </c>
      <c r="D1392" s="1" t="s">
        <v>81</v>
      </c>
      <c r="E1392" s="4" t="s">
        <v>696</v>
      </c>
      <c r="F1392" s="4" t="s">
        <v>146</v>
      </c>
      <c r="G1392" s="11"/>
      <c r="H1392" s="11" t="s">
        <v>768</v>
      </c>
      <c r="I1392" s="11"/>
      <c r="J1392" s="11" t="s">
        <v>21</v>
      </c>
      <c r="K1392" s="92">
        <v>0</v>
      </c>
      <c r="L1392" s="92">
        <v>0</v>
      </c>
      <c r="M1392" s="93">
        <v>504572.78519434476</v>
      </c>
      <c r="N1392" s="8">
        <v>0</v>
      </c>
      <c r="O1392" s="8">
        <f>SUMIFS(EIAwtransport!$J$2:$J$675,EIAwtransport!$E$2:$E$675,Program_data!$E1392,EIAwtransport!$H$2:$H$675,Program_data!$F1392,EIAwtransport!$I$2:$I$675,Program_data!O$2)</f>
        <v>555000000</v>
      </c>
      <c r="P1392" s="5">
        <f>SUMIFS(EIAwtransport!$J$2:$J$675,EIAwtransport!$E$2:$E$675,Program_data!$E1392,EIAwtransport!$H$2:$H$675,Program_data!$F1392,EIAwtransport!$I$2:$I$675,Program_data!P$2)</f>
        <v>75825366.219932109</v>
      </c>
      <c r="Q1392" s="5">
        <f>SUMIFS(EIAwtransport!$J$2:$J$675,EIAwtransport!$E$2:$E$675,Program_data!$E1392,EIAwtransport!$H$2:$H$675,Program_data!$F1392,EIAwtransport!$I$2:$I$675,Program_data!Q$2)</f>
        <v>98444</v>
      </c>
      <c r="R1392" s="8">
        <f>SUMIFS(EIAwtransport!$J$2:$J$675,EIAwtransport!$E$2:$E$675,Program_data!$E1392,EIAwtransport!$I$2:$I$675,Program_data!R$2)</f>
        <v>1429680000</v>
      </c>
      <c r="S1392" s="5">
        <f>SUMIFS(EIAwtransport!$J$2:$J$675,EIAwtransport!$E$2:$E$675,Program_data!$E1392,EIAwtransport!$I$2:$I$675,Program_data!S$2)</f>
        <v>158285451.98410821</v>
      </c>
      <c r="T1392" s="5">
        <f>SUMIFS(EIAwtransport!$J$2:$J$675,EIAwtransport!$E$2:$E$675,Program_data!$E1392,EIAwtransport!$I$2:$I$675,Program_data!T$2)</f>
        <v>1074614</v>
      </c>
      <c r="U1392" s="24">
        <f t="shared" si="437"/>
        <v>0</v>
      </c>
      <c r="V1392" s="24">
        <f t="shared" si="440"/>
        <v>0</v>
      </c>
      <c r="W1392" s="24">
        <f t="shared" si="438"/>
        <v>3.5292707822334003E-4</v>
      </c>
      <c r="X1392" s="25">
        <f t="shared" si="439"/>
        <v>3.0769686148864007E-4</v>
      </c>
      <c r="Y1392" s="8">
        <f t="shared" si="430"/>
        <v>8.534441569156391E-2</v>
      </c>
      <c r="Z1392" s="27">
        <f t="shared" si="431"/>
        <v>6.1892959047628038E-2</v>
      </c>
      <c r="AA1392" s="27"/>
      <c r="AB1392" s="27"/>
      <c r="AC1392" s="56">
        <f t="shared" si="441"/>
        <v>4.421228449242285E-3</v>
      </c>
      <c r="AE1392" s="20" t="e">
        <f>#REF!*1.35</f>
        <v>#REF!</v>
      </c>
      <c r="AF1392" s="20">
        <f t="shared" si="442"/>
        <v>1930068000.0000002</v>
      </c>
      <c r="AG1392">
        <f t="shared" si="443"/>
        <v>53222337.38229949</v>
      </c>
      <c r="AH1392">
        <f t="shared" si="444"/>
        <v>0</v>
      </c>
      <c r="AI1392">
        <f t="shared" si="445"/>
        <v>16695949475.283735</v>
      </c>
    </row>
    <row r="1393" spans="2:35" x14ac:dyDescent="0.25">
      <c r="B1393" s="4">
        <v>2024</v>
      </c>
      <c r="C1393" s="4" t="s">
        <v>33</v>
      </c>
      <c r="D1393" s="1" t="s">
        <v>81</v>
      </c>
      <c r="E1393" s="4" t="s">
        <v>696</v>
      </c>
      <c r="F1393" s="4" t="s">
        <v>146</v>
      </c>
      <c r="G1393" s="11"/>
      <c r="H1393" s="11" t="s">
        <v>769</v>
      </c>
      <c r="I1393" s="11"/>
      <c r="J1393" s="11" t="s">
        <v>21</v>
      </c>
      <c r="K1393" s="92">
        <v>12912.953142193268</v>
      </c>
      <c r="L1393" s="92">
        <v>14347.725713548074</v>
      </c>
      <c r="M1393" s="93">
        <v>74751.523732495523</v>
      </c>
      <c r="N1393" s="8">
        <v>0</v>
      </c>
      <c r="O1393" s="8">
        <f>SUMIFS(EIAwtransport!$J$2:$J$675,EIAwtransport!$E$2:$E$675,Program_data!$E1393,EIAwtransport!$H$2:$H$675,Program_data!$F1393,EIAwtransport!$I$2:$I$675,Program_data!O$2)</f>
        <v>555000000</v>
      </c>
      <c r="P1393" s="5">
        <f>SUMIFS(EIAwtransport!$J$2:$J$675,EIAwtransport!$E$2:$E$675,Program_data!$E1393,EIAwtransport!$H$2:$H$675,Program_data!$F1393,EIAwtransport!$I$2:$I$675,Program_data!P$2)</f>
        <v>75825366.219932109</v>
      </c>
      <c r="Q1393" s="5">
        <f>SUMIFS(EIAwtransport!$J$2:$J$675,EIAwtransport!$E$2:$E$675,Program_data!$E1393,EIAwtransport!$H$2:$H$675,Program_data!$F1393,EIAwtransport!$I$2:$I$675,Program_data!Q$2)</f>
        <v>98444</v>
      </c>
      <c r="R1393" s="8">
        <f>SUMIFS(EIAwtransport!$J$2:$J$675,EIAwtransport!$E$2:$E$675,Program_data!$E1393,EIAwtransport!$I$2:$I$675,Program_data!R$2)</f>
        <v>1429680000</v>
      </c>
      <c r="S1393" s="5">
        <f>SUMIFS(EIAwtransport!$J$2:$J$675,EIAwtransport!$E$2:$E$675,Program_data!$E1393,EIAwtransport!$I$2:$I$675,Program_data!S$2)</f>
        <v>158285451.98410821</v>
      </c>
      <c r="T1393" s="5">
        <f>SUMIFS(EIAwtransport!$J$2:$J$675,EIAwtransport!$E$2:$E$675,Program_data!$E1393,EIAwtransport!$I$2:$I$675,Program_data!T$2)</f>
        <v>1074614</v>
      </c>
      <c r="U1393" s="24">
        <f t="shared" si="437"/>
        <v>7.8745332110457898E-6</v>
      </c>
      <c r="V1393" s="24">
        <f t="shared" si="440"/>
        <v>8.7494813456064318E-6</v>
      </c>
      <c r="W1393" s="24">
        <f t="shared" si="438"/>
        <v>5.2285493070124449E-5</v>
      </c>
      <c r="X1393" s="25">
        <f t="shared" si="439"/>
        <v>4.5584720220539264E-5</v>
      </c>
      <c r="Y1393" s="8">
        <f t="shared" si="430"/>
        <v>1.2643617139490949E-2</v>
      </c>
      <c r="Z1393" s="27">
        <f t="shared" si="431"/>
        <v>9.1693272663152664E-3</v>
      </c>
      <c r="AA1393" s="27"/>
      <c r="AB1393" s="27"/>
      <c r="AC1393" s="56">
        <f t="shared" si="441"/>
        <v>6.5499680729515339E-4</v>
      </c>
      <c r="AE1393" s="20" t="e">
        <f>#REF!*1.35</f>
        <v>#REF!</v>
      </c>
      <c r="AF1393" s="20">
        <f t="shared" si="442"/>
        <v>1930068000.0000002</v>
      </c>
      <c r="AG1393">
        <f t="shared" si="443"/>
        <v>7884790.7233036282</v>
      </c>
      <c r="AH1393">
        <f t="shared" si="444"/>
        <v>0</v>
      </c>
      <c r="AI1393">
        <f t="shared" si="445"/>
        <v>16695949475.283735</v>
      </c>
    </row>
    <row r="1394" spans="2:35" x14ac:dyDescent="0.25">
      <c r="B1394" s="4">
        <v>2024</v>
      </c>
      <c r="C1394" s="4" t="s">
        <v>33</v>
      </c>
      <c r="D1394" s="1" t="s">
        <v>81</v>
      </c>
      <c r="E1394" s="4" t="s">
        <v>696</v>
      </c>
      <c r="F1394" s="4" t="s">
        <v>146</v>
      </c>
      <c r="G1394" s="11"/>
      <c r="H1394" s="11" t="s">
        <v>770</v>
      </c>
      <c r="I1394" s="11"/>
      <c r="J1394" s="11" t="s">
        <v>68</v>
      </c>
      <c r="K1394" s="92">
        <v>1241630.1098262758</v>
      </c>
      <c r="L1394" s="92">
        <v>1379589.0109180838</v>
      </c>
      <c r="M1394" s="93">
        <v>524755.69660211855</v>
      </c>
      <c r="N1394" s="8">
        <v>0</v>
      </c>
      <c r="O1394" s="8">
        <f>SUMIFS(EIAwtransport!$J$2:$J$675,EIAwtransport!$E$2:$E$675,Program_data!$E1394,EIAwtransport!$H$2:$H$675,Program_data!$F1394,EIAwtransport!$I$2:$I$675,Program_data!O$2)</f>
        <v>555000000</v>
      </c>
      <c r="P1394" s="5">
        <f>SUMIFS(EIAwtransport!$J$2:$J$675,EIAwtransport!$E$2:$E$675,Program_data!$E1394,EIAwtransport!$H$2:$H$675,Program_data!$F1394,EIAwtransport!$I$2:$I$675,Program_data!P$2)</f>
        <v>75825366.219932109</v>
      </c>
      <c r="Q1394" s="5">
        <f>SUMIFS(EIAwtransport!$J$2:$J$675,EIAwtransport!$E$2:$E$675,Program_data!$E1394,EIAwtransport!$H$2:$H$675,Program_data!$F1394,EIAwtransport!$I$2:$I$675,Program_data!Q$2)</f>
        <v>98444</v>
      </c>
      <c r="R1394" s="8">
        <f>SUMIFS(EIAwtransport!$J$2:$J$675,EIAwtransport!$E$2:$E$675,Program_data!$E1394,EIAwtransport!$I$2:$I$675,Program_data!R$2)</f>
        <v>1429680000</v>
      </c>
      <c r="S1394" s="5">
        <f>SUMIFS(EIAwtransport!$J$2:$J$675,EIAwtransport!$E$2:$E$675,Program_data!$E1394,EIAwtransport!$I$2:$I$675,Program_data!S$2)</f>
        <v>158285451.98410821</v>
      </c>
      <c r="T1394" s="5">
        <f>SUMIFS(EIAwtransport!$J$2:$J$675,EIAwtransport!$E$2:$E$675,Program_data!$E1394,EIAwtransport!$I$2:$I$675,Program_data!T$2)</f>
        <v>1074614</v>
      </c>
      <c r="U1394" s="24">
        <f t="shared" si="437"/>
        <v>7.5716665490824903E-4</v>
      </c>
      <c r="V1394" s="24">
        <f t="shared" si="440"/>
        <v>8.4129628323138762E-4</v>
      </c>
      <c r="W1394" s="24">
        <f t="shared" si="438"/>
        <v>3.6704416135227363E-4</v>
      </c>
      <c r="X1394" s="25">
        <f t="shared" si="439"/>
        <v>3.2000473594818562E-4</v>
      </c>
      <c r="Y1394" s="8">
        <f t="shared" si="430"/>
        <v>8.8758192319226464E-2</v>
      </c>
      <c r="Z1394" s="27">
        <f t="shared" si="431"/>
        <v>6.4368677409533157E-2</v>
      </c>
      <c r="AA1394" s="27"/>
      <c r="AB1394" s="27"/>
      <c r="AC1394" s="56">
        <f t="shared" si="441"/>
        <v>4.598077587211976E-3</v>
      </c>
      <c r="AE1394" s="20" t="e">
        <f>#REF!*1.35</f>
        <v>#REF!</v>
      </c>
      <c r="AF1394" s="20">
        <f t="shared" si="442"/>
        <v>1930068000.0000002</v>
      </c>
      <c r="AG1394">
        <f t="shared" si="443"/>
        <v>55351230.877591468</v>
      </c>
      <c r="AH1394">
        <f t="shared" si="444"/>
        <v>0</v>
      </c>
      <c r="AI1394">
        <f t="shared" si="445"/>
        <v>16695949475.283735</v>
      </c>
    </row>
    <row r="1395" spans="2:35" x14ac:dyDescent="0.25">
      <c r="B1395" s="4">
        <v>2024</v>
      </c>
      <c r="C1395" s="4" t="s">
        <v>33</v>
      </c>
      <c r="D1395" s="1" t="s">
        <v>81</v>
      </c>
      <c r="E1395" s="4" t="s">
        <v>696</v>
      </c>
      <c r="F1395" s="4" t="s">
        <v>146</v>
      </c>
      <c r="G1395" s="11"/>
      <c r="H1395" s="11" t="s">
        <v>771</v>
      </c>
      <c r="I1395" s="11"/>
      <c r="J1395" s="11" t="s">
        <v>68</v>
      </c>
      <c r="K1395" s="92">
        <v>496652.04393051035</v>
      </c>
      <c r="L1395" s="92">
        <v>551835.6043672337</v>
      </c>
      <c r="M1395" s="93">
        <v>655294.28249617538</v>
      </c>
      <c r="N1395" s="8">
        <v>0</v>
      </c>
      <c r="O1395" s="8">
        <f>SUMIFS(EIAwtransport!$J$2:$J$675,EIAwtransport!$E$2:$E$675,Program_data!$E1395,EIAwtransport!$H$2:$H$675,Program_data!$F1395,EIAwtransport!$I$2:$I$675,Program_data!O$2)</f>
        <v>555000000</v>
      </c>
      <c r="P1395" s="5">
        <f>SUMIFS(EIAwtransport!$J$2:$J$675,EIAwtransport!$E$2:$E$675,Program_data!$E1395,EIAwtransport!$H$2:$H$675,Program_data!$F1395,EIAwtransport!$I$2:$I$675,Program_data!P$2)</f>
        <v>75825366.219932109</v>
      </c>
      <c r="Q1395" s="5">
        <f>SUMIFS(EIAwtransport!$J$2:$J$675,EIAwtransport!$E$2:$E$675,Program_data!$E1395,EIAwtransport!$H$2:$H$675,Program_data!$F1395,EIAwtransport!$I$2:$I$675,Program_data!Q$2)</f>
        <v>98444</v>
      </c>
      <c r="R1395" s="8">
        <f>SUMIFS(EIAwtransport!$J$2:$J$675,EIAwtransport!$E$2:$E$675,Program_data!$E1395,EIAwtransport!$I$2:$I$675,Program_data!R$2)</f>
        <v>1429680000</v>
      </c>
      <c r="S1395" s="5">
        <f>SUMIFS(EIAwtransport!$J$2:$J$675,EIAwtransport!$E$2:$E$675,Program_data!$E1395,EIAwtransport!$I$2:$I$675,Program_data!S$2)</f>
        <v>158285451.98410821</v>
      </c>
      <c r="T1395" s="5">
        <f>SUMIFS(EIAwtransport!$J$2:$J$675,EIAwtransport!$E$2:$E$675,Program_data!$E1395,EIAwtransport!$I$2:$I$675,Program_data!T$2)</f>
        <v>1074614</v>
      </c>
      <c r="U1395" s="24">
        <f t="shared" si="437"/>
        <v>3.028666619632996E-4</v>
      </c>
      <c r="V1395" s="24">
        <f t="shared" si="440"/>
        <v>3.3651851329255511E-4</v>
      </c>
      <c r="W1395" s="24">
        <f t="shared" si="438"/>
        <v>4.5835031790063187E-4</v>
      </c>
      <c r="X1395" s="25">
        <f t="shared" si="439"/>
        <v>3.9960933286931332E-4</v>
      </c>
      <c r="Y1395" s="8">
        <f t="shared" si="430"/>
        <v>0.11083774092991949</v>
      </c>
      <c r="Z1395" s="27">
        <f t="shared" si="431"/>
        <v>8.0381073614699497E-2</v>
      </c>
      <c r="AA1395" s="27"/>
      <c r="AB1395" s="27"/>
      <c r="AC1395" s="56">
        <f t="shared" si="441"/>
        <v>5.741898511791502E-3</v>
      </c>
      <c r="AE1395" s="20" t="e">
        <f>#REF!*1.35</f>
        <v>#REF!</v>
      </c>
      <c r="AF1395" s="20">
        <f t="shared" si="442"/>
        <v>1930068000.0000002</v>
      </c>
      <c r="AG1395">
        <f t="shared" si="443"/>
        <v>69120440.91769658</v>
      </c>
      <c r="AH1395">
        <f t="shared" si="444"/>
        <v>0</v>
      </c>
      <c r="AI1395">
        <f t="shared" si="445"/>
        <v>16695949475.283735</v>
      </c>
    </row>
    <row r="1396" spans="2:35" x14ac:dyDescent="0.25">
      <c r="B1396" s="4">
        <v>2024</v>
      </c>
      <c r="C1396" s="4" t="s">
        <v>33</v>
      </c>
      <c r="D1396" s="1" t="s">
        <v>81</v>
      </c>
      <c r="E1396" s="4" t="s">
        <v>696</v>
      </c>
      <c r="F1396" s="4" t="s">
        <v>143</v>
      </c>
      <c r="G1396" s="11">
        <v>1</v>
      </c>
      <c r="H1396" s="11" t="s">
        <v>772</v>
      </c>
      <c r="I1396" s="11"/>
      <c r="J1396" s="11" t="s">
        <v>42</v>
      </c>
      <c r="K1396" s="92">
        <v>245871.99762782609</v>
      </c>
      <c r="L1396" s="92">
        <v>273191.10847536236</v>
      </c>
      <c r="M1396" s="93">
        <v>432196.77018633543</v>
      </c>
      <c r="N1396" s="8">
        <v>0</v>
      </c>
      <c r="O1396" s="8">
        <f>SUMIFS(EIAwtransport!$J$2:$J$675,EIAwtransport!$E$2:$E$675,Program_data!$E1396,EIAwtransport!$H$2:$H$675,Program_data!$F1396,EIAwtransport!$I$2:$I$675,Program_data!O$2)</f>
        <v>0</v>
      </c>
      <c r="P1396" s="5">
        <f>SUMIFS(EIAwtransport!$J$2:$J$675,EIAwtransport!$E$2:$E$675,Program_data!$E1396,EIAwtransport!$H$2:$H$675,Program_data!$F1396,EIAwtransport!$I$2:$I$675,Program_data!P$2)</f>
        <v>0</v>
      </c>
      <c r="Q1396" s="5">
        <f>SUMIFS(EIAwtransport!$J$2:$J$675,EIAwtransport!$E$2:$E$675,Program_data!$E1396,EIAwtransport!$H$2:$H$675,Program_data!$F1396,EIAwtransport!$I$2:$I$675,Program_data!Q$2)</f>
        <v>0</v>
      </c>
      <c r="R1396" s="8">
        <f>SUMIFS(EIAwtransport!$J$2:$J$675,EIAwtransport!$E$2:$E$675,Program_data!$E1396,EIAwtransport!$I$2:$I$675,Program_data!R$2)</f>
        <v>1429680000</v>
      </c>
      <c r="S1396" s="5">
        <f>SUMIFS(EIAwtransport!$J$2:$J$675,EIAwtransport!$E$2:$E$675,Program_data!$E1396,EIAwtransport!$I$2:$I$675,Program_data!S$2)</f>
        <v>158285451.98410821</v>
      </c>
      <c r="T1396" s="5">
        <f>SUMIFS(EIAwtransport!$J$2:$J$675,EIAwtransport!$E$2:$E$675,Program_data!$E1396,EIAwtransport!$I$2:$I$675,Program_data!T$2)</f>
        <v>1074614</v>
      </c>
      <c r="U1396" s="24">
        <f t="shared" si="437"/>
        <v>1.4993682619819656E-4</v>
      </c>
      <c r="V1396" s="24">
        <f t="shared" si="440"/>
        <v>1.6659647355355176E-4</v>
      </c>
      <c r="W1396" s="24">
        <f t="shared" si="438"/>
        <v>3.0230315188457238E-4</v>
      </c>
      <c r="X1396" s="25">
        <f t="shared" si="439"/>
        <v>2.6356076592724039E-4</v>
      </c>
      <c r="Y1396" s="8">
        <f t="shared" si="430"/>
        <v>0.70996260060561234</v>
      </c>
      <c r="Z1396" s="27">
        <f t="shared" si="431"/>
        <v>5.301502138558023E-2</v>
      </c>
      <c r="AA1396" s="27"/>
      <c r="AB1396" s="27"/>
      <c r="AC1396" s="56">
        <f t="shared" si="441"/>
        <v>3.7870466106935661E-3</v>
      </c>
      <c r="AE1396" s="20" t="e">
        <f>#REF!*1.35</f>
        <v>#REF!</v>
      </c>
      <c r="AF1396" s="20">
        <f t="shared" si="442"/>
        <v>1930068000.0000002</v>
      </c>
      <c r="AG1396">
        <f t="shared" si="443"/>
        <v>45588115.319254667</v>
      </c>
      <c r="AH1396">
        <f t="shared" si="444"/>
        <v>0</v>
      </c>
      <c r="AI1396">
        <f t="shared" si="445"/>
        <v>16695949475.283735</v>
      </c>
    </row>
    <row r="1397" spans="2:35" x14ac:dyDescent="0.25">
      <c r="B1397" s="4">
        <v>2024</v>
      </c>
      <c r="C1397" s="4" t="s">
        <v>33</v>
      </c>
      <c r="D1397" s="1" t="s">
        <v>81</v>
      </c>
      <c r="E1397" s="4" t="s">
        <v>696</v>
      </c>
      <c r="F1397" s="4" t="s">
        <v>143</v>
      </c>
      <c r="G1397" s="11">
        <v>1</v>
      </c>
      <c r="H1397" s="11" t="s">
        <v>773</v>
      </c>
      <c r="I1397" s="11"/>
      <c r="J1397" s="11" t="s">
        <v>42</v>
      </c>
      <c r="K1397" s="92">
        <v>11175.999892173912</v>
      </c>
      <c r="L1397" s="92">
        <v>12417.777657971012</v>
      </c>
      <c r="M1397" s="93">
        <v>51023.229813664599</v>
      </c>
      <c r="N1397" s="8">
        <v>0</v>
      </c>
      <c r="O1397" s="8">
        <f>SUMIFS(EIAwtransport!$J$2:$J$675,EIAwtransport!$E$2:$E$675,Program_data!$E1397,EIAwtransport!$H$2:$H$675,Program_data!$F1397,EIAwtransport!$I$2:$I$675,Program_data!O$2)</f>
        <v>0</v>
      </c>
      <c r="P1397" s="5">
        <f>SUMIFS(EIAwtransport!$J$2:$J$675,EIAwtransport!$E$2:$E$675,Program_data!$E1397,EIAwtransport!$H$2:$H$675,Program_data!$F1397,EIAwtransport!$I$2:$I$675,Program_data!P$2)</f>
        <v>0</v>
      </c>
      <c r="Q1397" s="5">
        <f>SUMIFS(EIAwtransport!$J$2:$J$675,EIAwtransport!$E$2:$E$675,Program_data!$E1397,EIAwtransport!$H$2:$H$675,Program_data!$F1397,EIAwtransport!$I$2:$I$675,Program_data!Q$2)</f>
        <v>0</v>
      </c>
      <c r="R1397" s="8">
        <f>SUMIFS(EIAwtransport!$J$2:$J$675,EIAwtransport!$E$2:$E$675,Program_data!$E1397,EIAwtransport!$I$2:$I$675,Program_data!R$2)</f>
        <v>1429680000</v>
      </c>
      <c r="S1397" s="5">
        <f>SUMIFS(EIAwtransport!$J$2:$J$675,EIAwtransport!$E$2:$E$675,Program_data!$E1397,EIAwtransport!$I$2:$I$675,Program_data!S$2)</f>
        <v>158285451.98410821</v>
      </c>
      <c r="T1397" s="5">
        <f>SUMIFS(EIAwtransport!$J$2:$J$675,EIAwtransport!$E$2:$E$675,Program_data!$E1397,EIAwtransport!$I$2:$I$675,Program_data!T$2)</f>
        <v>1074614</v>
      </c>
      <c r="U1397" s="24">
        <f t="shared" si="437"/>
        <v>6.8153102817362056E-6</v>
      </c>
      <c r="V1397" s="24">
        <f t="shared" si="440"/>
        <v>7.5725669797068955E-6</v>
      </c>
      <c r="W1397" s="24">
        <f t="shared" si="438"/>
        <v>3.5688566541928681E-5</v>
      </c>
      <c r="X1397" s="25">
        <f t="shared" si="439"/>
        <v>3.1114812644188101E-5</v>
      </c>
      <c r="Y1397" s="8">
        <f t="shared" si="430"/>
        <v>8.3815029238162572E-2</v>
      </c>
      <c r="Z1397" s="27">
        <f t="shared" si="431"/>
        <v>6.2587178024643324E-3</v>
      </c>
      <c r="AA1397" s="27"/>
      <c r="AB1397" s="27"/>
      <c r="AC1397" s="56">
        <f t="shared" si="441"/>
        <v>4.4708189154021264E-4</v>
      </c>
      <c r="AE1397" s="20" t="e">
        <f>#REF!*1.35</f>
        <v>#REF!</v>
      </c>
      <c r="AF1397" s="20">
        <f t="shared" si="442"/>
        <v>1930068000.0000002</v>
      </c>
      <c r="AG1397">
        <f t="shared" si="443"/>
        <v>5381930.2807453424</v>
      </c>
      <c r="AH1397">
        <f t="shared" si="444"/>
        <v>0</v>
      </c>
      <c r="AI1397">
        <f t="shared" si="445"/>
        <v>16695949475.283735</v>
      </c>
    </row>
    <row r="1398" spans="2:35" x14ac:dyDescent="0.25">
      <c r="B1398" s="4">
        <v>2024</v>
      </c>
      <c r="C1398" s="4" t="s">
        <v>33</v>
      </c>
      <c r="D1398" s="1" t="s">
        <v>81</v>
      </c>
      <c r="E1398" s="4" t="s">
        <v>696</v>
      </c>
      <c r="F1398" s="11" t="s">
        <v>143</v>
      </c>
      <c r="G1398" s="11">
        <v>1</v>
      </c>
      <c r="H1398" s="11" t="s">
        <v>774</v>
      </c>
      <c r="I1398" s="11"/>
      <c r="J1398" s="11" t="s">
        <v>42</v>
      </c>
      <c r="K1398" s="92">
        <v>139660.84968499999</v>
      </c>
      <c r="L1398" s="92">
        <v>155178.7218722222</v>
      </c>
      <c r="M1398" s="93">
        <v>3700000</v>
      </c>
      <c r="N1398" s="8">
        <v>0</v>
      </c>
      <c r="O1398" s="8">
        <f>SUMIFS(EIAwtransport!$J$2:$J$675,EIAwtransport!$E$2:$E$675,Program_data!$E1398,EIAwtransport!$H$2:$H$675,Program_data!$F1398,EIAwtransport!$I$2:$I$675,Program_data!O$2)</f>
        <v>0</v>
      </c>
      <c r="P1398" s="5">
        <f>SUMIFS(EIAwtransport!$J$2:$J$675,EIAwtransport!$E$2:$E$675,Program_data!$E1398,EIAwtransport!$H$2:$H$675,Program_data!$F1398,EIAwtransport!$I$2:$I$675,Program_data!P$2)</f>
        <v>0</v>
      </c>
      <c r="Q1398" s="5">
        <f>SUMIFS(EIAwtransport!$J$2:$J$675,EIAwtransport!$E$2:$E$675,Program_data!$E1398,EIAwtransport!$H$2:$H$675,Program_data!$F1398,EIAwtransport!$I$2:$I$675,Program_data!Q$2)</f>
        <v>0</v>
      </c>
      <c r="R1398" s="8">
        <f>SUMIFS(EIAwtransport!$J$2:$J$675,EIAwtransport!$E$2:$E$675,Program_data!$E1398,EIAwtransport!$I$2:$I$675,Program_data!R$2)</f>
        <v>1429680000</v>
      </c>
      <c r="S1398" s="5">
        <f>SUMIFS(EIAwtransport!$J$2:$J$675,EIAwtransport!$E$2:$E$675,Program_data!$E1398,EIAwtransport!$I$2:$I$675,Program_data!S$2)</f>
        <v>158285451.98410821</v>
      </c>
      <c r="T1398" s="5">
        <f>SUMIFS(EIAwtransport!$J$2:$J$675,EIAwtransport!$E$2:$E$675,Program_data!$E1398,EIAwtransport!$I$2:$I$675,Program_data!T$2)</f>
        <v>1074614</v>
      </c>
      <c r="U1398" s="24">
        <f t="shared" si="437"/>
        <v>8.516750483155638E-5</v>
      </c>
      <c r="V1398" s="24">
        <f t="shared" si="440"/>
        <v>9.4630560923951527E-5</v>
      </c>
      <c r="W1398" s="24">
        <f t="shared" si="438"/>
        <v>2.587991718426501E-3</v>
      </c>
      <c r="X1398" s="25">
        <f t="shared" si="439"/>
        <v>2.2563214285714274E-3</v>
      </c>
      <c r="Y1398" s="8">
        <f t="shared" si="430"/>
        <v>6.0779297844086901</v>
      </c>
      <c r="Z1398" s="27">
        <f t="shared" si="431"/>
        <v>0.45385711476297519</v>
      </c>
      <c r="AA1398" s="27"/>
      <c r="AB1398" s="27"/>
      <c r="AC1398" s="56">
        <f t="shared" si="441"/>
        <v>3.2420585775143784E-2</v>
      </c>
      <c r="AE1398" s="20" t="e">
        <f>#REF!*1.35</f>
        <v>#REF!</v>
      </c>
      <c r="AF1398" s="20">
        <f t="shared" si="442"/>
        <v>1930068000.0000002</v>
      </c>
      <c r="AG1398">
        <f t="shared" si="443"/>
        <v>390276000</v>
      </c>
      <c r="AH1398">
        <f t="shared" si="444"/>
        <v>0</v>
      </c>
      <c r="AI1398">
        <f t="shared" si="445"/>
        <v>16695949475.283735</v>
      </c>
    </row>
    <row r="1399" spans="2:35" x14ac:dyDescent="0.25">
      <c r="B1399" s="4">
        <v>2024</v>
      </c>
      <c r="C1399" s="4" t="s">
        <v>33</v>
      </c>
      <c r="D1399" s="1" t="s">
        <v>81</v>
      </c>
      <c r="E1399" s="4" t="s">
        <v>696</v>
      </c>
      <c r="F1399" s="11" t="s">
        <v>143</v>
      </c>
      <c r="G1399" s="11">
        <v>1</v>
      </c>
      <c r="H1399" s="11" t="s">
        <v>775</v>
      </c>
      <c r="I1399" s="11"/>
      <c r="J1399" s="11" t="s">
        <v>21</v>
      </c>
      <c r="K1399" s="92">
        <v>3205.2130900351094</v>
      </c>
      <c r="L1399" s="92">
        <v>3561.3478778167882</v>
      </c>
      <c r="M1399" s="93">
        <v>19445.667369919422</v>
      </c>
      <c r="N1399" s="8">
        <v>0</v>
      </c>
      <c r="O1399" s="8">
        <f>SUMIFS(EIAwtransport!$J$2:$J$675,EIAwtransport!$E$2:$E$675,Program_data!$E1399,EIAwtransport!$H$2:$H$675,Program_data!$F1399,EIAwtransport!$I$2:$I$675,Program_data!O$2)</f>
        <v>0</v>
      </c>
      <c r="P1399" s="5">
        <f>SUMIFS(EIAwtransport!$J$2:$J$675,EIAwtransport!$E$2:$E$675,Program_data!$E1399,EIAwtransport!$H$2:$H$675,Program_data!$F1399,EIAwtransport!$I$2:$I$675,Program_data!P$2)</f>
        <v>0</v>
      </c>
      <c r="Q1399" s="5">
        <f>SUMIFS(EIAwtransport!$J$2:$J$675,EIAwtransport!$E$2:$E$675,Program_data!$E1399,EIAwtransport!$H$2:$H$675,Program_data!$F1399,EIAwtransport!$I$2:$I$675,Program_data!Q$2)</f>
        <v>0</v>
      </c>
      <c r="R1399" s="8">
        <f>SUMIFS(EIAwtransport!$J$2:$J$675,EIAwtransport!$E$2:$E$675,Program_data!$E1399,EIAwtransport!$I$2:$I$675,Program_data!R$2)</f>
        <v>1429680000</v>
      </c>
      <c r="S1399" s="5">
        <f>SUMIFS(EIAwtransport!$J$2:$J$675,EIAwtransport!$E$2:$E$675,Program_data!$E1399,EIAwtransport!$I$2:$I$675,Program_data!S$2)</f>
        <v>158285451.98410821</v>
      </c>
      <c r="T1399" s="5">
        <f>SUMIFS(EIAwtransport!$J$2:$J$675,EIAwtransport!$E$2:$E$675,Program_data!$E1399,EIAwtransport!$I$2:$I$675,Program_data!T$2)</f>
        <v>1074614</v>
      </c>
      <c r="U1399" s="24">
        <f t="shared" si="437"/>
        <v>1.9545921562659076E-6</v>
      </c>
      <c r="V1399" s="24">
        <f t="shared" si="440"/>
        <v>2.1717690625176755E-6</v>
      </c>
      <c r="W1399" s="24">
        <f t="shared" si="438"/>
        <v>1.3601412462872405E-5</v>
      </c>
      <c r="X1399" s="25">
        <f t="shared" si="439"/>
        <v>1.1858290805303077E-5</v>
      </c>
      <c r="Y1399" s="8">
        <f t="shared" si="430"/>
        <v>3.1943081320361472E-2</v>
      </c>
      <c r="Z1399" s="27">
        <f t="shared" si="431"/>
        <v>2.385284996527611E-3</v>
      </c>
      <c r="AA1399" s="27"/>
      <c r="AB1399" s="27"/>
      <c r="AC1399" s="56">
        <f t="shared" si="441"/>
        <v>1.7038916943821277E-4</v>
      </c>
      <c r="AE1399" s="20" t="e">
        <f>#REF!*1.35</f>
        <v>#REF!</v>
      </c>
      <c r="AF1399" s="20">
        <f t="shared" si="442"/>
        <v>1930068000.0000002</v>
      </c>
      <c r="AG1399">
        <f t="shared" si="443"/>
        <v>2051128.9941791007</v>
      </c>
      <c r="AH1399">
        <f t="shared" si="444"/>
        <v>0</v>
      </c>
      <c r="AI1399">
        <f t="shared" si="445"/>
        <v>16695949475.283735</v>
      </c>
    </row>
    <row r="1400" spans="2:35" x14ac:dyDescent="0.25">
      <c r="B1400" s="4">
        <v>2024</v>
      </c>
      <c r="C1400" s="4" t="s">
        <v>33</v>
      </c>
      <c r="D1400" s="1" t="s">
        <v>81</v>
      </c>
      <c r="E1400" s="4" t="s">
        <v>696</v>
      </c>
      <c r="F1400" s="4" t="s">
        <v>143</v>
      </c>
      <c r="G1400" s="11">
        <v>1</v>
      </c>
      <c r="H1400" s="11" t="s">
        <v>776</v>
      </c>
      <c r="I1400" s="11"/>
      <c r="J1400" s="11" t="s">
        <v>21</v>
      </c>
      <c r="K1400" s="92">
        <v>12731.818663195019</v>
      </c>
      <c r="L1400" s="92">
        <v>14146.465181327798</v>
      </c>
      <c r="M1400" s="93">
        <v>315992.09476119059</v>
      </c>
      <c r="N1400" s="8">
        <v>0</v>
      </c>
      <c r="O1400" s="8">
        <f>SUMIFS(EIAwtransport!$J$2:$J$675,EIAwtransport!$E$2:$E$675,Program_data!$E1400,EIAwtransport!$H$2:$H$675,Program_data!$F1400,EIAwtransport!$I$2:$I$675,Program_data!O$2)</f>
        <v>0</v>
      </c>
      <c r="P1400" s="5">
        <f>SUMIFS(EIAwtransport!$J$2:$J$675,EIAwtransport!$E$2:$E$675,Program_data!$E1400,EIAwtransport!$H$2:$H$675,Program_data!$F1400,EIAwtransport!$I$2:$I$675,Program_data!P$2)</f>
        <v>0</v>
      </c>
      <c r="Q1400" s="5">
        <f>SUMIFS(EIAwtransport!$J$2:$J$675,EIAwtransport!$E$2:$E$675,Program_data!$E1400,EIAwtransport!$H$2:$H$675,Program_data!$F1400,EIAwtransport!$I$2:$I$675,Program_data!Q$2)</f>
        <v>0</v>
      </c>
      <c r="R1400" s="8">
        <f>SUMIFS(EIAwtransport!$J$2:$J$675,EIAwtransport!$E$2:$E$675,Program_data!$E1400,EIAwtransport!$I$2:$I$675,Program_data!R$2)</f>
        <v>1429680000</v>
      </c>
      <c r="S1400" s="5">
        <f>SUMIFS(EIAwtransport!$J$2:$J$675,EIAwtransport!$E$2:$E$675,Program_data!$E1400,EIAwtransport!$I$2:$I$675,Program_data!S$2)</f>
        <v>158285451.98410821</v>
      </c>
      <c r="T1400" s="5">
        <f>SUMIFS(EIAwtransport!$J$2:$J$675,EIAwtransport!$E$2:$E$675,Program_data!$E1400,EIAwtransport!$I$2:$I$675,Program_data!T$2)</f>
        <v>1074614</v>
      </c>
      <c r="U1400" s="24">
        <f t="shared" si="437"/>
        <v>7.7640743985006884E-6</v>
      </c>
      <c r="V1400" s="24">
        <f t="shared" si="440"/>
        <v>8.6267493316674317E-6</v>
      </c>
      <c r="W1400" s="24">
        <f t="shared" si="438"/>
        <v>2.2102295252167658E-4</v>
      </c>
      <c r="X1400" s="25">
        <f t="shared" si="439"/>
        <v>1.9269722558617501E-4</v>
      </c>
      <c r="Y1400" s="8">
        <f t="shared" si="430"/>
        <v>0.51907507145587384</v>
      </c>
      <c r="Z1400" s="27">
        <f t="shared" si="431"/>
        <v>3.8760881193573675E-2</v>
      </c>
      <c r="AA1400" s="27"/>
      <c r="AB1400" s="27"/>
      <c r="AC1400" s="56">
        <f t="shared" si="441"/>
        <v>2.7688240033709576E-3</v>
      </c>
      <c r="AE1400" s="20" t="e">
        <f>#REF!*1.35</f>
        <v>#REF!</v>
      </c>
      <c r="AF1400" s="20">
        <f t="shared" si="442"/>
        <v>1930068000.0000002</v>
      </c>
      <c r="AG1400">
        <f t="shared" si="443"/>
        <v>33330846.155410383</v>
      </c>
      <c r="AH1400">
        <f t="shared" si="444"/>
        <v>0</v>
      </c>
      <c r="AI1400">
        <f t="shared" si="445"/>
        <v>16695949475.283735</v>
      </c>
    </row>
    <row r="1401" spans="2:35" x14ac:dyDescent="0.25">
      <c r="B1401" s="4">
        <v>2024</v>
      </c>
      <c r="C1401" s="4" t="s">
        <v>33</v>
      </c>
      <c r="D1401" s="1" t="s">
        <v>81</v>
      </c>
      <c r="E1401" s="4" t="s">
        <v>696</v>
      </c>
      <c r="F1401" s="4" t="s">
        <v>143</v>
      </c>
      <c r="G1401" s="11">
        <v>1</v>
      </c>
      <c r="H1401" s="11" t="s">
        <v>777</v>
      </c>
      <c r="I1401" s="11"/>
      <c r="J1401" s="11" t="s">
        <v>21</v>
      </c>
      <c r="K1401" s="92">
        <v>1335.5054541812958</v>
      </c>
      <c r="L1401" s="92">
        <v>1483.8949490903285</v>
      </c>
      <c r="M1401" s="93">
        <v>36460.626318598916</v>
      </c>
      <c r="N1401" s="8">
        <v>0</v>
      </c>
      <c r="O1401" s="8">
        <f>SUMIFS(EIAwtransport!$J$2:$J$675,EIAwtransport!$E$2:$E$675,Program_data!$E1401,EIAwtransport!$H$2:$H$675,Program_data!$F1401,EIAwtransport!$I$2:$I$675,Program_data!O$2)</f>
        <v>0</v>
      </c>
      <c r="P1401" s="5">
        <f>SUMIFS(EIAwtransport!$J$2:$J$675,EIAwtransport!$E$2:$E$675,Program_data!$E1401,EIAwtransport!$H$2:$H$675,Program_data!$F1401,EIAwtransport!$I$2:$I$675,Program_data!P$2)</f>
        <v>0</v>
      </c>
      <c r="Q1401" s="5">
        <f>SUMIFS(EIAwtransport!$J$2:$J$675,EIAwtransport!$E$2:$E$675,Program_data!$E1401,EIAwtransport!$H$2:$H$675,Program_data!$F1401,EIAwtransport!$I$2:$I$675,Program_data!Q$2)</f>
        <v>0</v>
      </c>
      <c r="R1401" s="8">
        <f>SUMIFS(EIAwtransport!$J$2:$J$675,EIAwtransport!$E$2:$E$675,Program_data!$E1401,EIAwtransport!$I$2:$I$675,Program_data!R$2)</f>
        <v>1429680000</v>
      </c>
      <c r="S1401" s="5">
        <f>SUMIFS(EIAwtransport!$J$2:$J$675,EIAwtransport!$E$2:$E$675,Program_data!$E1401,EIAwtransport!$I$2:$I$675,Program_data!S$2)</f>
        <v>158285451.98410821</v>
      </c>
      <c r="T1401" s="5">
        <f>SUMIFS(EIAwtransport!$J$2:$J$675,EIAwtransport!$E$2:$E$675,Program_data!$E1401,EIAwtransport!$I$2:$I$675,Program_data!T$2)</f>
        <v>1074614</v>
      </c>
      <c r="U1401" s="24">
        <f t="shared" si="437"/>
        <v>8.1441339844412827E-7</v>
      </c>
      <c r="V1401" s="24">
        <f t="shared" si="440"/>
        <v>9.049037760490314E-7</v>
      </c>
      <c r="W1401" s="24">
        <f t="shared" si="438"/>
        <v>2.5502648367885762E-5</v>
      </c>
      <c r="X1401" s="25">
        <f t="shared" si="439"/>
        <v>2.2234295259943273E-5</v>
      </c>
      <c r="Y1401" s="8">
        <f t="shared" si="430"/>
        <v>5.9893277475677756E-2</v>
      </c>
      <c r="Z1401" s="27">
        <f t="shared" si="431"/>
        <v>4.4724093684892705E-3</v>
      </c>
      <c r="AA1401" s="27"/>
      <c r="AB1401" s="27"/>
      <c r="AC1401" s="56">
        <f t="shared" si="441"/>
        <v>3.1947969269664896E-4</v>
      </c>
      <c r="AE1401" s="20" t="e">
        <f>#REF!*1.35</f>
        <v>#REF!</v>
      </c>
      <c r="AF1401" s="20">
        <f t="shared" si="442"/>
        <v>1930068000.0000002</v>
      </c>
      <c r="AG1401">
        <f t="shared" si="443"/>
        <v>3845866.864085814</v>
      </c>
      <c r="AH1401">
        <f t="shared" si="444"/>
        <v>0</v>
      </c>
      <c r="AI1401">
        <f t="shared" si="445"/>
        <v>16695949475.283735</v>
      </c>
    </row>
    <row r="1402" spans="2:35" x14ac:dyDescent="0.25">
      <c r="B1402" s="4">
        <v>2024</v>
      </c>
      <c r="C1402" s="4" t="s">
        <v>33</v>
      </c>
      <c r="D1402" s="1" t="s">
        <v>81</v>
      </c>
      <c r="E1402" s="4" t="s">
        <v>696</v>
      </c>
      <c r="F1402" s="11" t="s">
        <v>143</v>
      </c>
      <c r="G1402" s="11">
        <v>1</v>
      </c>
      <c r="H1402" s="11" t="s">
        <v>778</v>
      </c>
      <c r="I1402" s="11"/>
      <c r="J1402" s="11" t="s">
        <v>21</v>
      </c>
      <c r="K1402" s="92">
        <v>0</v>
      </c>
      <c r="L1402" s="92">
        <v>0</v>
      </c>
      <c r="M1402" s="93">
        <v>18432.872194402786</v>
      </c>
      <c r="N1402" s="8">
        <v>0</v>
      </c>
      <c r="O1402" s="8">
        <f>SUMIFS(EIAwtransport!$J$2:$J$675,EIAwtransport!$E$2:$E$675,Program_data!$E1402,EIAwtransport!$H$2:$H$675,Program_data!$F1402,EIAwtransport!$I$2:$I$675,Program_data!O$2)</f>
        <v>0</v>
      </c>
      <c r="P1402" s="5">
        <f>SUMIFS(EIAwtransport!$J$2:$J$675,EIAwtransport!$E$2:$E$675,Program_data!$E1402,EIAwtransport!$H$2:$H$675,Program_data!$F1402,EIAwtransport!$I$2:$I$675,Program_data!P$2)</f>
        <v>0</v>
      </c>
      <c r="Q1402" s="5">
        <f>SUMIFS(EIAwtransport!$J$2:$J$675,EIAwtransport!$E$2:$E$675,Program_data!$E1402,EIAwtransport!$H$2:$H$675,Program_data!$F1402,EIAwtransport!$I$2:$I$675,Program_data!Q$2)</f>
        <v>0</v>
      </c>
      <c r="R1402" s="8">
        <f>SUMIFS(EIAwtransport!$J$2:$J$675,EIAwtransport!$E$2:$E$675,Program_data!$E1402,EIAwtransport!$I$2:$I$675,Program_data!R$2)</f>
        <v>1429680000</v>
      </c>
      <c r="S1402" s="5">
        <f>SUMIFS(EIAwtransport!$J$2:$J$675,EIAwtransport!$E$2:$E$675,Program_data!$E1402,EIAwtransport!$I$2:$I$675,Program_data!S$2)</f>
        <v>158285451.98410821</v>
      </c>
      <c r="T1402" s="5">
        <f>SUMIFS(EIAwtransport!$J$2:$J$675,EIAwtransport!$E$2:$E$675,Program_data!$E1402,EIAwtransport!$I$2:$I$675,Program_data!T$2)</f>
        <v>1074614</v>
      </c>
      <c r="U1402" s="24">
        <f t="shared" si="437"/>
        <v>0</v>
      </c>
      <c r="V1402" s="24">
        <f t="shared" si="440"/>
        <v>0</v>
      </c>
      <c r="W1402" s="24">
        <f t="shared" si="438"/>
        <v>1.2893005563764469E-5</v>
      </c>
      <c r="X1402" s="25">
        <f t="shared" si="439"/>
        <v>1.1240671492526875E-5</v>
      </c>
      <c r="Y1402" s="8">
        <f t="shared" si="430"/>
        <v>3.0279379168259311E-2</v>
      </c>
      <c r="Z1402" s="27">
        <f t="shared" si="431"/>
        <v>2.2610514029584648E-3</v>
      </c>
      <c r="AA1402" s="27"/>
      <c r="AB1402" s="27"/>
      <c r="AC1402" s="56">
        <f t="shared" si="441"/>
        <v>1.6151473352997252E-4</v>
      </c>
      <c r="AE1402" s="20" t="e">
        <f>#REF!*1.35</f>
        <v>#REF!</v>
      </c>
      <c r="AF1402" s="20">
        <f t="shared" si="442"/>
        <v>1930068000.0000002</v>
      </c>
      <c r="AG1402">
        <f t="shared" si="443"/>
        <v>1944299.3590656058</v>
      </c>
      <c r="AH1402">
        <f t="shared" si="444"/>
        <v>0</v>
      </c>
      <c r="AI1402">
        <f t="shared" si="445"/>
        <v>16695949475.283735</v>
      </c>
    </row>
    <row r="1403" spans="2:35" x14ac:dyDescent="0.25">
      <c r="B1403" s="4">
        <v>2024</v>
      </c>
      <c r="C1403" s="4" t="s">
        <v>33</v>
      </c>
      <c r="D1403" s="1" t="s">
        <v>81</v>
      </c>
      <c r="E1403" s="4" t="s">
        <v>696</v>
      </c>
      <c r="F1403" s="4" t="s">
        <v>143</v>
      </c>
      <c r="G1403" s="11">
        <v>1</v>
      </c>
      <c r="H1403" s="11" t="s">
        <v>779</v>
      </c>
      <c r="I1403" s="11"/>
      <c r="J1403" s="11" t="s">
        <v>27</v>
      </c>
      <c r="K1403" s="92">
        <v>2003.2581812719438</v>
      </c>
      <c r="L1403" s="92">
        <v>2225.8424236354927</v>
      </c>
      <c r="M1403" s="93">
        <v>24307.084212399273</v>
      </c>
      <c r="N1403" s="8">
        <v>0</v>
      </c>
      <c r="O1403" s="8">
        <f>SUMIFS(EIAwtransport!$J$2:$J$675,EIAwtransport!$E$2:$E$675,Program_data!$E1403,EIAwtransport!$H$2:$H$675,Program_data!$F1403,EIAwtransport!$I$2:$I$675,Program_data!O$2)</f>
        <v>0</v>
      </c>
      <c r="P1403" s="5">
        <f>SUMIFS(EIAwtransport!$J$2:$J$675,EIAwtransport!$E$2:$E$675,Program_data!$E1403,EIAwtransport!$H$2:$H$675,Program_data!$F1403,EIAwtransport!$I$2:$I$675,Program_data!P$2)</f>
        <v>0</v>
      </c>
      <c r="Q1403" s="5">
        <f>SUMIFS(EIAwtransport!$J$2:$J$675,EIAwtransport!$E$2:$E$675,Program_data!$E1403,EIAwtransport!$H$2:$H$675,Program_data!$F1403,EIAwtransport!$I$2:$I$675,Program_data!Q$2)</f>
        <v>0</v>
      </c>
      <c r="R1403" s="8">
        <f>SUMIFS(EIAwtransport!$J$2:$J$675,EIAwtransport!$E$2:$E$675,Program_data!$E1403,EIAwtransport!$I$2:$I$675,Program_data!R$2)</f>
        <v>1429680000</v>
      </c>
      <c r="S1403" s="5">
        <f>SUMIFS(EIAwtransport!$J$2:$J$675,EIAwtransport!$E$2:$E$675,Program_data!$E1403,EIAwtransport!$I$2:$I$675,Program_data!S$2)</f>
        <v>158285451.98410821</v>
      </c>
      <c r="T1403" s="5">
        <f>SUMIFS(EIAwtransport!$J$2:$J$675,EIAwtransport!$E$2:$E$675,Program_data!$E1403,EIAwtransport!$I$2:$I$675,Program_data!T$2)</f>
        <v>1074614</v>
      </c>
      <c r="U1403" s="24">
        <f t="shared" si="437"/>
        <v>1.2216200976661925E-6</v>
      </c>
      <c r="V1403" s="24">
        <f t="shared" si="440"/>
        <v>1.3573556640735468E-6</v>
      </c>
      <c r="W1403" s="24">
        <f t="shared" si="438"/>
        <v>1.7001765578590505E-5</v>
      </c>
      <c r="X1403" s="25">
        <f t="shared" si="439"/>
        <v>1.4822863506628844E-5</v>
      </c>
      <c r="Y1403" s="8">
        <f t="shared" si="430"/>
        <v>3.9928851650451833E-2</v>
      </c>
      <c r="Z1403" s="27">
        <f t="shared" si="431"/>
        <v>2.9816062456595135E-3</v>
      </c>
      <c r="AA1403" s="27"/>
      <c r="AB1403" s="27"/>
      <c r="AC1403" s="56">
        <f t="shared" si="441"/>
        <v>2.1298646179776593E-4</v>
      </c>
      <c r="AE1403" s="20" t="e">
        <f>#REF!*1.35</f>
        <v>#REF!</v>
      </c>
      <c r="AF1403" s="20">
        <f t="shared" si="442"/>
        <v>1930068000.0000002</v>
      </c>
      <c r="AG1403">
        <f t="shared" si="443"/>
        <v>2563911.2427238757</v>
      </c>
      <c r="AH1403">
        <f t="shared" si="444"/>
        <v>0</v>
      </c>
      <c r="AI1403">
        <f t="shared" si="445"/>
        <v>16695949475.283735</v>
      </c>
    </row>
    <row r="1404" spans="2:35" x14ac:dyDescent="0.25">
      <c r="B1404" s="4">
        <v>2024</v>
      </c>
      <c r="C1404" s="4" t="s">
        <v>33</v>
      </c>
      <c r="D1404" s="1" t="s">
        <v>81</v>
      </c>
      <c r="E1404" s="4" t="s">
        <v>696</v>
      </c>
      <c r="F1404" s="4" t="s">
        <v>143</v>
      </c>
      <c r="G1404" s="11">
        <v>1</v>
      </c>
      <c r="H1404" s="11" t="s">
        <v>780</v>
      </c>
      <c r="I1404" s="11"/>
      <c r="J1404" s="11" t="s">
        <v>27</v>
      </c>
      <c r="K1404" s="92">
        <v>934.85381792690714</v>
      </c>
      <c r="L1404" s="92">
        <v>1038.72646436323</v>
      </c>
      <c r="M1404" s="93">
        <v>8102.361404133092</v>
      </c>
      <c r="N1404" s="8">
        <v>0</v>
      </c>
      <c r="O1404" s="8">
        <f>SUMIFS(EIAwtransport!$J$2:$J$675,EIAwtransport!$E$2:$E$675,Program_data!$E1404,EIAwtransport!$H$2:$H$675,Program_data!$F1404,EIAwtransport!$I$2:$I$675,Program_data!O$2)</f>
        <v>0</v>
      </c>
      <c r="P1404" s="5">
        <f>SUMIFS(EIAwtransport!$J$2:$J$675,EIAwtransport!$E$2:$E$675,Program_data!$E1404,EIAwtransport!$H$2:$H$675,Program_data!$F1404,EIAwtransport!$I$2:$I$675,Program_data!P$2)</f>
        <v>0</v>
      </c>
      <c r="Q1404" s="5">
        <f>SUMIFS(EIAwtransport!$J$2:$J$675,EIAwtransport!$E$2:$E$675,Program_data!$E1404,EIAwtransport!$H$2:$H$675,Program_data!$F1404,EIAwtransport!$I$2:$I$675,Program_data!Q$2)</f>
        <v>0</v>
      </c>
      <c r="R1404" s="8">
        <f>SUMIFS(EIAwtransport!$J$2:$J$675,EIAwtransport!$E$2:$E$675,Program_data!$E1404,EIAwtransport!$I$2:$I$675,Program_data!R$2)</f>
        <v>1429680000</v>
      </c>
      <c r="S1404" s="5">
        <f>SUMIFS(EIAwtransport!$J$2:$J$675,EIAwtransport!$E$2:$E$675,Program_data!$E1404,EIAwtransport!$I$2:$I$675,Program_data!S$2)</f>
        <v>158285451.98410821</v>
      </c>
      <c r="T1404" s="5">
        <f>SUMIFS(EIAwtransport!$J$2:$J$675,EIAwtransport!$E$2:$E$675,Program_data!$E1404,EIAwtransport!$I$2:$I$675,Program_data!T$2)</f>
        <v>1074614</v>
      </c>
      <c r="U1404" s="24">
        <f t="shared" si="437"/>
        <v>5.7008937891088987E-7</v>
      </c>
      <c r="V1404" s="24">
        <f t="shared" si="440"/>
        <v>6.334326432343219E-7</v>
      </c>
      <c r="W1404" s="24">
        <f t="shared" si="438"/>
        <v>5.6672551928635027E-6</v>
      </c>
      <c r="X1404" s="25">
        <f t="shared" si="439"/>
        <v>4.9409545022096154E-6</v>
      </c>
      <c r="Y1404" s="8">
        <f t="shared" si="430"/>
        <v>1.3309617216817279E-2</v>
      </c>
      <c r="Z1404" s="27">
        <f t="shared" si="431"/>
        <v>9.9386874855317124E-4</v>
      </c>
      <c r="AA1404" s="27"/>
      <c r="AB1404" s="27"/>
      <c r="AC1404" s="56">
        <f t="shared" si="441"/>
        <v>7.0995487265921982E-5</v>
      </c>
      <c r="AE1404" s="20" t="e">
        <f>#REF!*1.35</f>
        <v>#REF!</v>
      </c>
      <c r="AF1404" s="20">
        <f t="shared" si="442"/>
        <v>1930068000.0000002</v>
      </c>
      <c r="AG1404">
        <f t="shared" si="443"/>
        <v>854637.08090795856</v>
      </c>
      <c r="AH1404">
        <f t="shared" si="444"/>
        <v>0</v>
      </c>
      <c r="AI1404">
        <f t="shared" si="445"/>
        <v>16695949475.283735</v>
      </c>
    </row>
    <row r="1405" spans="2:35" x14ac:dyDescent="0.25">
      <c r="B1405" s="4">
        <v>2024</v>
      </c>
      <c r="C1405" s="4" t="s">
        <v>33</v>
      </c>
      <c r="D1405" s="1" t="s">
        <v>81</v>
      </c>
      <c r="E1405" s="4" t="s">
        <v>696</v>
      </c>
      <c r="F1405" s="11" t="s">
        <v>143</v>
      </c>
      <c r="G1405" s="11">
        <v>1</v>
      </c>
      <c r="H1405" s="11" t="s">
        <v>781</v>
      </c>
      <c r="I1405" s="11"/>
      <c r="J1405" s="11" t="s">
        <v>27</v>
      </c>
      <c r="K1405" s="92">
        <v>0</v>
      </c>
      <c r="L1405" s="92">
        <v>0</v>
      </c>
      <c r="M1405" s="93">
        <v>25927.556493225897</v>
      </c>
      <c r="N1405" s="8">
        <v>0</v>
      </c>
      <c r="O1405" s="8">
        <f>SUMIFS(EIAwtransport!$J$2:$J$675,EIAwtransport!$E$2:$E$675,Program_data!$E1405,EIAwtransport!$H$2:$H$675,Program_data!$F1405,EIAwtransport!$I$2:$I$675,Program_data!O$2)</f>
        <v>0</v>
      </c>
      <c r="P1405" s="5">
        <f>SUMIFS(EIAwtransport!$J$2:$J$675,EIAwtransport!$E$2:$E$675,Program_data!$E1405,EIAwtransport!$H$2:$H$675,Program_data!$F1405,EIAwtransport!$I$2:$I$675,Program_data!P$2)</f>
        <v>0</v>
      </c>
      <c r="Q1405" s="5">
        <f>SUMIFS(EIAwtransport!$J$2:$J$675,EIAwtransport!$E$2:$E$675,Program_data!$E1405,EIAwtransport!$H$2:$H$675,Program_data!$F1405,EIAwtransport!$I$2:$I$675,Program_data!Q$2)</f>
        <v>0</v>
      </c>
      <c r="R1405" s="8">
        <f>SUMIFS(EIAwtransport!$J$2:$J$675,EIAwtransport!$E$2:$E$675,Program_data!$E1405,EIAwtransport!$I$2:$I$675,Program_data!R$2)</f>
        <v>1429680000</v>
      </c>
      <c r="S1405" s="5">
        <f>SUMIFS(EIAwtransport!$J$2:$J$675,EIAwtransport!$E$2:$E$675,Program_data!$E1405,EIAwtransport!$I$2:$I$675,Program_data!S$2)</f>
        <v>158285451.98410821</v>
      </c>
      <c r="T1405" s="5">
        <f>SUMIFS(EIAwtransport!$J$2:$J$675,EIAwtransport!$E$2:$E$675,Program_data!$E1405,EIAwtransport!$I$2:$I$675,Program_data!T$2)</f>
        <v>1074614</v>
      </c>
      <c r="U1405" s="24">
        <f t="shared" si="437"/>
        <v>0</v>
      </c>
      <c r="V1405" s="24">
        <f t="shared" si="440"/>
        <v>0</v>
      </c>
      <c r="W1405" s="24">
        <f t="shared" si="438"/>
        <v>1.8135216617163211E-5</v>
      </c>
      <c r="X1405" s="25">
        <f t="shared" si="439"/>
        <v>1.5811054407070769E-5</v>
      </c>
      <c r="Y1405" s="8">
        <f t="shared" si="430"/>
        <v>4.25907750938153E-2</v>
      </c>
      <c r="Z1405" s="27">
        <f t="shared" si="431"/>
        <v>3.180379995370148E-3</v>
      </c>
      <c r="AA1405" s="27"/>
      <c r="AB1405" s="27"/>
      <c r="AC1405" s="56">
        <f t="shared" si="441"/>
        <v>2.2718555925095037E-4</v>
      </c>
      <c r="AE1405" s="20" t="e">
        <f>#REF!*1.35</f>
        <v>#REF!</v>
      </c>
      <c r="AF1405" s="20">
        <f t="shared" si="442"/>
        <v>1930068000.0000002</v>
      </c>
      <c r="AG1405">
        <f t="shared" si="443"/>
        <v>2734838.6589054675</v>
      </c>
      <c r="AH1405">
        <f t="shared" si="444"/>
        <v>0</v>
      </c>
      <c r="AI1405">
        <f t="shared" si="445"/>
        <v>16695949475.283735</v>
      </c>
    </row>
    <row r="1406" spans="2:35" x14ac:dyDescent="0.25">
      <c r="B1406" s="4">
        <v>2024</v>
      </c>
      <c r="C1406" s="4" t="s">
        <v>33</v>
      </c>
      <c r="D1406" s="1" t="s">
        <v>81</v>
      </c>
      <c r="E1406" s="4" t="s">
        <v>696</v>
      </c>
      <c r="F1406" s="11" t="s">
        <v>143</v>
      </c>
      <c r="G1406" s="11">
        <v>1</v>
      </c>
      <c r="H1406" s="11" t="s">
        <v>782</v>
      </c>
      <c r="I1406" s="11"/>
      <c r="J1406" s="11" t="s">
        <v>27</v>
      </c>
      <c r="K1406" s="92">
        <v>890.33696945419706</v>
      </c>
      <c r="L1406" s="92">
        <v>989.26329939355219</v>
      </c>
      <c r="M1406" s="93">
        <v>1620.4722808266185</v>
      </c>
      <c r="N1406" s="8">
        <v>0</v>
      </c>
      <c r="O1406" s="8">
        <f>SUMIFS(EIAwtransport!$J$2:$J$675,EIAwtransport!$E$2:$E$675,Program_data!$E1406,EIAwtransport!$H$2:$H$675,Program_data!$F1406,EIAwtransport!$I$2:$I$675,Program_data!O$2)</f>
        <v>0</v>
      </c>
      <c r="P1406" s="5">
        <f>SUMIFS(EIAwtransport!$J$2:$J$675,EIAwtransport!$E$2:$E$675,Program_data!$E1406,EIAwtransport!$H$2:$H$675,Program_data!$F1406,EIAwtransport!$I$2:$I$675,Program_data!P$2)</f>
        <v>0</v>
      </c>
      <c r="Q1406" s="5">
        <f>SUMIFS(EIAwtransport!$J$2:$J$675,EIAwtransport!$E$2:$E$675,Program_data!$E1406,EIAwtransport!$H$2:$H$675,Program_data!$F1406,EIAwtransport!$I$2:$I$675,Program_data!Q$2)</f>
        <v>0</v>
      </c>
      <c r="R1406" s="8">
        <f>SUMIFS(EIAwtransport!$J$2:$J$675,EIAwtransport!$E$2:$E$675,Program_data!$E1406,EIAwtransport!$I$2:$I$675,Program_data!R$2)</f>
        <v>1429680000</v>
      </c>
      <c r="S1406" s="5">
        <f>SUMIFS(EIAwtransport!$J$2:$J$675,EIAwtransport!$E$2:$E$675,Program_data!$E1406,EIAwtransport!$I$2:$I$675,Program_data!S$2)</f>
        <v>158285451.98410821</v>
      </c>
      <c r="T1406" s="5">
        <f>SUMIFS(EIAwtransport!$J$2:$J$675,EIAwtransport!$E$2:$E$675,Program_data!$E1406,EIAwtransport!$I$2:$I$675,Program_data!T$2)</f>
        <v>1074614</v>
      </c>
      <c r="U1406" s="24">
        <f t="shared" si="437"/>
        <v>5.4294226562941888E-7</v>
      </c>
      <c r="V1406" s="24">
        <f t="shared" si="440"/>
        <v>6.0326918403268746E-7</v>
      </c>
      <c r="W1406" s="24">
        <f t="shared" si="438"/>
        <v>1.1334510385727007E-6</v>
      </c>
      <c r="X1406" s="25">
        <f t="shared" si="439"/>
        <v>9.8819090044192307E-7</v>
      </c>
      <c r="Y1406" s="8">
        <f t="shared" si="430"/>
        <v>2.6619234433634563E-3</v>
      </c>
      <c r="Z1406" s="27">
        <f t="shared" si="431"/>
        <v>1.9877374971063425E-4</v>
      </c>
      <c r="AA1406" s="27"/>
      <c r="AB1406" s="27"/>
      <c r="AC1406" s="56">
        <f t="shared" si="441"/>
        <v>1.4199097453184398E-5</v>
      </c>
      <c r="AE1406" s="20" t="e">
        <f>#REF!*1.35</f>
        <v>#REF!</v>
      </c>
      <c r="AF1406" s="20">
        <f t="shared" si="442"/>
        <v>1930068000.0000002</v>
      </c>
      <c r="AG1406">
        <f t="shared" si="443"/>
        <v>170927.41618159172</v>
      </c>
      <c r="AH1406">
        <f t="shared" si="444"/>
        <v>0</v>
      </c>
      <c r="AI1406">
        <f t="shared" si="445"/>
        <v>16695949475.283735</v>
      </c>
    </row>
    <row r="1407" spans="2:35" x14ac:dyDescent="0.25">
      <c r="B1407" s="4">
        <v>2024</v>
      </c>
      <c r="C1407" s="4" t="s">
        <v>33</v>
      </c>
      <c r="D1407" s="1" t="s">
        <v>81</v>
      </c>
      <c r="E1407" s="4" t="s">
        <v>696</v>
      </c>
      <c r="F1407" s="11" t="s">
        <v>143</v>
      </c>
      <c r="G1407" s="11">
        <v>1</v>
      </c>
      <c r="H1407" s="11" t="s">
        <v>783</v>
      </c>
      <c r="I1407" s="11"/>
      <c r="J1407" s="11" t="s">
        <v>27</v>
      </c>
      <c r="K1407" s="92">
        <v>311.61793930896903</v>
      </c>
      <c r="L1407" s="92">
        <v>346.24215478774329</v>
      </c>
      <c r="M1407" s="93">
        <v>4861.4168424798554</v>
      </c>
      <c r="N1407" s="8">
        <v>0</v>
      </c>
      <c r="O1407" s="8">
        <f>SUMIFS(EIAwtransport!$J$2:$J$675,EIAwtransport!$E$2:$E$675,Program_data!$E1407,EIAwtransport!$H$2:$H$675,Program_data!$F1407,EIAwtransport!$I$2:$I$675,Program_data!O$2)</f>
        <v>0</v>
      </c>
      <c r="P1407" s="5">
        <f>SUMIFS(EIAwtransport!$J$2:$J$675,EIAwtransport!$E$2:$E$675,Program_data!$E1407,EIAwtransport!$H$2:$H$675,Program_data!$F1407,EIAwtransport!$I$2:$I$675,Program_data!P$2)</f>
        <v>0</v>
      </c>
      <c r="Q1407" s="5">
        <f>SUMIFS(EIAwtransport!$J$2:$J$675,EIAwtransport!$E$2:$E$675,Program_data!$E1407,EIAwtransport!$H$2:$H$675,Program_data!$F1407,EIAwtransport!$I$2:$I$675,Program_data!Q$2)</f>
        <v>0</v>
      </c>
      <c r="R1407" s="8">
        <f>SUMIFS(EIAwtransport!$J$2:$J$675,EIAwtransport!$E$2:$E$675,Program_data!$E1407,EIAwtransport!$I$2:$I$675,Program_data!R$2)</f>
        <v>1429680000</v>
      </c>
      <c r="S1407" s="5">
        <f>SUMIFS(EIAwtransport!$J$2:$J$675,EIAwtransport!$E$2:$E$675,Program_data!$E1407,EIAwtransport!$I$2:$I$675,Program_data!S$2)</f>
        <v>158285451.98410821</v>
      </c>
      <c r="T1407" s="5">
        <f>SUMIFS(EIAwtransport!$J$2:$J$675,EIAwtransport!$E$2:$E$675,Program_data!$E1407,EIAwtransport!$I$2:$I$675,Program_data!T$2)</f>
        <v>1074614</v>
      </c>
      <c r="U1407" s="24">
        <f t="shared" si="437"/>
        <v>1.9002979297029662E-7</v>
      </c>
      <c r="V1407" s="24">
        <f t="shared" si="440"/>
        <v>2.1114421441144063E-7</v>
      </c>
      <c r="W1407" s="24">
        <f t="shared" si="438"/>
        <v>3.4003531157181014E-6</v>
      </c>
      <c r="X1407" s="25">
        <f t="shared" si="439"/>
        <v>2.9645727013257692E-6</v>
      </c>
      <c r="Y1407" s="8">
        <f t="shared" si="430"/>
        <v>7.9857703300903679E-3</v>
      </c>
      <c r="Z1407" s="27">
        <f t="shared" si="431"/>
        <v>5.9632124913190274E-4</v>
      </c>
      <c r="AA1407" s="27"/>
      <c r="AB1407" s="27"/>
      <c r="AC1407" s="56">
        <f t="shared" si="441"/>
        <v>4.2597292359553192E-5</v>
      </c>
      <c r="AE1407" s="20" t="e">
        <f>#REF!*1.35</f>
        <v>#REF!</v>
      </c>
      <c r="AF1407" s="20">
        <f t="shared" si="442"/>
        <v>1930068000.0000002</v>
      </c>
      <c r="AG1407">
        <f t="shared" si="443"/>
        <v>512782.24854477518</v>
      </c>
      <c r="AH1407">
        <f t="shared" si="444"/>
        <v>0</v>
      </c>
      <c r="AI1407">
        <f t="shared" si="445"/>
        <v>16695949475.283735</v>
      </c>
    </row>
    <row r="1408" spans="2:35" x14ac:dyDescent="0.25">
      <c r="B1408" s="4">
        <v>2024</v>
      </c>
      <c r="C1408" s="4" t="s">
        <v>33</v>
      </c>
      <c r="D1408" s="1" t="s">
        <v>81</v>
      </c>
      <c r="E1408" s="4" t="s">
        <v>696</v>
      </c>
      <c r="F1408" s="11" t="s">
        <v>143</v>
      </c>
      <c r="G1408" s="11">
        <v>1</v>
      </c>
      <c r="H1408" s="11" t="s">
        <v>784</v>
      </c>
      <c r="I1408" s="11"/>
      <c r="J1408" s="11" t="s">
        <v>21</v>
      </c>
      <c r="K1408" s="92">
        <v>0</v>
      </c>
      <c r="L1408" s="92">
        <v>0</v>
      </c>
      <c r="M1408" s="93">
        <v>6076.7710530998183</v>
      </c>
      <c r="N1408" s="8">
        <v>0</v>
      </c>
      <c r="O1408" s="8">
        <f>SUMIFS(EIAwtransport!$J$2:$J$675,EIAwtransport!$E$2:$E$675,Program_data!$E1408,EIAwtransport!$H$2:$H$675,Program_data!$F1408,EIAwtransport!$I$2:$I$675,Program_data!O$2)</f>
        <v>0</v>
      </c>
      <c r="P1408" s="5">
        <f>SUMIFS(EIAwtransport!$J$2:$J$675,EIAwtransport!$E$2:$E$675,Program_data!$E1408,EIAwtransport!$H$2:$H$675,Program_data!$F1408,EIAwtransport!$I$2:$I$675,Program_data!P$2)</f>
        <v>0</v>
      </c>
      <c r="Q1408" s="5">
        <f>SUMIFS(EIAwtransport!$J$2:$J$675,EIAwtransport!$E$2:$E$675,Program_data!$E1408,EIAwtransport!$H$2:$H$675,Program_data!$F1408,EIAwtransport!$I$2:$I$675,Program_data!Q$2)</f>
        <v>0</v>
      </c>
      <c r="R1408" s="8">
        <f>SUMIFS(EIAwtransport!$J$2:$J$675,EIAwtransport!$E$2:$E$675,Program_data!$E1408,EIAwtransport!$I$2:$I$675,Program_data!R$2)</f>
        <v>1429680000</v>
      </c>
      <c r="S1408" s="5">
        <f>SUMIFS(EIAwtransport!$J$2:$J$675,EIAwtransport!$E$2:$E$675,Program_data!$E1408,EIAwtransport!$I$2:$I$675,Program_data!S$2)</f>
        <v>158285451.98410821</v>
      </c>
      <c r="T1408" s="5">
        <f>SUMIFS(EIAwtransport!$J$2:$J$675,EIAwtransport!$E$2:$E$675,Program_data!$E1408,EIAwtransport!$I$2:$I$675,Program_data!T$2)</f>
        <v>1074614</v>
      </c>
      <c r="U1408" s="24">
        <f t="shared" si="437"/>
        <v>0</v>
      </c>
      <c r="V1408" s="24">
        <f t="shared" si="440"/>
        <v>0</v>
      </c>
      <c r="W1408" s="24">
        <f t="shared" si="438"/>
        <v>4.2504413946476262E-6</v>
      </c>
      <c r="X1408" s="25">
        <f t="shared" si="439"/>
        <v>3.7057158766572111E-6</v>
      </c>
      <c r="Y1408" s="8">
        <f t="shared" si="430"/>
        <v>9.9822129126129582E-3</v>
      </c>
      <c r="Z1408" s="27">
        <f t="shared" si="431"/>
        <v>7.4540156141487837E-4</v>
      </c>
      <c r="AA1408" s="27"/>
      <c r="AB1408" s="27"/>
      <c r="AC1408" s="56">
        <f t="shared" si="441"/>
        <v>5.3246615449441483E-5</v>
      </c>
      <c r="AE1408" s="20" t="e">
        <f>#REF!*1.35</f>
        <v>#REF!</v>
      </c>
      <c r="AF1408" s="20">
        <f t="shared" si="442"/>
        <v>1930068000.0000002</v>
      </c>
      <c r="AG1408">
        <f t="shared" si="443"/>
        <v>640977.81068096892</v>
      </c>
      <c r="AH1408">
        <f t="shared" si="444"/>
        <v>0</v>
      </c>
      <c r="AI1408">
        <f t="shared" si="445"/>
        <v>16695949475.283735</v>
      </c>
    </row>
    <row r="1409" spans="2:35" x14ac:dyDescent="0.25">
      <c r="B1409" s="4">
        <v>2024</v>
      </c>
      <c r="C1409" s="4" t="s">
        <v>33</v>
      </c>
      <c r="D1409" s="1" t="s">
        <v>81</v>
      </c>
      <c r="E1409" s="4" t="s">
        <v>696</v>
      </c>
      <c r="F1409" s="11" t="s">
        <v>143</v>
      </c>
      <c r="G1409" s="11">
        <v>1</v>
      </c>
      <c r="H1409" s="11" t="s">
        <v>785</v>
      </c>
      <c r="I1409" s="11"/>
      <c r="J1409" s="11" t="s">
        <v>21</v>
      </c>
      <c r="K1409" s="101">
        <v>8191.1001189786139</v>
      </c>
      <c r="L1409" s="101">
        <v>9101.2223544206809</v>
      </c>
      <c r="M1409" s="93">
        <v>211990.18377773822</v>
      </c>
      <c r="N1409" s="8">
        <v>0</v>
      </c>
      <c r="O1409" s="8">
        <f>SUMIFS(EIAwtransport!$J$2:$J$675,EIAwtransport!$E$2:$E$675,Program_data!$E1409,EIAwtransport!$H$2:$H$675,Program_data!$F1409,EIAwtransport!$I$2:$I$675,Program_data!O$2)</f>
        <v>0</v>
      </c>
      <c r="P1409" s="5">
        <f>SUMIFS(EIAwtransport!$J$2:$J$675,EIAwtransport!$E$2:$E$675,Program_data!$E1409,EIAwtransport!$H$2:$H$675,Program_data!$F1409,EIAwtransport!$I$2:$I$675,Program_data!P$2)</f>
        <v>0</v>
      </c>
      <c r="Q1409" s="5">
        <f>SUMIFS(EIAwtransport!$J$2:$J$675,EIAwtransport!$E$2:$E$675,Program_data!$E1409,EIAwtransport!$H$2:$H$675,Program_data!$F1409,EIAwtransport!$I$2:$I$675,Program_data!Q$2)</f>
        <v>0</v>
      </c>
      <c r="R1409" s="8">
        <f>SUMIFS(EIAwtransport!$J$2:$J$675,EIAwtransport!$E$2:$E$675,Program_data!$E1409,EIAwtransport!$I$2:$I$675,Program_data!R$2)</f>
        <v>1429680000</v>
      </c>
      <c r="S1409" s="5">
        <f>SUMIFS(EIAwtransport!$J$2:$J$675,EIAwtransport!$E$2:$E$675,Program_data!$E1409,EIAwtransport!$I$2:$I$675,Program_data!S$2)</f>
        <v>158285451.98410821</v>
      </c>
      <c r="T1409" s="5">
        <f>SUMIFS(EIAwtransport!$J$2:$J$675,EIAwtransport!$E$2:$E$675,Program_data!$E1409,EIAwtransport!$I$2:$I$675,Program_data!T$2)</f>
        <v>1074614</v>
      </c>
      <c r="U1409" s="24">
        <f t="shared" si="437"/>
        <v>4.9950688437906532E-6</v>
      </c>
      <c r="V1409" s="24">
        <f t="shared" si="440"/>
        <v>5.5500764931007255E-6</v>
      </c>
      <c r="W1409" s="24">
        <f t="shared" si="438"/>
        <v>1.4827806486608067E-4</v>
      </c>
      <c r="X1409" s="25">
        <f t="shared" si="439"/>
        <v>1.2927513359581238E-4</v>
      </c>
      <c r="Y1409" s="8">
        <f t="shared" si="430"/>
        <v>0.34823282486080731</v>
      </c>
      <c r="Z1409" s="27">
        <f t="shared" si="431"/>
        <v>2.6003581937145172E-2</v>
      </c>
      <c r="AA1409" s="27"/>
      <c r="AB1409" s="27"/>
      <c r="AC1409" s="56">
        <f t="shared" si="441"/>
        <v>1.8575259288255829E-3</v>
      </c>
      <c r="AE1409" s="20" t="e">
        <f>#REF!*1.35</f>
        <v>#REF!</v>
      </c>
      <c r="AF1409" s="20">
        <f t="shared" si="442"/>
        <v>1930068000.0000002</v>
      </c>
      <c r="AG1409">
        <f t="shared" si="443"/>
        <v>22360724.58487583</v>
      </c>
      <c r="AH1409">
        <f t="shared" si="444"/>
        <v>0</v>
      </c>
      <c r="AI1409">
        <f t="shared" si="445"/>
        <v>16695949475.283735</v>
      </c>
    </row>
    <row r="1410" spans="2:35" x14ac:dyDescent="0.25">
      <c r="B1410" s="4">
        <v>2024</v>
      </c>
      <c r="C1410" s="4" t="s">
        <v>33</v>
      </c>
      <c r="D1410" s="1" t="s">
        <v>81</v>
      </c>
      <c r="E1410" s="4" t="s">
        <v>696</v>
      </c>
      <c r="F1410" s="4" t="s">
        <v>143</v>
      </c>
      <c r="G1410" s="11">
        <v>1</v>
      </c>
      <c r="H1410" s="11" t="s">
        <v>786</v>
      </c>
      <c r="I1410" s="11"/>
      <c r="J1410" s="11" t="s">
        <v>21</v>
      </c>
      <c r="K1410" s="101">
        <v>8938.983173320139</v>
      </c>
      <c r="L1410" s="101">
        <v>9932.2035259112654</v>
      </c>
      <c r="M1410" s="93">
        <v>145842.50527439566</v>
      </c>
      <c r="N1410" s="8">
        <v>0</v>
      </c>
      <c r="O1410" s="8">
        <f>SUMIFS(EIAwtransport!$J$2:$J$675,EIAwtransport!$E$2:$E$675,Program_data!$E1410,EIAwtransport!$H$2:$H$675,Program_data!$F1410,EIAwtransport!$I$2:$I$675,Program_data!O$2)</f>
        <v>0</v>
      </c>
      <c r="P1410" s="5">
        <f>SUMIFS(EIAwtransport!$J$2:$J$675,EIAwtransport!$E$2:$E$675,Program_data!$E1410,EIAwtransport!$H$2:$H$675,Program_data!$F1410,EIAwtransport!$I$2:$I$675,Program_data!P$2)</f>
        <v>0</v>
      </c>
      <c r="Q1410" s="5">
        <f>SUMIFS(EIAwtransport!$J$2:$J$675,EIAwtransport!$E$2:$E$675,Program_data!$E1410,EIAwtransport!$H$2:$H$675,Program_data!$F1410,EIAwtransport!$I$2:$I$675,Program_data!Q$2)</f>
        <v>0</v>
      </c>
      <c r="R1410" s="8">
        <f>SUMIFS(EIAwtransport!$J$2:$J$675,EIAwtransport!$E$2:$E$675,Program_data!$E1410,EIAwtransport!$I$2:$I$675,Program_data!R$2)</f>
        <v>1429680000</v>
      </c>
      <c r="S1410" s="5">
        <f>SUMIFS(EIAwtransport!$J$2:$J$675,EIAwtransport!$E$2:$E$675,Program_data!$E1410,EIAwtransport!$I$2:$I$675,Program_data!S$2)</f>
        <v>158285451.98410821</v>
      </c>
      <c r="T1410" s="5">
        <f>SUMIFS(EIAwtransport!$J$2:$J$675,EIAwtransport!$E$2:$E$675,Program_data!$E1410,EIAwtransport!$I$2:$I$675,Program_data!T$2)</f>
        <v>1074614</v>
      </c>
      <c r="U1410" s="24">
        <f t="shared" si="437"/>
        <v>5.4511403469193643E-6</v>
      </c>
      <c r="V1410" s="24">
        <f t="shared" si="440"/>
        <v>6.0568226076881826E-6</v>
      </c>
      <c r="W1410" s="24">
        <f t="shared" si="438"/>
        <v>1.0201059347154305E-4</v>
      </c>
      <c r="X1410" s="25">
        <f t="shared" si="439"/>
        <v>8.893718103977309E-5</v>
      </c>
      <c r="Y1410" s="8">
        <f t="shared" si="430"/>
        <v>0.23957310990271102</v>
      </c>
      <c r="Z1410" s="27">
        <f t="shared" si="431"/>
        <v>1.7889637473957082E-2</v>
      </c>
      <c r="AA1410" s="27"/>
      <c r="AB1410" s="27"/>
      <c r="AC1410" s="56">
        <f t="shared" si="441"/>
        <v>1.2779187707865959E-3</v>
      </c>
      <c r="AE1410" s="20" t="e">
        <f>#REF!*1.35</f>
        <v>#REF!</v>
      </c>
      <c r="AF1410" s="20">
        <f t="shared" si="442"/>
        <v>1930068000.0000002</v>
      </c>
      <c r="AG1410">
        <f t="shared" si="443"/>
        <v>15383467.456343256</v>
      </c>
      <c r="AH1410">
        <f t="shared" si="444"/>
        <v>0</v>
      </c>
      <c r="AI1410">
        <f t="shared" si="445"/>
        <v>16695949475.283735</v>
      </c>
    </row>
    <row r="1411" spans="2:35" x14ac:dyDescent="0.25">
      <c r="B1411" s="4">
        <v>2024</v>
      </c>
      <c r="C1411" s="4" t="s">
        <v>33</v>
      </c>
      <c r="D1411" s="1" t="s">
        <v>81</v>
      </c>
      <c r="E1411" s="4" t="s">
        <v>696</v>
      </c>
      <c r="F1411" s="4" t="s">
        <v>143</v>
      </c>
      <c r="G1411" s="11">
        <v>1</v>
      </c>
      <c r="H1411" s="11" t="s">
        <v>787</v>
      </c>
      <c r="I1411" s="11"/>
      <c r="J1411" s="11" t="s">
        <v>27</v>
      </c>
      <c r="K1411" s="101">
        <v>0</v>
      </c>
      <c r="L1411" s="101">
        <v>0</v>
      </c>
      <c r="M1411" s="93">
        <v>5063.9758775831824</v>
      </c>
      <c r="N1411" s="8">
        <v>0</v>
      </c>
      <c r="O1411" s="8">
        <f>SUMIFS(EIAwtransport!$J$2:$J$675,EIAwtransport!$E$2:$E$675,Program_data!$E1411,EIAwtransport!$H$2:$H$675,Program_data!$F1411,EIAwtransport!$I$2:$I$675,Program_data!O$2)</f>
        <v>0</v>
      </c>
      <c r="P1411" s="5">
        <f>SUMIFS(EIAwtransport!$J$2:$J$675,EIAwtransport!$E$2:$E$675,Program_data!$E1411,EIAwtransport!$H$2:$H$675,Program_data!$F1411,EIAwtransport!$I$2:$I$675,Program_data!P$2)</f>
        <v>0</v>
      </c>
      <c r="Q1411" s="5">
        <f>SUMIFS(EIAwtransport!$J$2:$J$675,EIAwtransport!$E$2:$E$675,Program_data!$E1411,EIAwtransport!$H$2:$H$675,Program_data!$F1411,EIAwtransport!$I$2:$I$675,Program_data!Q$2)</f>
        <v>0</v>
      </c>
      <c r="R1411" s="8">
        <f>SUMIFS(EIAwtransport!$J$2:$J$675,EIAwtransport!$E$2:$E$675,Program_data!$E1411,EIAwtransport!$I$2:$I$675,Program_data!R$2)</f>
        <v>1429680000</v>
      </c>
      <c r="S1411" s="5">
        <f>SUMIFS(EIAwtransport!$J$2:$J$675,EIAwtransport!$E$2:$E$675,Program_data!$E1411,EIAwtransport!$I$2:$I$675,Program_data!S$2)</f>
        <v>158285451.98410821</v>
      </c>
      <c r="T1411" s="5">
        <f>SUMIFS(EIAwtransport!$J$2:$J$675,EIAwtransport!$E$2:$E$675,Program_data!$E1411,EIAwtransport!$I$2:$I$675,Program_data!T$2)</f>
        <v>1074614</v>
      </c>
      <c r="U1411" s="24">
        <f t="shared" si="437"/>
        <v>0</v>
      </c>
      <c r="V1411" s="24">
        <f t="shared" si="440"/>
        <v>0</v>
      </c>
      <c r="W1411" s="24">
        <f t="shared" si="438"/>
        <v>3.5420344955396888E-6</v>
      </c>
      <c r="X1411" s="25">
        <f t="shared" si="439"/>
        <v>3.0880965638810096E-6</v>
      </c>
      <c r="Y1411" s="8">
        <f t="shared" si="430"/>
        <v>8.3185107605107996E-3</v>
      </c>
      <c r="Z1411" s="27">
        <f t="shared" si="431"/>
        <v>6.21167967845732E-4</v>
      </c>
      <c r="AA1411" s="27"/>
      <c r="AB1411" s="27"/>
      <c r="AC1411" s="56">
        <f t="shared" si="441"/>
        <v>4.4372179541201244E-5</v>
      </c>
      <c r="AE1411" s="20" t="e">
        <f>#REF!*1.35</f>
        <v>#REF!</v>
      </c>
      <c r="AF1411" s="20">
        <f t="shared" si="442"/>
        <v>1930068000.0000002</v>
      </c>
      <c r="AG1411">
        <f t="shared" si="443"/>
        <v>534148.1755674741</v>
      </c>
      <c r="AH1411">
        <f t="shared" si="444"/>
        <v>0</v>
      </c>
      <c r="AI1411">
        <f t="shared" si="445"/>
        <v>16695949475.283735</v>
      </c>
    </row>
    <row r="1412" spans="2:35" x14ac:dyDescent="0.25">
      <c r="B1412" s="4">
        <v>2024</v>
      </c>
      <c r="C1412" s="4" t="s">
        <v>33</v>
      </c>
      <c r="D1412" s="1" t="s">
        <v>81</v>
      </c>
      <c r="E1412" s="4" t="s">
        <v>696</v>
      </c>
      <c r="F1412" s="4" t="s">
        <v>143</v>
      </c>
      <c r="G1412" s="11">
        <v>1</v>
      </c>
      <c r="H1412" s="11" t="s">
        <v>788</v>
      </c>
      <c r="I1412" s="11"/>
      <c r="J1412" s="11" t="s">
        <v>21</v>
      </c>
      <c r="K1412" s="101">
        <v>267.10109083625912</v>
      </c>
      <c r="L1412" s="101">
        <v>296.77898981806567</v>
      </c>
      <c r="M1412" s="93">
        <v>3646.0626318598916</v>
      </c>
      <c r="N1412" s="8">
        <v>0</v>
      </c>
      <c r="O1412" s="8">
        <f>SUMIFS(EIAwtransport!$J$2:$J$675,EIAwtransport!$E$2:$E$675,Program_data!$E1412,EIAwtransport!$H$2:$H$675,Program_data!$F1412,EIAwtransport!$I$2:$I$675,Program_data!O$2)</f>
        <v>0</v>
      </c>
      <c r="P1412" s="5">
        <f>SUMIFS(EIAwtransport!$J$2:$J$675,EIAwtransport!$E$2:$E$675,Program_data!$E1412,EIAwtransport!$H$2:$H$675,Program_data!$F1412,EIAwtransport!$I$2:$I$675,Program_data!P$2)</f>
        <v>0</v>
      </c>
      <c r="Q1412" s="5">
        <f>SUMIFS(EIAwtransport!$J$2:$J$675,EIAwtransport!$E$2:$E$675,Program_data!$E1412,EIAwtransport!$H$2:$H$675,Program_data!$F1412,EIAwtransport!$I$2:$I$675,Program_data!Q$2)</f>
        <v>0</v>
      </c>
      <c r="R1412" s="8">
        <f>SUMIFS(EIAwtransport!$J$2:$J$675,EIAwtransport!$E$2:$E$675,Program_data!$E1412,EIAwtransport!$I$2:$I$675,Program_data!R$2)</f>
        <v>1429680000</v>
      </c>
      <c r="S1412" s="5">
        <f>SUMIFS(EIAwtransport!$J$2:$J$675,EIAwtransport!$E$2:$E$675,Program_data!$E1412,EIAwtransport!$I$2:$I$675,Program_data!S$2)</f>
        <v>158285451.98410821</v>
      </c>
      <c r="T1412" s="5">
        <f>SUMIFS(EIAwtransport!$J$2:$J$675,EIAwtransport!$E$2:$E$675,Program_data!$E1412,EIAwtransport!$I$2:$I$675,Program_data!T$2)</f>
        <v>1074614</v>
      </c>
      <c r="U1412" s="24">
        <f t="shared" si="437"/>
        <v>1.6288267968882563E-7</v>
      </c>
      <c r="V1412" s="24">
        <f t="shared" si="440"/>
        <v>1.8098075520980626E-7</v>
      </c>
      <c r="W1412" s="24">
        <f t="shared" si="438"/>
        <v>2.5502648367885761E-6</v>
      </c>
      <c r="X1412" s="25">
        <f t="shared" si="439"/>
        <v>2.2234295259943269E-6</v>
      </c>
      <c r="Y1412" s="8">
        <f t="shared" ref="Y1412:Y1475" si="446">IFERROR(M1412/SUMIFS($K$3:$K$1492,$E$3:$E$1492,E1412,$B$3:$B$1492,B1412,$F$3:$F$1492,F1412,$A$3:$A$1492,""),"")</f>
        <v>5.9893277475677759E-3</v>
      </c>
      <c r="Z1412" s="27">
        <f t="shared" ref="Z1412:Z1475" si="447">IFERROR(M1412/SUMIFS($K$3:$K$1492,$E$3:$E$1492,E1412,$B$3:$B$1492,B1412,$A$3:$A$1492,""),"")</f>
        <v>4.4724093684892706E-4</v>
      </c>
      <c r="AA1412" s="27"/>
      <c r="AB1412" s="27"/>
      <c r="AC1412" s="56">
        <f t="shared" si="441"/>
        <v>3.1947969269664894E-5</v>
      </c>
      <c r="AE1412" s="20" t="e">
        <f>#REF!*1.35</f>
        <v>#REF!</v>
      </c>
      <c r="AF1412" s="20">
        <f t="shared" si="442"/>
        <v>1930068000.0000002</v>
      </c>
      <c r="AG1412">
        <f t="shared" si="443"/>
        <v>384586.68640858139</v>
      </c>
      <c r="AH1412">
        <f t="shared" si="444"/>
        <v>0</v>
      </c>
      <c r="AI1412">
        <f t="shared" si="445"/>
        <v>16695949475.283735</v>
      </c>
    </row>
    <row r="1413" spans="2:35" x14ac:dyDescent="0.25">
      <c r="B1413" s="4">
        <v>2024</v>
      </c>
      <c r="C1413" s="4" t="s">
        <v>33</v>
      </c>
      <c r="D1413" s="1" t="s">
        <v>81</v>
      </c>
      <c r="E1413" s="4" t="s">
        <v>696</v>
      </c>
      <c r="F1413" s="11" t="s">
        <v>143</v>
      </c>
      <c r="G1413" s="11">
        <v>1</v>
      </c>
      <c r="H1413" s="11" t="s">
        <v>789</v>
      </c>
      <c r="I1413" s="11"/>
      <c r="J1413" s="11" t="s">
        <v>21</v>
      </c>
      <c r="K1413" s="101">
        <v>0</v>
      </c>
      <c r="L1413" s="101">
        <v>0</v>
      </c>
      <c r="M1413" s="93">
        <v>0</v>
      </c>
      <c r="N1413" s="8">
        <v>0</v>
      </c>
      <c r="O1413" s="8">
        <f>SUMIFS(EIAwtransport!$J$2:$J$675,EIAwtransport!$E$2:$E$675,Program_data!$E1413,EIAwtransport!$H$2:$H$675,Program_data!$F1413,EIAwtransport!$I$2:$I$675,Program_data!O$2)</f>
        <v>0</v>
      </c>
      <c r="P1413" s="5">
        <f>SUMIFS(EIAwtransport!$J$2:$J$675,EIAwtransport!$E$2:$E$675,Program_data!$E1413,EIAwtransport!$H$2:$H$675,Program_data!$F1413,EIAwtransport!$I$2:$I$675,Program_data!P$2)</f>
        <v>0</v>
      </c>
      <c r="Q1413" s="5">
        <f>SUMIFS(EIAwtransport!$J$2:$J$675,EIAwtransport!$E$2:$E$675,Program_data!$E1413,EIAwtransport!$H$2:$H$675,Program_data!$F1413,EIAwtransport!$I$2:$I$675,Program_data!Q$2)</f>
        <v>0</v>
      </c>
      <c r="R1413" s="8">
        <f>SUMIFS(EIAwtransport!$J$2:$J$675,EIAwtransport!$E$2:$E$675,Program_data!$E1413,EIAwtransport!$I$2:$I$675,Program_data!R$2)</f>
        <v>1429680000</v>
      </c>
      <c r="S1413" s="5">
        <f>SUMIFS(EIAwtransport!$J$2:$J$675,EIAwtransport!$E$2:$E$675,Program_data!$E1413,EIAwtransport!$I$2:$I$675,Program_data!S$2)</f>
        <v>158285451.98410821</v>
      </c>
      <c r="T1413" s="5">
        <f>SUMIFS(EIAwtransport!$J$2:$J$675,EIAwtransport!$E$2:$E$675,Program_data!$E1413,EIAwtransport!$I$2:$I$675,Program_data!T$2)</f>
        <v>1074614</v>
      </c>
      <c r="U1413" s="24">
        <f t="shared" si="437"/>
        <v>0</v>
      </c>
      <c r="V1413" s="24">
        <f t="shared" si="440"/>
        <v>0</v>
      </c>
      <c r="W1413" s="24">
        <f t="shared" si="438"/>
        <v>0</v>
      </c>
      <c r="X1413" s="25">
        <f t="shared" si="439"/>
        <v>0</v>
      </c>
      <c r="Y1413" s="8">
        <f t="shared" si="446"/>
        <v>0</v>
      </c>
      <c r="Z1413" s="27">
        <f t="shared" si="447"/>
        <v>0</v>
      </c>
      <c r="AA1413" s="27"/>
      <c r="AB1413" s="27"/>
      <c r="AC1413" s="56">
        <f t="shared" si="441"/>
        <v>0</v>
      </c>
      <c r="AE1413" s="20" t="e">
        <f>#REF!*1.35</f>
        <v>#REF!</v>
      </c>
      <c r="AF1413" s="20">
        <f t="shared" si="442"/>
        <v>1930068000.0000002</v>
      </c>
      <c r="AG1413">
        <f t="shared" si="443"/>
        <v>0</v>
      </c>
      <c r="AH1413">
        <f t="shared" si="444"/>
        <v>0</v>
      </c>
      <c r="AI1413">
        <f t="shared" si="445"/>
        <v>16695949475.283735</v>
      </c>
    </row>
    <row r="1414" spans="2:35" x14ac:dyDescent="0.25">
      <c r="B1414" s="4">
        <v>2024</v>
      </c>
      <c r="C1414" s="4" t="s">
        <v>33</v>
      </c>
      <c r="D1414" s="1" t="s">
        <v>81</v>
      </c>
      <c r="E1414" s="4" t="s">
        <v>696</v>
      </c>
      <c r="F1414" s="11" t="s">
        <v>143</v>
      </c>
      <c r="G1414" s="11">
        <v>1</v>
      </c>
      <c r="H1414" s="11" t="s">
        <v>790</v>
      </c>
      <c r="I1414" s="11"/>
      <c r="J1414" s="11" t="s">
        <v>55</v>
      </c>
      <c r="K1414" s="102">
        <v>17806.739389083945</v>
      </c>
      <c r="L1414" s="102">
        <v>19785.265987871051</v>
      </c>
      <c r="M1414" s="11">
        <v>121535.42106199639</v>
      </c>
      <c r="N1414" s="8">
        <v>0</v>
      </c>
      <c r="O1414" s="8">
        <f>SUMIFS(EIAwtransport!$J$2:$J$675,EIAwtransport!$E$2:$E$675,Program_data!$E1414,EIAwtransport!$H$2:$H$675,Program_data!$F1414,EIAwtransport!$I$2:$I$675,Program_data!O$2)</f>
        <v>0</v>
      </c>
      <c r="P1414" s="5">
        <f>SUMIFS(EIAwtransport!$J$2:$J$675,EIAwtransport!$E$2:$E$675,Program_data!$E1414,EIAwtransport!$H$2:$H$675,Program_data!$F1414,EIAwtransport!$I$2:$I$675,Program_data!P$2)</f>
        <v>0</v>
      </c>
      <c r="Q1414" s="5">
        <f>SUMIFS(EIAwtransport!$J$2:$J$675,EIAwtransport!$E$2:$E$675,Program_data!$E1414,EIAwtransport!$H$2:$H$675,Program_data!$F1414,EIAwtransport!$I$2:$I$675,Program_data!Q$2)</f>
        <v>0</v>
      </c>
      <c r="R1414" s="8">
        <f>SUMIFS(EIAwtransport!$J$2:$J$675,EIAwtransport!$E$2:$E$675,Program_data!$E1414,EIAwtransport!$I$2:$I$675,Program_data!R$2)</f>
        <v>1429680000</v>
      </c>
      <c r="S1414" s="5">
        <f>SUMIFS(EIAwtransport!$J$2:$J$675,EIAwtransport!$E$2:$E$675,Program_data!$E1414,EIAwtransport!$I$2:$I$675,Program_data!S$2)</f>
        <v>158285451.98410821</v>
      </c>
      <c r="T1414" s="5">
        <f>SUMIFS(EIAwtransport!$J$2:$J$675,EIAwtransport!$E$2:$E$675,Program_data!$E1414,EIAwtransport!$I$2:$I$675,Program_data!T$2)</f>
        <v>1074614</v>
      </c>
      <c r="U1414" s="24">
        <f t="shared" si="437"/>
        <v>1.0858845312588378E-5</v>
      </c>
      <c r="V1414" s="24">
        <f t="shared" si="440"/>
        <v>1.2065383680653753E-5</v>
      </c>
      <c r="W1414" s="24">
        <f t="shared" si="438"/>
        <v>8.500882789295254E-5</v>
      </c>
      <c r="X1414" s="25">
        <f t="shared" si="439"/>
        <v>7.4114317533144231E-5</v>
      </c>
      <c r="Y1414" s="8">
        <f t="shared" si="446"/>
        <v>0.1996442582522592</v>
      </c>
      <c r="Z1414" s="27">
        <f t="shared" si="447"/>
        <v>1.4908031228297569E-2</v>
      </c>
      <c r="AA1414" s="27"/>
      <c r="AB1414" s="27"/>
      <c r="AC1414" s="56">
        <f t="shared" si="441"/>
        <v>1.0649323089888297E-3</v>
      </c>
      <c r="AE1414" s="20" t="e">
        <f>#REF!*1.35</f>
        <v>#REF!</v>
      </c>
      <c r="AF1414" s="20">
        <f t="shared" si="442"/>
        <v>1930068000.0000002</v>
      </c>
      <c r="AG1414">
        <f t="shared" si="443"/>
        <v>12819556.213619379</v>
      </c>
      <c r="AH1414">
        <f t="shared" si="444"/>
        <v>0</v>
      </c>
      <c r="AI1414">
        <f t="shared" si="445"/>
        <v>16695949475.283735</v>
      </c>
    </row>
    <row r="1415" spans="2:35" x14ac:dyDescent="0.25">
      <c r="B1415" s="4">
        <v>2024</v>
      </c>
      <c r="C1415" s="4" t="s">
        <v>33</v>
      </c>
      <c r="D1415" s="1" t="s">
        <v>81</v>
      </c>
      <c r="E1415" s="4" t="s">
        <v>696</v>
      </c>
      <c r="F1415" s="11" t="s">
        <v>143</v>
      </c>
      <c r="G1415" s="11">
        <v>1</v>
      </c>
      <c r="H1415" s="11" t="s">
        <v>791</v>
      </c>
      <c r="I1415" s="11"/>
      <c r="J1415" s="11" t="s">
        <v>21</v>
      </c>
      <c r="K1415" s="102">
        <v>4451.6848472709862</v>
      </c>
      <c r="L1415" s="102">
        <v>4946.3164969677628</v>
      </c>
      <c r="M1415" s="11">
        <v>121535.42106199639</v>
      </c>
      <c r="N1415" s="8">
        <v>0</v>
      </c>
      <c r="O1415" s="8">
        <f>SUMIFS(EIAwtransport!$J$2:$J$675,EIAwtransport!$E$2:$E$675,Program_data!$E1415,EIAwtransport!$H$2:$H$675,Program_data!$F1415,EIAwtransport!$I$2:$I$675,Program_data!O$2)</f>
        <v>0</v>
      </c>
      <c r="P1415" s="5">
        <f>SUMIFS(EIAwtransport!$J$2:$J$675,EIAwtransport!$E$2:$E$675,Program_data!$E1415,EIAwtransport!$H$2:$H$675,Program_data!$F1415,EIAwtransport!$I$2:$I$675,Program_data!P$2)</f>
        <v>0</v>
      </c>
      <c r="Q1415" s="5">
        <f>SUMIFS(EIAwtransport!$J$2:$J$675,EIAwtransport!$E$2:$E$675,Program_data!$E1415,EIAwtransport!$H$2:$H$675,Program_data!$F1415,EIAwtransport!$I$2:$I$675,Program_data!Q$2)</f>
        <v>0</v>
      </c>
      <c r="R1415" s="8">
        <f>SUMIFS(EIAwtransport!$J$2:$J$675,EIAwtransport!$E$2:$E$675,Program_data!$E1415,EIAwtransport!$I$2:$I$675,Program_data!R$2)</f>
        <v>1429680000</v>
      </c>
      <c r="S1415" s="5">
        <f>SUMIFS(EIAwtransport!$J$2:$J$675,EIAwtransport!$E$2:$E$675,Program_data!$E1415,EIAwtransport!$I$2:$I$675,Program_data!S$2)</f>
        <v>158285451.98410821</v>
      </c>
      <c r="T1415" s="5">
        <f>SUMIFS(EIAwtransport!$J$2:$J$675,EIAwtransport!$E$2:$E$675,Program_data!$E1415,EIAwtransport!$I$2:$I$675,Program_data!T$2)</f>
        <v>1074614</v>
      </c>
      <c r="U1415" s="24">
        <f t="shared" si="437"/>
        <v>2.7147113281470945E-6</v>
      </c>
      <c r="V1415" s="24">
        <f t="shared" si="440"/>
        <v>3.0163459201634383E-6</v>
      </c>
      <c r="W1415" s="24">
        <f t="shared" si="438"/>
        <v>8.500882789295254E-5</v>
      </c>
      <c r="X1415" s="25">
        <f t="shared" si="439"/>
        <v>7.4114317533144231E-5</v>
      </c>
      <c r="Y1415" s="8">
        <f t="shared" si="446"/>
        <v>0.1996442582522592</v>
      </c>
      <c r="Z1415" s="27">
        <f t="shared" si="447"/>
        <v>1.4908031228297569E-2</v>
      </c>
      <c r="AA1415" s="27"/>
      <c r="AB1415" s="27"/>
      <c r="AC1415" s="56">
        <f t="shared" si="441"/>
        <v>1.0649323089888297E-3</v>
      </c>
      <c r="AE1415" s="20" t="e">
        <f>#REF!*1.35</f>
        <v>#REF!</v>
      </c>
      <c r="AF1415" s="20">
        <f t="shared" si="442"/>
        <v>1930068000.0000002</v>
      </c>
      <c r="AG1415">
        <f t="shared" si="443"/>
        <v>12819556.213619379</v>
      </c>
      <c r="AH1415">
        <f t="shared" si="444"/>
        <v>0</v>
      </c>
      <c r="AI1415">
        <f t="shared" si="445"/>
        <v>16695949475.283735</v>
      </c>
    </row>
    <row r="1416" spans="2:35" x14ac:dyDescent="0.25">
      <c r="B1416" s="4">
        <v>2024</v>
      </c>
      <c r="C1416" s="4" t="s">
        <v>33</v>
      </c>
      <c r="D1416" s="1" t="s">
        <v>81</v>
      </c>
      <c r="E1416" s="4" t="s">
        <v>696</v>
      </c>
      <c r="F1416" s="11" t="s">
        <v>143</v>
      </c>
      <c r="G1416" s="11">
        <v>1</v>
      </c>
      <c r="H1416" s="11" t="s">
        <v>792</v>
      </c>
      <c r="I1416" s="11"/>
      <c r="J1416" s="11" t="s">
        <v>21</v>
      </c>
      <c r="K1416" s="102">
        <v>22258.424236354931</v>
      </c>
      <c r="L1416" s="102">
        <v>24731.582484838807</v>
      </c>
      <c r="M1416" s="11">
        <v>202559.03510332727</v>
      </c>
      <c r="N1416" s="8">
        <v>0</v>
      </c>
      <c r="O1416" s="8">
        <f>SUMIFS(EIAwtransport!$J$2:$J$675,EIAwtransport!$E$2:$E$675,Program_data!$E1416,EIAwtransport!$H$2:$H$675,Program_data!$F1416,EIAwtransport!$I$2:$I$675,Program_data!O$2)</f>
        <v>0</v>
      </c>
      <c r="P1416" s="5">
        <f>SUMIFS(EIAwtransport!$J$2:$J$675,EIAwtransport!$E$2:$E$675,Program_data!$E1416,EIAwtransport!$H$2:$H$675,Program_data!$F1416,EIAwtransport!$I$2:$I$675,Program_data!P$2)</f>
        <v>0</v>
      </c>
      <c r="Q1416" s="5">
        <f>SUMIFS(EIAwtransport!$J$2:$J$675,EIAwtransport!$E$2:$E$675,Program_data!$E1416,EIAwtransport!$H$2:$H$675,Program_data!$F1416,EIAwtransport!$I$2:$I$675,Program_data!Q$2)</f>
        <v>0</v>
      </c>
      <c r="R1416" s="8">
        <f>SUMIFS(EIAwtransport!$J$2:$J$675,EIAwtransport!$E$2:$E$675,Program_data!$E1416,EIAwtransport!$I$2:$I$675,Program_data!R$2)</f>
        <v>1429680000</v>
      </c>
      <c r="S1416" s="5">
        <f>SUMIFS(EIAwtransport!$J$2:$J$675,EIAwtransport!$E$2:$E$675,Program_data!$E1416,EIAwtransport!$I$2:$I$675,Program_data!S$2)</f>
        <v>158285451.98410821</v>
      </c>
      <c r="T1416" s="5">
        <f>SUMIFS(EIAwtransport!$J$2:$J$675,EIAwtransport!$E$2:$E$675,Program_data!$E1416,EIAwtransport!$I$2:$I$675,Program_data!T$2)</f>
        <v>1074614</v>
      </c>
      <c r="U1416" s="24">
        <f t="shared" si="437"/>
        <v>1.3573556640735472E-5</v>
      </c>
      <c r="V1416" s="24">
        <f t="shared" si="440"/>
        <v>1.5081729600817187E-5</v>
      </c>
      <c r="W1416" s="24">
        <f t="shared" si="438"/>
        <v>1.4168137982158754E-4</v>
      </c>
      <c r="X1416" s="25">
        <f t="shared" si="439"/>
        <v>1.2352386255524037E-4</v>
      </c>
      <c r="Y1416" s="8">
        <f t="shared" si="446"/>
        <v>0.33274043042043194</v>
      </c>
      <c r="Z1416" s="27">
        <f t="shared" si="447"/>
        <v>2.4846718713829277E-2</v>
      </c>
      <c r="AA1416" s="27"/>
      <c r="AB1416" s="27"/>
      <c r="AC1416" s="56">
        <f t="shared" si="441"/>
        <v>1.7748871816480494E-3</v>
      </c>
      <c r="AE1416" s="20" t="e">
        <f>#REF!*1.35</f>
        <v>#REF!</v>
      </c>
      <c r="AF1416" s="20">
        <f t="shared" si="442"/>
        <v>1930068000.0000002</v>
      </c>
      <c r="AG1416">
        <f t="shared" si="443"/>
        <v>21365927.022698961</v>
      </c>
      <c r="AH1416">
        <f t="shared" si="444"/>
        <v>0</v>
      </c>
      <c r="AI1416">
        <f t="shared" si="445"/>
        <v>16695949475.283735</v>
      </c>
    </row>
    <row r="1417" spans="2:35" x14ac:dyDescent="0.25">
      <c r="B1417" s="4">
        <v>2024</v>
      </c>
      <c r="C1417" s="4" t="s">
        <v>33</v>
      </c>
      <c r="D1417" s="1" t="s">
        <v>81</v>
      </c>
      <c r="E1417" s="4" t="s">
        <v>696</v>
      </c>
      <c r="F1417" s="4" t="s">
        <v>143</v>
      </c>
      <c r="G1417" s="11">
        <v>1</v>
      </c>
      <c r="H1417" s="11" t="s">
        <v>793</v>
      </c>
      <c r="I1417" s="11"/>
      <c r="J1417" s="11" t="s">
        <v>21</v>
      </c>
      <c r="K1417" s="101">
        <v>356.13478778167882</v>
      </c>
      <c r="L1417" s="101">
        <v>395.70531975742091</v>
      </c>
      <c r="M1417" s="93">
        <v>1620.4722808266185</v>
      </c>
      <c r="N1417" s="8">
        <v>0</v>
      </c>
      <c r="O1417" s="8">
        <f>SUMIFS(EIAwtransport!$J$2:$J$675,EIAwtransport!$E$2:$E$675,Program_data!$E1417,EIAwtransport!$H$2:$H$675,Program_data!$F1417,EIAwtransport!$I$2:$I$675,Program_data!O$2)</f>
        <v>0</v>
      </c>
      <c r="P1417" s="5">
        <f>SUMIFS(EIAwtransport!$J$2:$J$675,EIAwtransport!$E$2:$E$675,Program_data!$E1417,EIAwtransport!$H$2:$H$675,Program_data!$F1417,EIAwtransport!$I$2:$I$675,Program_data!P$2)</f>
        <v>0</v>
      </c>
      <c r="Q1417" s="5">
        <f>SUMIFS(EIAwtransport!$J$2:$J$675,EIAwtransport!$E$2:$E$675,Program_data!$E1417,EIAwtransport!$H$2:$H$675,Program_data!$F1417,EIAwtransport!$I$2:$I$675,Program_data!Q$2)</f>
        <v>0</v>
      </c>
      <c r="R1417" s="8">
        <f>SUMIFS(EIAwtransport!$J$2:$J$675,EIAwtransport!$E$2:$E$675,Program_data!$E1417,EIAwtransport!$I$2:$I$675,Program_data!R$2)</f>
        <v>1429680000</v>
      </c>
      <c r="S1417" s="5">
        <f>SUMIFS(EIAwtransport!$J$2:$J$675,EIAwtransport!$E$2:$E$675,Program_data!$E1417,EIAwtransport!$I$2:$I$675,Program_data!S$2)</f>
        <v>158285451.98410821</v>
      </c>
      <c r="T1417" s="5">
        <f>SUMIFS(EIAwtransport!$J$2:$J$675,EIAwtransport!$E$2:$E$675,Program_data!$E1417,EIAwtransport!$I$2:$I$675,Program_data!T$2)</f>
        <v>1074614</v>
      </c>
      <c r="U1417" s="24">
        <f t="shared" si="437"/>
        <v>2.1717690625176751E-7</v>
      </c>
      <c r="V1417" s="24">
        <f t="shared" si="440"/>
        <v>2.4130767361307499E-7</v>
      </c>
      <c r="W1417" s="24">
        <f t="shared" si="438"/>
        <v>1.1334510385727007E-6</v>
      </c>
      <c r="X1417" s="25">
        <f t="shared" si="439"/>
        <v>9.8819090044192307E-7</v>
      </c>
      <c r="Y1417" s="8">
        <f t="shared" si="446"/>
        <v>2.6619234433634563E-3</v>
      </c>
      <c r="Z1417" s="27">
        <f t="shared" si="447"/>
        <v>1.9877374971063425E-4</v>
      </c>
      <c r="AA1417" s="27"/>
      <c r="AB1417" s="27"/>
      <c r="AC1417" s="56">
        <f t="shared" ref="AC1417:AC1448" si="448">IFERROR(M1417/SUMIFS($M$3:$M$1234,$E$3:$E$1234,E1417,$B$3:$B$1234,B1417),"")</f>
        <v>1.4199097453184398E-5</v>
      </c>
      <c r="AE1417" s="20" t="e">
        <f>#REF!*1.35</f>
        <v>#REF!</v>
      </c>
      <c r="AF1417" s="20">
        <f t="shared" ref="AF1417:AF1448" si="449">R1417*1.35</f>
        <v>1930068000.0000002</v>
      </c>
      <c r="AG1417">
        <f t="shared" ref="AG1417:AG1448" si="450">M1417*105.48</f>
        <v>170927.41618159172</v>
      </c>
      <c r="AH1417">
        <f t="shared" ref="AH1417:AH1448" si="451">N1417*105.48</f>
        <v>0</v>
      </c>
      <c r="AI1417">
        <f t="shared" ref="AI1417:AI1448" si="452">S1417*105.48</f>
        <v>16695949475.283735</v>
      </c>
    </row>
    <row r="1418" spans="2:35" x14ac:dyDescent="0.25">
      <c r="B1418" s="4">
        <v>2024</v>
      </c>
      <c r="C1418" s="4" t="s">
        <v>33</v>
      </c>
      <c r="D1418" s="1" t="s">
        <v>81</v>
      </c>
      <c r="E1418" s="4" t="s">
        <v>696</v>
      </c>
      <c r="F1418" s="4" t="s">
        <v>143</v>
      </c>
      <c r="G1418" s="11"/>
      <c r="H1418" s="11" t="s">
        <v>794</v>
      </c>
      <c r="I1418" s="11"/>
      <c r="J1418" s="11" t="s">
        <v>42</v>
      </c>
      <c r="K1418" s="92">
        <v>1914.5905419999999</v>
      </c>
      <c r="L1418" s="92">
        <v>2127.3228244444444</v>
      </c>
      <c r="M1418" s="93">
        <v>56980</v>
      </c>
      <c r="N1418" s="8">
        <v>0</v>
      </c>
      <c r="O1418" s="8">
        <f>SUMIFS(EIAwtransport!$J$2:$J$675,EIAwtransport!$E$2:$E$675,Program_data!$E1418,EIAwtransport!$H$2:$H$675,Program_data!$F1418,EIAwtransport!$I$2:$I$675,Program_data!O$2)</f>
        <v>0</v>
      </c>
      <c r="P1418" s="5">
        <f>SUMIFS(EIAwtransport!$J$2:$J$675,EIAwtransport!$E$2:$E$675,Program_data!$E1418,EIAwtransport!$H$2:$H$675,Program_data!$F1418,EIAwtransport!$I$2:$I$675,Program_data!P$2)</f>
        <v>0</v>
      </c>
      <c r="Q1418" s="5">
        <f>SUMIFS(EIAwtransport!$J$2:$J$675,EIAwtransport!$E$2:$E$675,Program_data!$E1418,EIAwtransport!$H$2:$H$675,Program_data!$F1418,EIAwtransport!$I$2:$I$675,Program_data!Q$2)</f>
        <v>0</v>
      </c>
      <c r="R1418" s="8">
        <f>SUMIFS(EIAwtransport!$J$2:$J$675,EIAwtransport!$E$2:$E$675,Program_data!$E1418,EIAwtransport!$I$2:$I$675,Program_data!R$2)</f>
        <v>1429680000</v>
      </c>
      <c r="S1418" s="5">
        <f>SUMIFS(EIAwtransport!$J$2:$J$675,EIAwtransport!$E$2:$E$675,Program_data!$E1418,EIAwtransport!$I$2:$I$675,Program_data!S$2)</f>
        <v>158285451.98410821</v>
      </c>
      <c r="T1418" s="5">
        <f>SUMIFS(EIAwtransport!$J$2:$J$675,EIAwtransport!$E$2:$E$675,Program_data!$E1418,EIAwtransport!$I$2:$I$675,Program_data!T$2)</f>
        <v>1074614</v>
      </c>
      <c r="U1418" s="24">
        <f t="shared" si="437"/>
        <v>1.1675490991499415E-6</v>
      </c>
      <c r="V1418" s="24">
        <f t="shared" si="440"/>
        <v>1.2972767768332685E-6</v>
      </c>
      <c r="W1418" s="24">
        <f t="shared" si="438"/>
        <v>3.9855072463768117E-5</v>
      </c>
      <c r="X1418" s="25">
        <f t="shared" si="439"/>
        <v>3.4747349999999988E-5</v>
      </c>
      <c r="Y1418" s="8">
        <f t="shared" si="446"/>
        <v>9.3600118679893818E-2</v>
      </c>
      <c r="Z1418" s="27">
        <f t="shared" si="447"/>
        <v>6.9893995673498176E-3</v>
      </c>
      <c r="AA1418" s="27"/>
      <c r="AB1418" s="27"/>
      <c r="AC1418" s="56">
        <f t="shared" si="448"/>
        <v>4.9927702093721432E-4</v>
      </c>
      <c r="AE1418" s="20" t="e">
        <f>#REF!*1.35</f>
        <v>#REF!</v>
      </c>
      <c r="AF1418" s="20">
        <f t="shared" si="449"/>
        <v>1930068000.0000002</v>
      </c>
      <c r="AG1418">
        <f t="shared" si="450"/>
        <v>6010250.4000000004</v>
      </c>
      <c r="AH1418">
        <f t="shared" si="451"/>
        <v>0</v>
      </c>
      <c r="AI1418">
        <f t="shared" si="452"/>
        <v>16695949475.283735</v>
      </c>
    </row>
    <row r="1419" spans="2:35" x14ac:dyDescent="0.25">
      <c r="B1419" s="4">
        <v>2024</v>
      </c>
      <c r="C1419" s="4" t="s">
        <v>33</v>
      </c>
      <c r="D1419" s="1" t="s">
        <v>81</v>
      </c>
      <c r="E1419" s="4" t="s">
        <v>696</v>
      </c>
      <c r="F1419" s="4" t="s">
        <v>135</v>
      </c>
      <c r="G1419" s="11"/>
      <c r="H1419" s="11" t="s">
        <v>795</v>
      </c>
      <c r="I1419" s="11"/>
      <c r="J1419" s="11" t="s">
        <v>21</v>
      </c>
      <c r="K1419" s="92">
        <v>97.479520121986013</v>
      </c>
      <c r="L1419" s="92">
        <v>108.31057791331779</v>
      </c>
      <c r="M1419" s="93">
        <v>95.244463017133313</v>
      </c>
      <c r="N1419" s="8">
        <v>0</v>
      </c>
      <c r="O1419" s="8">
        <f>SUMIFS(EIAwtransport!$J$2:$J$675,EIAwtransport!$E$2:$E$675,Program_data!$E1419,EIAwtransport!$H$2:$H$675,Program_data!$F1419,EIAwtransport!$I$2:$I$675,Program_data!O$2)</f>
        <v>874680000</v>
      </c>
      <c r="P1419" s="5">
        <f>SUMIFS(EIAwtransport!$J$2:$J$675,EIAwtransport!$E$2:$E$675,Program_data!$E1419,EIAwtransport!$H$2:$H$675,Program_data!$F1419,EIAwtransport!$I$2:$I$675,Program_data!P$2)</f>
        <v>82460085.7641761</v>
      </c>
      <c r="Q1419" s="5">
        <f>SUMIFS(EIAwtransport!$J$2:$J$675,EIAwtransport!$E$2:$E$675,Program_data!$E1419,EIAwtransport!$H$2:$H$675,Program_data!$F1419,EIAwtransport!$I$2:$I$675,Program_data!Q$2)</f>
        <v>976170</v>
      </c>
      <c r="R1419" s="8">
        <f>SUMIFS(EIAwtransport!$J$2:$J$675,EIAwtransport!$E$2:$E$675,Program_data!$E1419,EIAwtransport!$I$2:$I$675,Program_data!R$2)</f>
        <v>1429680000</v>
      </c>
      <c r="S1419" s="5">
        <f>SUMIFS(EIAwtransport!$J$2:$J$675,EIAwtransport!$E$2:$E$675,Program_data!$E1419,EIAwtransport!$I$2:$I$675,Program_data!S$2)</f>
        <v>158285451.98410821</v>
      </c>
      <c r="T1419" s="5">
        <f>SUMIFS(EIAwtransport!$J$2:$J$675,EIAwtransport!$E$2:$E$675,Program_data!$E1419,EIAwtransport!$I$2:$I$675,Program_data!T$2)</f>
        <v>1074614</v>
      </c>
      <c r="U1419" s="24">
        <f t="shared" si="437"/>
        <v>5.9444629756242356E-8</v>
      </c>
      <c r="V1419" s="24">
        <f t="shared" si="440"/>
        <v>6.6049588618047053E-8</v>
      </c>
      <c r="W1419" s="24">
        <f t="shared" si="438"/>
        <v>6.661942743630275E-8</v>
      </c>
      <c r="X1419" s="25">
        <f t="shared" si="439"/>
        <v>5.8081654826577504E-8</v>
      </c>
      <c r="Y1419" s="8">
        <f t="shared" si="446"/>
        <v>5.8382361365359265E-5</v>
      </c>
      <c r="Z1419" s="27">
        <f t="shared" si="447"/>
        <v>1.1683074914082438E-5</v>
      </c>
      <c r="AA1419" s="27"/>
      <c r="AB1419" s="27"/>
      <c r="AC1419" s="56">
        <f t="shared" si="448"/>
        <v>8.3456250887958937E-7</v>
      </c>
      <c r="AE1419" s="20" t="e">
        <f>#REF!*1.35</f>
        <v>#REF!</v>
      </c>
      <c r="AF1419" s="20">
        <f t="shared" si="449"/>
        <v>1930068000.0000002</v>
      </c>
      <c r="AG1419">
        <f t="shared" si="450"/>
        <v>10046.385959047222</v>
      </c>
      <c r="AH1419">
        <f t="shared" si="451"/>
        <v>0</v>
      </c>
      <c r="AI1419">
        <f t="shared" si="452"/>
        <v>16695949475.283735</v>
      </c>
    </row>
    <row r="1420" spans="2:35" x14ac:dyDescent="0.25">
      <c r="B1420" s="4">
        <v>2024</v>
      </c>
      <c r="C1420" s="4" t="s">
        <v>33</v>
      </c>
      <c r="D1420" s="1" t="s">
        <v>81</v>
      </c>
      <c r="E1420" s="4" t="s">
        <v>696</v>
      </c>
      <c r="F1420" s="4" t="s">
        <v>135</v>
      </c>
      <c r="G1420" s="11"/>
      <c r="H1420" s="11" t="s">
        <v>796</v>
      </c>
      <c r="I1420" s="11"/>
      <c r="J1420" s="11" t="s">
        <v>21</v>
      </c>
      <c r="K1420" s="92">
        <v>427.41020361178488</v>
      </c>
      <c r="L1420" s="92">
        <v>474.90022623531644</v>
      </c>
      <c r="M1420" s="93">
        <v>1428.6669452569997</v>
      </c>
      <c r="N1420" s="8">
        <v>0</v>
      </c>
      <c r="O1420" s="8">
        <f>SUMIFS(EIAwtransport!$J$2:$J$675,EIAwtransport!$E$2:$E$675,Program_data!$E1420,EIAwtransport!$H$2:$H$675,Program_data!$F1420,EIAwtransport!$I$2:$I$675,Program_data!O$2)</f>
        <v>874680000</v>
      </c>
      <c r="P1420" s="5">
        <f>SUMIFS(EIAwtransport!$J$2:$J$675,EIAwtransport!$E$2:$E$675,Program_data!$E1420,EIAwtransport!$H$2:$H$675,Program_data!$F1420,EIAwtransport!$I$2:$I$675,Program_data!P$2)</f>
        <v>82460085.7641761</v>
      </c>
      <c r="Q1420" s="5">
        <f>SUMIFS(EIAwtransport!$J$2:$J$675,EIAwtransport!$E$2:$E$675,Program_data!$E1420,EIAwtransport!$H$2:$H$675,Program_data!$F1420,EIAwtransport!$I$2:$I$675,Program_data!Q$2)</f>
        <v>976170</v>
      </c>
      <c r="R1420" s="8">
        <f>SUMIFS(EIAwtransport!$J$2:$J$675,EIAwtransport!$E$2:$E$675,Program_data!$E1420,EIAwtransport!$I$2:$I$675,Program_data!R$2)</f>
        <v>1429680000</v>
      </c>
      <c r="S1420" s="5">
        <f>SUMIFS(EIAwtransport!$J$2:$J$675,EIAwtransport!$E$2:$E$675,Program_data!$E1420,EIAwtransport!$I$2:$I$675,Program_data!S$2)</f>
        <v>158285451.98410821</v>
      </c>
      <c r="T1420" s="5">
        <f>SUMIFS(EIAwtransport!$J$2:$J$675,EIAwtransport!$E$2:$E$675,Program_data!$E1420,EIAwtransport!$I$2:$I$675,Program_data!T$2)</f>
        <v>1074614</v>
      </c>
      <c r="U1420" s="24">
        <f t="shared" si="437"/>
        <v>2.6064183816198577E-7</v>
      </c>
      <c r="V1420" s="24">
        <f t="shared" si="440"/>
        <v>2.8960204240220634E-7</v>
      </c>
      <c r="W1420" s="24">
        <f t="shared" si="438"/>
        <v>9.9929141154454116E-7</v>
      </c>
      <c r="X1420" s="25">
        <f t="shared" si="439"/>
        <v>8.7122482239866247E-7</v>
      </c>
      <c r="Y1420" s="8">
        <f t="shared" si="446"/>
        <v>8.75735420480389E-4</v>
      </c>
      <c r="Z1420" s="27">
        <f t="shared" si="447"/>
        <v>1.7524612371123656E-4</v>
      </c>
      <c r="AA1420" s="27"/>
      <c r="AB1420" s="27"/>
      <c r="AC1420" s="56">
        <f t="shared" si="448"/>
        <v>1.251843763319384E-5</v>
      </c>
      <c r="AE1420" s="20" t="e">
        <f>#REF!*1.35</f>
        <v>#REF!</v>
      </c>
      <c r="AF1420" s="20">
        <f t="shared" si="449"/>
        <v>1930068000.0000002</v>
      </c>
      <c r="AG1420">
        <f t="shared" si="450"/>
        <v>150695.78938570834</v>
      </c>
      <c r="AH1420">
        <f t="shared" si="451"/>
        <v>0</v>
      </c>
      <c r="AI1420">
        <f t="shared" si="452"/>
        <v>16695949475.283735</v>
      </c>
    </row>
    <row r="1421" spans="2:35" x14ac:dyDescent="0.25">
      <c r="B1421" s="4">
        <v>2024</v>
      </c>
      <c r="C1421" s="4" t="s">
        <v>33</v>
      </c>
      <c r="D1421" s="1" t="s">
        <v>81</v>
      </c>
      <c r="E1421" s="4" t="s">
        <v>696</v>
      </c>
      <c r="F1421" s="4" t="s">
        <v>135</v>
      </c>
      <c r="G1421" s="11"/>
      <c r="H1421" s="11" t="s">
        <v>797</v>
      </c>
      <c r="I1421" s="11"/>
      <c r="J1421" s="11" t="s">
        <v>21</v>
      </c>
      <c r="K1421" s="92">
        <v>0</v>
      </c>
      <c r="L1421" s="92">
        <v>0</v>
      </c>
      <c r="M1421" s="93">
        <v>142.86669452569996</v>
      </c>
      <c r="N1421" s="8">
        <v>0</v>
      </c>
      <c r="O1421" s="8">
        <f>SUMIFS(EIAwtransport!$J$2:$J$675,EIAwtransport!$E$2:$E$675,Program_data!$E1421,EIAwtransport!$H$2:$H$675,Program_data!$F1421,EIAwtransport!$I$2:$I$675,Program_data!O$2)</f>
        <v>874680000</v>
      </c>
      <c r="P1421" s="5">
        <f>SUMIFS(EIAwtransport!$J$2:$J$675,EIAwtransport!$E$2:$E$675,Program_data!$E1421,EIAwtransport!$H$2:$H$675,Program_data!$F1421,EIAwtransport!$I$2:$I$675,Program_data!P$2)</f>
        <v>82460085.7641761</v>
      </c>
      <c r="Q1421" s="5">
        <f>SUMIFS(EIAwtransport!$J$2:$J$675,EIAwtransport!$E$2:$E$675,Program_data!$E1421,EIAwtransport!$H$2:$H$675,Program_data!$F1421,EIAwtransport!$I$2:$I$675,Program_data!Q$2)</f>
        <v>976170</v>
      </c>
      <c r="R1421" s="8">
        <f>SUMIFS(EIAwtransport!$J$2:$J$675,EIAwtransport!$E$2:$E$675,Program_data!$E1421,EIAwtransport!$I$2:$I$675,Program_data!R$2)</f>
        <v>1429680000</v>
      </c>
      <c r="S1421" s="5">
        <f>SUMIFS(EIAwtransport!$J$2:$J$675,EIAwtransport!$E$2:$E$675,Program_data!$E1421,EIAwtransport!$I$2:$I$675,Program_data!S$2)</f>
        <v>158285451.98410821</v>
      </c>
      <c r="T1421" s="5">
        <f>SUMIFS(EIAwtransport!$J$2:$J$675,EIAwtransport!$E$2:$E$675,Program_data!$E1421,EIAwtransport!$I$2:$I$675,Program_data!T$2)</f>
        <v>1074614</v>
      </c>
      <c r="U1421" s="24">
        <f t="shared" si="437"/>
        <v>0</v>
      </c>
      <c r="V1421" s="24">
        <f t="shared" si="440"/>
        <v>0</v>
      </c>
      <c r="W1421" s="24">
        <f t="shared" si="438"/>
        <v>9.9929141154454118E-8</v>
      </c>
      <c r="X1421" s="25">
        <f t="shared" si="439"/>
        <v>8.7122482239866237E-8</v>
      </c>
      <c r="Y1421" s="8">
        <f t="shared" si="446"/>
        <v>8.7573542048038883E-5</v>
      </c>
      <c r="Z1421" s="27">
        <f t="shared" si="447"/>
        <v>1.7524612371123655E-5</v>
      </c>
      <c r="AA1421" s="27"/>
      <c r="AB1421" s="27"/>
      <c r="AC1421" s="56">
        <f t="shared" si="448"/>
        <v>1.251843763319384E-6</v>
      </c>
      <c r="AE1421" s="20" t="e">
        <f>#REF!*1.35</f>
        <v>#REF!</v>
      </c>
      <c r="AF1421" s="20">
        <f t="shared" si="449"/>
        <v>1930068000.0000002</v>
      </c>
      <c r="AG1421">
        <f t="shared" si="450"/>
        <v>15069.578938570832</v>
      </c>
      <c r="AH1421">
        <f t="shared" si="451"/>
        <v>0</v>
      </c>
      <c r="AI1421">
        <f t="shared" si="452"/>
        <v>16695949475.283735</v>
      </c>
    </row>
    <row r="1422" spans="2:35" x14ac:dyDescent="0.25">
      <c r="B1422" s="4">
        <v>2024</v>
      </c>
      <c r="C1422" s="4" t="s">
        <v>33</v>
      </c>
      <c r="D1422" s="1" t="s">
        <v>81</v>
      </c>
      <c r="E1422" s="4" t="s">
        <v>696</v>
      </c>
      <c r="F1422" s="4" t="s">
        <v>135</v>
      </c>
      <c r="G1422" s="11"/>
      <c r="H1422" s="11" t="s">
        <v>798</v>
      </c>
      <c r="I1422" s="11"/>
      <c r="J1422" s="11" t="s">
        <v>27</v>
      </c>
      <c r="K1422" s="92">
        <v>326.18147117741478</v>
      </c>
      <c r="L1422" s="92">
        <v>362.42385686379407</v>
      </c>
      <c r="M1422" s="93">
        <v>857.20016715419979</v>
      </c>
      <c r="N1422" s="8">
        <v>0</v>
      </c>
      <c r="O1422" s="8">
        <f>SUMIFS(EIAwtransport!$J$2:$J$675,EIAwtransport!$E$2:$E$675,Program_data!$E1422,EIAwtransport!$H$2:$H$675,Program_data!$F1422,EIAwtransport!$I$2:$I$675,Program_data!O$2)</f>
        <v>874680000</v>
      </c>
      <c r="P1422" s="5">
        <f>SUMIFS(EIAwtransport!$J$2:$J$675,EIAwtransport!$E$2:$E$675,Program_data!$E1422,EIAwtransport!$H$2:$H$675,Program_data!$F1422,EIAwtransport!$I$2:$I$675,Program_data!P$2)</f>
        <v>82460085.7641761</v>
      </c>
      <c r="Q1422" s="5">
        <f>SUMIFS(EIAwtransport!$J$2:$J$675,EIAwtransport!$E$2:$E$675,Program_data!$E1422,EIAwtransport!$H$2:$H$675,Program_data!$F1422,EIAwtransport!$I$2:$I$675,Program_data!Q$2)</f>
        <v>976170</v>
      </c>
      <c r="R1422" s="8">
        <f>SUMIFS(EIAwtransport!$J$2:$J$675,EIAwtransport!$E$2:$E$675,Program_data!$E1422,EIAwtransport!$I$2:$I$675,Program_data!R$2)</f>
        <v>1429680000</v>
      </c>
      <c r="S1422" s="5">
        <f>SUMIFS(EIAwtransport!$J$2:$J$675,EIAwtransport!$E$2:$E$675,Program_data!$E1422,EIAwtransport!$I$2:$I$675,Program_data!S$2)</f>
        <v>158285451.98410821</v>
      </c>
      <c r="T1422" s="5">
        <f>SUMIFS(EIAwtransport!$J$2:$J$675,EIAwtransport!$E$2:$E$675,Program_data!$E1422,EIAwtransport!$I$2:$I$675,Program_data!T$2)</f>
        <v>1074614</v>
      </c>
      <c r="U1422" s="24">
        <f t="shared" si="437"/>
        <v>1.9891087649204176E-7</v>
      </c>
      <c r="V1422" s="24">
        <f t="shared" si="440"/>
        <v>2.2101208499115741E-7</v>
      </c>
      <c r="W1422" s="24">
        <f t="shared" si="438"/>
        <v>5.9957484692672474E-7</v>
      </c>
      <c r="X1422" s="25">
        <f t="shared" si="439"/>
        <v>5.2273489343919742E-7</v>
      </c>
      <c r="Y1422" s="8">
        <f t="shared" si="446"/>
        <v>5.2544125228823335E-4</v>
      </c>
      <c r="Z1422" s="27">
        <f t="shared" si="447"/>
        <v>1.0514767422674193E-4</v>
      </c>
      <c r="AA1422" s="27"/>
      <c r="AB1422" s="27"/>
      <c r="AC1422" s="56">
        <f t="shared" si="448"/>
        <v>7.511062579916304E-6</v>
      </c>
      <c r="AE1422" s="20" t="e">
        <f>#REF!*1.35</f>
        <v>#REF!</v>
      </c>
      <c r="AF1422" s="20">
        <f t="shared" si="449"/>
        <v>1930068000.0000002</v>
      </c>
      <c r="AG1422">
        <f t="shared" si="450"/>
        <v>90417.473631425004</v>
      </c>
      <c r="AH1422">
        <f t="shared" si="451"/>
        <v>0</v>
      </c>
      <c r="AI1422">
        <f t="shared" si="452"/>
        <v>16695949475.283735</v>
      </c>
    </row>
    <row r="1423" spans="2:35" x14ac:dyDescent="0.25">
      <c r="B1423" s="4">
        <v>2024</v>
      </c>
      <c r="C1423" s="4" t="s">
        <v>33</v>
      </c>
      <c r="D1423" s="1" t="s">
        <v>81</v>
      </c>
      <c r="E1423" s="4" t="s">
        <v>696</v>
      </c>
      <c r="F1423" s="4" t="s">
        <v>135</v>
      </c>
      <c r="G1423" s="11"/>
      <c r="H1423" s="11" t="s">
        <v>799</v>
      </c>
      <c r="I1423" s="11"/>
      <c r="J1423" s="11" t="s">
        <v>27</v>
      </c>
      <c r="K1423" s="92">
        <v>772.33773635112004</v>
      </c>
      <c r="L1423" s="92">
        <v>858.15304039013313</v>
      </c>
      <c r="M1423" s="93">
        <v>952.44463017133307</v>
      </c>
      <c r="N1423" s="8">
        <v>0</v>
      </c>
      <c r="O1423" s="8">
        <f>SUMIFS(EIAwtransport!$J$2:$J$675,EIAwtransport!$E$2:$E$675,Program_data!$E1423,EIAwtransport!$H$2:$H$675,Program_data!$F1423,EIAwtransport!$I$2:$I$675,Program_data!O$2)</f>
        <v>874680000</v>
      </c>
      <c r="P1423" s="5">
        <f>SUMIFS(EIAwtransport!$J$2:$J$675,EIAwtransport!$E$2:$E$675,Program_data!$E1423,EIAwtransport!$H$2:$H$675,Program_data!$F1423,EIAwtransport!$I$2:$I$675,Program_data!P$2)</f>
        <v>82460085.7641761</v>
      </c>
      <c r="Q1423" s="5">
        <f>SUMIFS(EIAwtransport!$J$2:$J$675,EIAwtransport!$E$2:$E$675,Program_data!$E1423,EIAwtransport!$H$2:$H$675,Program_data!$F1423,EIAwtransport!$I$2:$I$675,Program_data!Q$2)</f>
        <v>976170</v>
      </c>
      <c r="R1423" s="8">
        <f>SUMIFS(EIAwtransport!$J$2:$J$675,EIAwtransport!$E$2:$E$675,Program_data!$E1423,EIAwtransport!$I$2:$I$675,Program_data!R$2)</f>
        <v>1429680000</v>
      </c>
      <c r="S1423" s="5">
        <f>SUMIFS(EIAwtransport!$J$2:$J$675,EIAwtransport!$E$2:$E$675,Program_data!$E1423,EIAwtransport!$I$2:$I$675,Program_data!S$2)</f>
        <v>158285451.98410821</v>
      </c>
      <c r="T1423" s="5">
        <f>SUMIFS(EIAwtransport!$J$2:$J$675,EIAwtransport!$E$2:$E$675,Program_data!$E1423,EIAwtransport!$I$2:$I$675,Program_data!T$2)</f>
        <v>1074614</v>
      </c>
      <c r="U1423" s="24">
        <f t="shared" si="437"/>
        <v>4.7098437422253566E-7</v>
      </c>
      <c r="V1423" s="24">
        <f t="shared" si="440"/>
        <v>5.233159713583727E-7</v>
      </c>
      <c r="W1423" s="24">
        <f t="shared" si="438"/>
        <v>6.6619427436302747E-7</v>
      </c>
      <c r="X1423" s="25">
        <f t="shared" si="439"/>
        <v>5.8081654826577502E-7</v>
      </c>
      <c r="Y1423" s="8">
        <f t="shared" si="446"/>
        <v>5.8382361365359259E-4</v>
      </c>
      <c r="Z1423" s="27">
        <f t="shared" si="447"/>
        <v>1.1683074914082437E-4</v>
      </c>
      <c r="AA1423" s="27"/>
      <c r="AB1423" s="27"/>
      <c r="AC1423" s="56">
        <f t="shared" si="448"/>
        <v>8.3456250887958939E-6</v>
      </c>
      <c r="AE1423" s="20" t="e">
        <f>#REF!*1.35</f>
        <v>#REF!</v>
      </c>
      <c r="AF1423" s="20">
        <f t="shared" si="449"/>
        <v>1930068000.0000002</v>
      </c>
      <c r="AG1423">
        <f t="shared" si="450"/>
        <v>100463.85959047222</v>
      </c>
      <c r="AH1423">
        <f t="shared" si="451"/>
        <v>0</v>
      </c>
      <c r="AI1423">
        <f t="shared" si="452"/>
        <v>16695949475.283735</v>
      </c>
    </row>
    <row r="1424" spans="2:35" x14ac:dyDescent="0.25">
      <c r="B1424" s="4">
        <v>2024</v>
      </c>
      <c r="C1424" s="4" t="s">
        <v>33</v>
      </c>
      <c r="D1424" s="1" t="s">
        <v>81</v>
      </c>
      <c r="E1424" s="4" t="s">
        <v>696</v>
      </c>
      <c r="F1424" s="4" t="s">
        <v>135</v>
      </c>
      <c r="G1424" s="11"/>
      <c r="H1424" s="11" t="s">
        <v>800</v>
      </c>
      <c r="I1424" s="11"/>
      <c r="J1424" s="11" t="s">
        <v>27</v>
      </c>
      <c r="K1424" s="92">
        <v>0</v>
      </c>
      <c r="L1424" s="92">
        <v>0</v>
      </c>
      <c r="M1424" s="93">
        <v>571.46677810279982</v>
      </c>
      <c r="N1424" s="8">
        <v>0</v>
      </c>
      <c r="O1424" s="8">
        <f>SUMIFS(EIAwtransport!$J$2:$J$675,EIAwtransport!$E$2:$E$675,Program_data!$E1424,EIAwtransport!$H$2:$H$675,Program_data!$F1424,EIAwtransport!$I$2:$I$675,Program_data!O$2)</f>
        <v>874680000</v>
      </c>
      <c r="P1424" s="5">
        <f>SUMIFS(EIAwtransport!$J$2:$J$675,EIAwtransport!$E$2:$E$675,Program_data!$E1424,EIAwtransport!$H$2:$H$675,Program_data!$F1424,EIAwtransport!$I$2:$I$675,Program_data!P$2)</f>
        <v>82460085.7641761</v>
      </c>
      <c r="Q1424" s="5">
        <f>SUMIFS(EIAwtransport!$J$2:$J$675,EIAwtransport!$E$2:$E$675,Program_data!$E1424,EIAwtransport!$H$2:$H$675,Program_data!$F1424,EIAwtransport!$I$2:$I$675,Program_data!Q$2)</f>
        <v>976170</v>
      </c>
      <c r="R1424" s="8">
        <f>SUMIFS(EIAwtransport!$J$2:$J$675,EIAwtransport!$E$2:$E$675,Program_data!$E1424,EIAwtransport!$I$2:$I$675,Program_data!R$2)</f>
        <v>1429680000</v>
      </c>
      <c r="S1424" s="5">
        <f>SUMIFS(EIAwtransport!$J$2:$J$675,EIAwtransport!$E$2:$E$675,Program_data!$E1424,EIAwtransport!$I$2:$I$675,Program_data!S$2)</f>
        <v>158285451.98410821</v>
      </c>
      <c r="T1424" s="5">
        <f>SUMIFS(EIAwtransport!$J$2:$J$675,EIAwtransport!$E$2:$E$675,Program_data!$E1424,EIAwtransport!$I$2:$I$675,Program_data!T$2)</f>
        <v>1074614</v>
      </c>
      <c r="U1424" s="24">
        <f t="shared" si="437"/>
        <v>0</v>
      </c>
      <c r="V1424" s="24">
        <f t="shared" si="440"/>
        <v>0</v>
      </c>
      <c r="W1424" s="24">
        <f t="shared" si="438"/>
        <v>3.9971656461781647E-7</v>
      </c>
      <c r="X1424" s="25">
        <f t="shared" si="439"/>
        <v>3.4848992895946495E-7</v>
      </c>
      <c r="Y1424" s="8">
        <f t="shared" si="446"/>
        <v>3.5029416819215553E-4</v>
      </c>
      <c r="Z1424" s="27">
        <f t="shared" si="447"/>
        <v>7.009844948449462E-5</v>
      </c>
      <c r="AA1424" s="27"/>
      <c r="AB1424" s="27"/>
      <c r="AC1424" s="56">
        <f t="shared" si="448"/>
        <v>5.007375053277536E-6</v>
      </c>
      <c r="AE1424" s="20" t="e">
        <f>#REF!*1.35</f>
        <v>#REF!</v>
      </c>
      <c r="AF1424" s="20">
        <f t="shared" si="449"/>
        <v>1930068000.0000002</v>
      </c>
      <c r="AG1424">
        <f t="shared" si="450"/>
        <v>60278.315754283329</v>
      </c>
      <c r="AH1424">
        <f t="shared" si="451"/>
        <v>0</v>
      </c>
      <c r="AI1424">
        <f t="shared" si="452"/>
        <v>16695949475.283735</v>
      </c>
    </row>
    <row r="1425" spans="2:35" x14ac:dyDescent="0.25">
      <c r="B1425" s="4">
        <v>2024</v>
      </c>
      <c r="C1425" s="4" t="s">
        <v>33</v>
      </c>
      <c r="D1425" s="1" t="s">
        <v>81</v>
      </c>
      <c r="E1425" s="4" t="s">
        <v>696</v>
      </c>
      <c r="F1425" s="4" t="s">
        <v>135</v>
      </c>
      <c r="G1425" s="11"/>
      <c r="H1425" s="11" t="s">
        <v>801</v>
      </c>
      <c r="I1425" s="11"/>
      <c r="J1425" s="11" t="s">
        <v>27</v>
      </c>
      <c r="K1425" s="92">
        <v>198.70825255635614</v>
      </c>
      <c r="L1425" s="92">
        <v>220.7869472848401</v>
      </c>
      <c r="M1425" s="93">
        <v>952.44463017133307</v>
      </c>
      <c r="N1425" s="8">
        <v>0</v>
      </c>
      <c r="O1425" s="8">
        <f>SUMIFS(EIAwtransport!$J$2:$J$675,EIAwtransport!$E$2:$E$675,Program_data!$E1425,EIAwtransport!$H$2:$H$675,Program_data!$F1425,EIAwtransport!$I$2:$I$675,Program_data!O$2)</f>
        <v>874680000</v>
      </c>
      <c r="P1425" s="5">
        <f>SUMIFS(EIAwtransport!$J$2:$J$675,EIAwtransport!$E$2:$E$675,Program_data!$E1425,EIAwtransport!$H$2:$H$675,Program_data!$F1425,EIAwtransport!$I$2:$I$675,Program_data!P$2)</f>
        <v>82460085.7641761</v>
      </c>
      <c r="Q1425" s="5">
        <f>SUMIFS(EIAwtransport!$J$2:$J$675,EIAwtransport!$E$2:$E$675,Program_data!$E1425,EIAwtransport!$H$2:$H$675,Program_data!$F1425,EIAwtransport!$I$2:$I$675,Program_data!Q$2)</f>
        <v>976170</v>
      </c>
      <c r="R1425" s="8">
        <f>SUMIFS(EIAwtransport!$J$2:$J$675,EIAwtransport!$E$2:$E$675,Program_data!$E1425,EIAwtransport!$I$2:$I$675,Program_data!R$2)</f>
        <v>1429680000</v>
      </c>
      <c r="S1425" s="5">
        <f>SUMIFS(EIAwtransport!$J$2:$J$675,EIAwtransport!$E$2:$E$675,Program_data!$E1425,EIAwtransport!$I$2:$I$675,Program_data!S$2)</f>
        <v>158285451.98410821</v>
      </c>
      <c r="T1425" s="5">
        <f>SUMIFS(EIAwtransport!$J$2:$J$675,EIAwtransport!$E$2:$E$675,Program_data!$E1425,EIAwtransport!$I$2:$I$675,Program_data!T$2)</f>
        <v>1074614</v>
      </c>
      <c r="U1425" s="24">
        <f t="shared" si="437"/>
        <v>1.2117559142618637E-7</v>
      </c>
      <c r="V1425" s="24">
        <f t="shared" si="440"/>
        <v>1.3463954602909591E-7</v>
      </c>
      <c r="W1425" s="24">
        <f t="shared" si="438"/>
        <v>6.6619427436302747E-7</v>
      </c>
      <c r="X1425" s="25">
        <f t="shared" si="439"/>
        <v>5.8081654826577502E-7</v>
      </c>
      <c r="Y1425" s="8">
        <f t="shared" si="446"/>
        <v>5.8382361365359259E-4</v>
      </c>
      <c r="Z1425" s="27">
        <f t="shared" si="447"/>
        <v>1.1683074914082437E-4</v>
      </c>
      <c r="AA1425" s="27"/>
      <c r="AB1425" s="27"/>
      <c r="AC1425" s="56">
        <f t="shared" si="448"/>
        <v>8.3456250887958939E-6</v>
      </c>
      <c r="AE1425" s="20" t="e">
        <f>#REF!*1.35</f>
        <v>#REF!</v>
      </c>
      <c r="AF1425" s="20">
        <f t="shared" si="449"/>
        <v>1930068000.0000002</v>
      </c>
      <c r="AG1425">
        <f t="shared" si="450"/>
        <v>100463.85959047222</v>
      </c>
      <c r="AH1425">
        <f t="shared" si="451"/>
        <v>0</v>
      </c>
      <c r="AI1425">
        <f t="shared" si="452"/>
        <v>16695949475.283735</v>
      </c>
    </row>
    <row r="1426" spans="2:35" x14ac:dyDescent="0.25">
      <c r="B1426" s="4">
        <v>2024</v>
      </c>
      <c r="C1426" s="4" t="s">
        <v>33</v>
      </c>
      <c r="D1426" s="1" t="s">
        <v>81</v>
      </c>
      <c r="E1426" s="4" t="s">
        <v>696</v>
      </c>
      <c r="F1426" s="4" t="s">
        <v>135</v>
      </c>
      <c r="G1426" s="11"/>
      <c r="H1426" s="11" t="s">
        <v>802</v>
      </c>
      <c r="I1426" s="11"/>
      <c r="J1426" s="11" t="s">
        <v>27</v>
      </c>
      <c r="K1426" s="92">
        <v>247.44801261734918</v>
      </c>
      <c r="L1426" s="92">
        <v>274.94223624149902</v>
      </c>
      <c r="M1426" s="93">
        <v>714.33347262849986</v>
      </c>
      <c r="N1426" s="8">
        <v>0</v>
      </c>
      <c r="O1426" s="8">
        <f>SUMIFS(EIAwtransport!$J$2:$J$675,EIAwtransport!$E$2:$E$675,Program_data!$E1426,EIAwtransport!$H$2:$H$675,Program_data!$F1426,EIAwtransport!$I$2:$I$675,Program_data!O$2)</f>
        <v>874680000</v>
      </c>
      <c r="P1426" s="5">
        <f>SUMIFS(EIAwtransport!$J$2:$J$675,EIAwtransport!$E$2:$E$675,Program_data!$E1426,EIAwtransport!$H$2:$H$675,Program_data!$F1426,EIAwtransport!$I$2:$I$675,Program_data!P$2)</f>
        <v>82460085.7641761</v>
      </c>
      <c r="Q1426" s="5">
        <f>SUMIFS(EIAwtransport!$J$2:$J$675,EIAwtransport!$E$2:$E$675,Program_data!$E1426,EIAwtransport!$H$2:$H$675,Program_data!$F1426,EIAwtransport!$I$2:$I$675,Program_data!Q$2)</f>
        <v>976170</v>
      </c>
      <c r="R1426" s="8">
        <f>SUMIFS(EIAwtransport!$J$2:$J$675,EIAwtransport!$E$2:$E$675,Program_data!$E1426,EIAwtransport!$I$2:$I$675,Program_data!R$2)</f>
        <v>1429680000</v>
      </c>
      <c r="S1426" s="5">
        <f>SUMIFS(EIAwtransport!$J$2:$J$675,EIAwtransport!$E$2:$E$675,Program_data!$E1426,EIAwtransport!$I$2:$I$675,Program_data!S$2)</f>
        <v>158285451.98410821</v>
      </c>
      <c r="T1426" s="5">
        <f>SUMIFS(EIAwtransport!$J$2:$J$675,EIAwtransport!$E$2:$E$675,Program_data!$E1426,EIAwtransport!$I$2:$I$675,Program_data!T$2)</f>
        <v>1074614</v>
      </c>
      <c r="U1426" s="24">
        <f t="shared" si="437"/>
        <v>1.5089790630430755E-7</v>
      </c>
      <c r="V1426" s="24">
        <f t="shared" si="440"/>
        <v>1.6766434033811949E-7</v>
      </c>
      <c r="W1426" s="24">
        <f t="shared" si="438"/>
        <v>4.9964570577227058E-7</v>
      </c>
      <c r="X1426" s="25">
        <f t="shared" si="439"/>
        <v>4.3561241119933124E-7</v>
      </c>
      <c r="Y1426" s="8">
        <f t="shared" si="446"/>
        <v>4.378677102401945E-4</v>
      </c>
      <c r="Z1426" s="27">
        <f t="shared" si="447"/>
        <v>8.7623061855618281E-5</v>
      </c>
      <c r="AA1426" s="27"/>
      <c r="AB1426" s="27"/>
      <c r="AC1426" s="56">
        <f t="shared" si="448"/>
        <v>6.25921881659692E-6</v>
      </c>
      <c r="AE1426" s="20" t="e">
        <f>#REF!*1.35</f>
        <v>#REF!</v>
      </c>
      <c r="AF1426" s="20">
        <f t="shared" si="449"/>
        <v>1930068000.0000002</v>
      </c>
      <c r="AG1426">
        <f t="shared" si="450"/>
        <v>75347.89469285417</v>
      </c>
      <c r="AH1426">
        <f t="shared" si="451"/>
        <v>0</v>
      </c>
      <c r="AI1426">
        <f t="shared" si="452"/>
        <v>16695949475.283735</v>
      </c>
    </row>
    <row r="1427" spans="2:35" x14ac:dyDescent="0.25">
      <c r="B1427" s="4">
        <v>2024</v>
      </c>
      <c r="C1427" s="4" t="s">
        <v>33</v>
      </c>
      <c r="D1427" s="1" t="s">
        <v>81</v>
      </c>
      <c r="E1427" s="4" t="s">
        <v>696</v>
      </c>
      <c r="F1427" s="4" t="s">
        <v>135</v>
      </c>
      <c r="G1427" s="11"/>
      <c r="H1427" s="11" t="s">
        <v>803</v>
      </c>
      <c r="I1427" s="11"/>
      <c r="J1427" s="11" t="s">
        <v>21</v>
      </c>
      <c r="K1427" s="92">
        <v>0</v>
      </c>
      <c r="L1427" s="92">
        <v>0</v>
      </c>
      <c r="M1427" s="93">
        <v>119.05557877141663</v>
      </c>
      <c r="N1427" s="8">
        <v>0</v>
      </c>
      <c r="O1427" s="8">
        <f>SUMIFS(EIAwtransport!$J$2:$J$675,EIAwtransport!$E$2:$E$675,Program_data!$E1427,EIAwtransport!$H$2:$H$675,Program_data!$F1427,EIAwtransport!$I$2:$I$675,Program_data!O$2)</f>
        <v>874680000</v>
      </c>
      <c r="P1427" s="5">
        <f>SUMIFS(EIAwtransport!$J$2:$J$675,EIAwtransport!$E$2:$E$675,Program_data!$E1427,EIAwtransport!$H$2:$H$675,Program_data!$F1427,EIAwtransport!$I$2:$I$675,Program_data!P$2)</f>
        <v>82460085.7641761</v>
      </c>
      <c r="Q1427" s="5">
        <f>SUMIFS(EIAwtransport!$J$2:$J$675,EIAwtransport!$E$2:$E$675,Program_data!$E1427,EIAwtransport!$H$2:$H$675,Program_data!$F1427,EIAwtransport!$I$2:$I$675,Program_data!Q$2)</f>
        <v>976170</v>
      </c>
      <c r="R1427" s="8">
        <f>SUMIFS(EIAwtransport!$J$2:$J$675,EIAwtransport!$E$2:$E$675,Program_data!$E1427,EIAwtransport!$I$2:$I$675,Program_data!R$2)</f>
        <v>1429680000</v>
      </c>
      <c r="S1427" s="5">
        <f>SUMIFS(EIAwtransport!$J$2:$J$675,EIAwtransport!$E$2:$E$675,Program_data!$E1427,EIAwtransport!$I$2:$I$675,Program_data!S$2)</f>
        <v>158285451.98410821</v>
      </c>
      <c r="T1427" s="5">
        <f>SUMIFS(EIAwtransport!$J$2:$J$675,EIAwtransport!$E$2:$E$675,Program_data!$E1427,EIAwtransport!$I$2:$I$675,Program_data!T$2)</f>
        <v>1074614</v>
      </c>
      <c r="U1427" s="24">
        <f t="shared" si="437"/>
        <v>0</v>
      </c>
      <c r="V1427" s="24">
        <f t="shared" si="440"/>
        <v>0</v>
      </c>
      <c r="W1427" s="24">
        <f t="shared" si="438"/>
        <v>8.3274284295378434E-8</v>
      </c>
      <c r="X1427" s="25">
        <f t="shared" si="439"/>
        <v>7.2602068533221877E-8</v>
      </c>
      <c r="Y1427" s="8">
        <f t="shared" si="446"/>
        <v>7.2977951706699074E-5</v>
      </c>
      <c r="Z1427" s="27">
        <f t="shared" si="447"/>
        <v>1.4603843642603046E-5</v>
      </c>
      <c r="AA1427" s="27"/>
      <c r="AB1427" s="27"/>
      <c r="AC1427" s="56">
        <f t="shared" si="448"/>
        <v>1.0432031360994867E-6</v>
      </c>
      <c r="AE1427" s="20" t="e">
        <f>#REF!*1.35</f>
        <v>#REF!</v>
      </c>
      <c r="AF1427" s="20">
        <f t="shared" si="449"/>
        <v>1930068000.0000002</v>
      </c>
      <c r="AG1427">
        <f t="shared" si="450"/>
        <v>12557.982448809027</v>
      </c>
      <c r="AH1427">
        <f t="shared" si="451"/>
        <v>0</v>
      </c>
      <c r="AI1427">
        <f t="shared" si="452"/>
        <v>16695949475.283735</v>
      </c>
    </row>
    <row r="1428" spans="2:35" x14ac:dyDescent="0.25">
      <c r="B1428" s="4">
        <v>2024</v>
      </c>
      <c r="C1428" s="4" t="s">
        <v>33</v>
      </c>
      <c r="D1428" s="1" t="s">
        <v>81</v>
      </c>
      <c r="E1428" s="4" t="s">
        <v>696</v>
      </c>
      <c r="F1428" s="4" t="s">
        <v>146</v>
      </c>
      <c r="G1428" s="11"/>
      <c r="H1428" s="11" t="s">
        <v>804</v>
      </c>
      <c r="I1428" s="11"/>
      <c r="J1428" s="11" t="s">
        <v>21</v>
      </c>
      <c r="K1428" s="92">
        <v>18821.045808168074</v>
      </c>
      <c r="L1428" s="92">
        <v>20912.273120186739</v>
      </c>
      <c r="M1428" s="93">
        <v>14286.669452569997</v>
      </c>
      <c r="N1428" s="8">
        <v>0</v>
      </c>
      <c r="O1428" s="8">
        <f>SUMIFS(EIAwtransport!$J$2:$J$675,EIAwtransport!$E$2:$E$675,Program_data!$E1428,EIAwtransport!$H$2:$H$675,Program_data!$F1428,EIAwtransport!$I$2:$I$675,Program_data!O$2)</f>
        <v>555000000</v>
      </c>
      <c r="P1428" s="5">
        <f>SUMIFS(EIAwtransport!$J$2:$J$675,EIAwtransport!$E$2:$E$675,Program_data!$E1428,EIAwtransport!$H$2:$H$675,Program_data!$F1428,EIAwtransport!$I$2:$I$675,Program_data!P$2)</f>
        <v>75825366.219932109</v>
      </c>
      <c r="Q1428" s="5">
        <f>SUMIFS(EIAwtransport!$J$2:$J$675,EIAwtransport!$E$2:$E$675,Program_data!$E1428,EIAwtransport!$H$2:$H$675,Program_data!$F1428,EIAwtransport!$I$2:$I$675,Program_data!Q$2)</f>
        <v>98444</v>
      </c>
      <c r="R1428" s="8">
        <f>SUMIFS(EIAwtransport!$J$2:$J$675,EIAwtransport!$E$2:$E$675,Program_data!$E1428,EIAwtransport!$I$2:$I$675,Program_data!R$2)</f>
        <v>1429680000</v>
      </c>
      <c r="S1428" s="5">
        <f>SUMIFS(EIAwtransport!$J$2:$J$675,EIAwtransport!$E$2:$E$675,Program_data!$E1428,EIAwtransport!$I$2:$I$675,Program_data!S$2)</f>
        <v>158285451.98410821</v>
      </c>
      <c r="T1428" s="5">
        <f>SUMIFS(EIAwtransport!$J$2:$J$675,EIAwtransport!$E$2:$E$675,Program_data!$E1428,EIAwtransport!$I$2:$I$675,Program_data!T$2)</f>
        <v>1074614</v>
      </c>
      <c r="U1428" s="24">
        <f t="shared" si="437"/>
        <v>1.147738620678218E-5</v>
      </c>
      <c r="V1428" s="24">
        <f t="shared" si="440"/>
        <v>1.2752651340869084E-5</v>
      </c>
      <c r="W1428" s="24">
        <f t="shared" si="438"/>
        <v>9.9929141154454124E-6</v>
      </c>
      <c r="X1428" s="25">
        <f t="shared" si="439"/>
        <v>8.7122482239866252E-6</v>
      </c>
      <c r="Y1428" s="8">
        <f t="shared" si="446"/>
        <v>2.4164748721801797E-3</v>
      </c>
      <c r="Z1428" s="27">
        <f t="shared" si="447"/>
        <v>1.7524612371123656E-3</v>
      </c>
      <c r="AA1428" s="27"/>
      <c r="AB1428" s="27"/>
      <c r="AC1428" s="56">
        <f t="shared" si="448"/>
        <v>1.251843763319384E-4</v>
      </c>
      <c r="AE1428" s="20" t="e">
        <f>#REF!*1.35</f>
        <v>#REF!</v>
      </c>
      <c r="AF1428" s="20">
        <f t="shared" si="449"/>
        <v>1930068000.0000002</v>
      </c>
      <c r="AG1428">
        <f t="shared" si="450"/>
        <v>1506957.8938570833</v>
      </c>
      <c r="AH1428">
        <f t="shared" si="451"/>
        <v>0</v>
      </c>
      <c r="AI1428">
        <f t="shared" si="452"/>
        <v>16695949475.283735</v>
      </c>
    </row>
    <row r="1429" spans="2:35" x14ac:dyDescent="0.25">
      <c r="B1429" s="4">
        <v>2024</v>
      </c>
      <c r="C1429" s="4" t="s">
        <v>33</v>
      </c>
      <c r="D1429" s="1" t="s">
        <v>81</v>
      </c>
      <c r="E1429" s="4" t="s">
        <v>696</v>
      </c>
      <c r="F1429" s="4" t="s">
        <v>143</v>
      </c>
      <c r="G1429" s="11"/>
      <c r="H1429" s="11" t="s">
        <v>805</v>
      </c>
      <c r="I1429" s="11"/>
      <c r="J1429" s="11" t="s">
        <v>21</v>
      </c>
      <c r="K1429" s="92">
        <v>0</v>
      </c>
      <c r="L1429" s="92">
        <v>0</v>
      </c>
      <c r="M1429" s="93">
        <v>238.11115754283327</v>
      </c>
      <c r="N1429" s="8">
        <v>0</v>
      </c>
      <c r="O1429" s="8">
        <f>SUMIFS(EIAwtransport!$J$2:$J$675,EIAwtransport!$E$2:$E$675,Program_data!$E1429,EIAwtransport!$H$2:$H$675,Program_data!$F1429,EIAwtransport!$I$2:$I$675,Program_data!O$2)</f>
        <v>0</v>
      </c>
      <c r="P1429" s="5">
        <f>SUMIFS(EIAwtransport!$J$2:$J$675,EIAwtransport!$E$2:$E$675,Program_data!$E1429,EIAwtransport!$H$2:$H$675,Program_data!$F1429,EIAwtransport!$I$2:$I$675,Program_data!P$2)</f>
        <v>0</v>
      </c>
      <c r="Q1429" s="5">
        <f>SUMIFS(EIAwtransport!$J$2:$J$675,EIAwtransport!$E$2:$E$675,Program_data!$E1429,EIAwtransport!$H$2:$H$675,Program_data!$F1429,EIAwtransport!$I$2:$I$675,Program_data!Q$2)</f>
        <v>0</v>
      </c>
      <c r="R1429" s="8">
        <f>SUMIFS(EIAwtransport!$J$2:$J$675,EIAwtransport!$E$2:$E$675,Program_data!$E1429,EIAwtransport!$I$2:$I$675,Program_data!R$2)</f>
        <v>1429680000</v>
      </c>
      <c r="S1429" s="5">
        <f>SUMIFS(EIAwtransport!$J$2:$J$675,EIAwtransport!$E$2:$E$675,Program_data!$E1429,EIAwtransport!$I$2:$I$675,Program_data!S$2)</f>
        <v>158285451.98410821</v>
      </c>
      <c r="T1429" s="5">
        <f>SUMIFS(EIAwtransport!$J$2:$J$675,EIAwtransport!$E$2:$E$675,Program_data!$E1429,EIAwtransport!$I$2:$I$675,Program_data!T$2)</f>
        <v>1074614</v>
      </c>
      <c r="U1429" s="24">
        <f t="shared" ref="U1429:U1444" si="453">IFERROR(K1429/10.36/S1429,"")</f>
        <v>0</v>
      </c>
      <c r="V1429" s="24">
        <f t="shared" si="440"/>
        <v>0</v>
      </c>
      <c r="W1429" s="24">
        <f t="shared" ref="W1429:W1444" si="454">IFERROR(M1429/R1429,"")</f>
        <v>1.6654856859075687E-7</v>
      </c>
      <c r="X1429" s="25">
        <f t="shared" ref="X1429:X1444" si="455">IFERROR(M1429/S1429/10.36,"")</f>
        <v>1.4520413706644375E-7</v>
      </c>
      <c r="Y1429" s="8">
        <f t="shared" si="446"/>
        <v>3.9114132335935575E-4</v>
      </c>
      <c r="Z1429" s="27">
        <f t="shared" si="447"/>
        <v>2.9207687285206093E-5</v>
      </c>
      <c r="AA1429" s="27"/>
      <c r="AB1429" s="27"/>
      <c r="AC1429" s="56">
        <f t="shared" si="448"/>
        <v>2.0864062721989735E-6</v>
      </c>
      <c r="AE1429" s="20" t="e">
        <f>#REF!*1.35</f>
        <v>#REF!</v>
      </c>
      <c r="AF1429" s="20">
        <f t="shared" si="449"/>
        <v>1930068000.0000002</v>
      </c>
      <c r="AG1429">
        <f t="shared" si="450"/>
        <v>25115.964897618054</v>
      </c>
      <c r="AH1429">
        <f t="shared" si="451"/>
        <v>0</v>
      </c>
      <c r="AI1429">
        <f t="shared" si="452"/>
        <v>16695949475.283735</v>
      </c>
    </row>
    <row r="1430" spans="2:35" x14ac:dyDescent="0.25">
      <c r="B1430" s="4">
        <v>2024</v>
      </c>
      <c r="C1430" s="4" t="s">
        <v>33</v>
      </c>
      <c r="D1430" s="1" t="s">
        <v>81</v>
      </c>
      <c r="E1430" s="4" t="s">
        <v>696</v>
      </c>
      <c r="F1430" s="4" t="s">
        <v>143</v>
      </c>
      <c r="G1430" s="11"/>
      <c r="H1430" s="11" t="s">
        <v>806</v>
      </c>
      <c r="I1430" s="11"/>
      <c r="J1430" s="11" t="s">
        <v>21</v>
      </c>
      <c r="K1430" s="92">
        <v>0</v>
      </c>
      <c r="L1430" s="92">
        <v>0</v>
      </c>
      <c r="M1430" s="93">
        <v>714.33347262849986</v>
      </c>
      <c r="N1430" s="8">
        <v>0</v>
      </c>
      <c r="O1430" s="8">
        <f>SUMIFS(EIAwtransport!$J$2:$J$675,EIAwtransport!$E$2:$E$675,Program_data!$E1430,EIAwtransport!$H$2:$H$675,Program_data!$F1430,EIAwtransport!$I$2:$I$675,Program_data!O$2)</f>
        <v>0</v>
      </c>
      <c r="P1430" s="5">
        <f>SUMIFS(EIAwtransport!$J$2:$J$675,EIAwtransport!$E$2:$E$675,Program_data!$E1430,EIAwtransport!$H$2:$H$675,Program_data!$F1430,EIAwtransport!$I$2:$I$675,Program_data!P$2)</f>
        <v>0</v>
      </c>
      <c r="Q1430" s="5">
        <f>SUMIFS(EIAwtransport!$J$2:$J$675,EIAwtransport!$E$2:$E$675,Program_data!$E1430,EIAwtransport!$H$2:$H$675,Program_data!$F1430,EIAwtransport!$I$2:$I$675,Program_data!Q$2)</f>
        <v>0</v>
      </c>
      <c r="R1430" s="8">
        <f>SUMIFS(EIAwtransport!$J$2:$J$675,EIAwtransport!$E$2:$E$675,Program_data!$E1430,EIAwtransport!$I$2:$I$675,Program_data!R$2)</f>
        <v>1429680000</v>
      </c>
      <c r="S1430" s="5">
        <f>SUMIFS(EIAwtransport!$J$2:$J$675,EIAwtransport!$E$2:$E$675,Program_data!$E1430,EIAwtransport!$I$2:$I$675,Program_data!S$2)</f>
        <v>158285451.98410821</v>
      </c>
      <c r="T1430" s="5">
        <f>SUMIFS(EIAwtransport!$J$2:$J$675,EIAwtransport!$E$2:$E$675,Program_data!$E1430,EIAwtransport!$I$2:$I$675,Program_data!T$2)</f>
        <v>1074614</v>
      </c>
      <c r="U1430" s="24">
        <f t="shared" si="453"/>
        <v>0</v>
      </c>
      <c r="V1430" s="24">
        <f t="shared" si="440"/>
        <v>0</v>
      </c>
      <c r="W1430" s="24">
        <f t="shared" si="454"/>
        <v>4.9964570577227058E-7</v>
      </c>
      <c r="X1430" s="25">
        <f t="shared" si="455"/>
        <v>4.3561241119933124E-7</v>
      </c>
      <c r="Y1430" s="8">
        <f t="shared" si="446"/>
        <v>1.1734239700780672E-3</v>
      </c>
      <c r="Z1430" s="27">
        <f t="shared" si="447"/>
        <v>8.7623061855618281E-5</v>
      </c>
      <c r="AA1430" s="27"/>
      <c r="AB1430" s="27"/>
      <c r="AC1430" s="56">
        <f t="shared" si="448"/>
        <v>6.25921881659692E-6</v>
      </c>
      <c r="AE1430" s="20" t="e">
        <f>#REF!*1.35</f>
        <v>#REF!</v>
      </c>
      <c r="AF1430" s="20">
        <f t="shared" si="449"/>
        <v>1930068000.0000002</v>
      </c>
      <c r="AG1430">
        <f t="shared" si="450"/>
        <v>75347.89469285417</v>
      </c>
      <c r="AH1430">
        <f t="shared" si="451"/>
        <v>0</v>
      </c>
      <c r="AI1430">
        <f t="shared" si="452"/>
        <v>16695949475.283735</v>
      </c>
    </row>
    <row r="1431" spans="2:35" x14ac:dyDescent="0.25">
      <c r="B1431" s="4">
        <v>2024</v>
      </c>
      <c r="C1431" s="4" t="s">
        <v>33</v>
      </c>
      <c r="D1431" s="1" t="s">
        <v>81</v>
      </c>
      <c r="E1431" s="4" t="s">
        <v>696</v>
      </c>
      <c r="F1431" s="4" t="s">
        <v>135</v>
      </c>
      <c r="G1431" s="11"/>
      <c r="H1431" s="11" t="s">
        <v>807</v>
      </c>
      <c r="I1431" s="11"/>
      <c r="J1431" s="11" t="s">
        <v>27</v>
      </c>
      <c r="K1431" s="92">
        <v>11.247636937152235</v>
      </c>
      <c r="L1431" s="92">
        <v>12.497374374613591</v>
      </c>
      <c r="M1431" s="93">
        <v>95.244463017133313</v>
      </c>
      <c r="N1431" s="8">
        <v>0</v>
      </c>
      <c r="O1431" s="8">
        <f>SUMIFS(EIAwtransport!$J$2:$J$675,EIAwtransport!$E$2:$E$675,Program_data!$E1431,EIAwtransport!$H$2:$H$675,Program_data!$F1431,EIAwtransport!$I$2:$I$675,Program_data!O$2)</f>
        <v>874680000</v>
      </c>
      <c r="P1431" s="5">
        <f>SUMIFS(EIAwtransport!$J$2:$J$675,EIAwtransport!$E$2:$E$675,Program_data!$E1431,EIAwtransport!$H$2:$H$675,Program_data!$F1431,EIAwtransport!$I$2:$I$675,Program_data!P$2)</f>
        <v>82460085.7641761</v>
      </c>
      <c r="Q1431" s="5">
        <f>SUMIFS(EIAwtransport!$J$2:$J$675,EIAwtransport!$E$2:$E$675,Program_data!$E1431,EIAwtransport!$H$2:$H$675,Program_data!$F1431,EIAwtransport!$I$2:$I$675,Program_data!Q$2)</f>
        <v>976170</v>
      </c>
      <c r="R1431" s="8">
        <f>SUMIFS(EIAwtransport!$J$2:$J$675,EIAwtransport!$E$2:$E$675,Program_data!$E1431,EIAwtransport!$I$2:$I$675,Program_data!R$2)</f>
        <v>1429680000</v>
      </c>
      <c r="S1431" s="5">
        <f>SUMIFS(EIAwtransport!$J$2:$J$675,EIAwtransport!$E$2:$E$675,Program_data!$E1431,EIAwtransport!$I$2:$I$675,Program_data!S$2)</f>
        <v>158285451.98410821</v>
      </c>
      <c r="T1431" s="5">
        <f>SUMIFS(EIAwtransport!$J$2:$J$675,EIAwtransport!$E$2:$E$675,Program_data!$E1431,EIAwtransport!$I$2:$I$675,Program_data!T$2)</f>
        <v>1074614</v>
      </c>
      <c r="U1431" s="24">
        <f t="shared" si="453"/>
        <v>6.8589957411048892E-9</v>
      </c>
      <c r="V1431" s="24">
        <f t="shared" si="440"/>
        <v>7.6211063790054298E-9</v>
      </c>
      <c r="W1431" s="24">
        <f t="shared" si="454"/>
        <v>6.661942743630275E-8</v>
      </c>
      <c r="X1431" s="25">
        <f t="shared" si="455"/>
        <v>5.8081654826577504E-8</v>
      </c>
      <c r="Y1431" s="8">
        <f t="shared" si="446"/>
        <v>5.8382361365359265E-5</v>
      </c>
      <c r="Z1431" s="27">
        <f t="shared" si="447"/>
        <v>1.1683074914082438E-5</v>
      </c>
      <c r="AA1431" s="27"/>
      <c r="AB1431" s="27"/>
      <c r="AC1431" s="56">
        <f t="shared" si="448"/>
        <v>8.3456250887958937E-7</v>
      </c>
      <c r="AE1431" s="20" t="e">
        <f>#REF!*1.35</f>
        <v>#REF!</v>
      </c>
      <c r="AF1431" s="20">
        <f t="shared" si="449"/>
        <v>1930068000.0000002</v>
      </c>
      <c r="AG1431">
        <f t="shared" si="450"/>
        <v>10046.385959047222</v>
      </c>
      <c r="AH1431">
        <f t="shared" si="451"/>
        <v>0</v>
      </c>
      <c r="AI1431">
        <f t="shared" si="452"/>
        <v>16695949475.283735</v>
      </c>
    </row>
    <row r="1432" spans="2:35" x14ac:dyDescent="0.25">
      <c r="B1432" s="4">
        <v>2024</v>
      </c>
      <c r="C1432" s="4" t="s">
        <v>33</v>
      </c>
      <c r="D1432" s="1" t="s">
        <v>81</v>
      </c>
      <c r="E1432" s="4" t="s">
        <v>696</v>
      </c>
      <c r="F1432" s="4" t="s">
        <v>135</v>
      </c>
      <c r="G1432" s="11"/>
      <c r="H1432" s="11" t="s">
        <v>808</v>
      </c>
      <c r="I1432" s="11"/>
      <c r="J1432" s="11" t="s">
        <v>21</v>
      </c>
      <c r="K1432" s="92">
        <v>37.492123123840777</v>
      </c>
      <c r="L1432" s="92">
        <v>41.657914582045301</v>
      </c>
      <c r="M1432" s="93">
        <v>142.86669452569996</v>
      </c>
      <c r="N1432" s="8">
        <v>0</v>
      </c>
      <c r="O1432" s="8">
        <f>SUMIFS(EIAwtransport!$J$2:$J$675,EIAwtransport!$E$2:$E$675,Program_data!$E1432,EIAwtransport!$H$2:$H$675,Program_data!$F1432,EIAwtransport!$I$2:$I$675,Program_data!O$2)</f>
        <v>874680000</v>
      </c>
      <c r="P1432" s="5">
        <f>SUMIFS(EIAwtransport!$J$2:$J$675,EIAwtransport!$E$2:$E$675,Program_data!$E1432,EIAwtransport!$H$2:$H$675,Program_data!$F1432,EIAwtransport!$I$2:$I$675,Program_data!P$2)</f>
        <v>82460085.7641761</v>
      </c>
      <c r="Q1432" s="5">
        <f>SUMIFS(EIAwtransport!$J$2:$J$675,EIAwtransport!$E$2:$E$675,Program_data!$E1432,EIAwtransport!$H$2:$H$675,Program_data!$F1432,EIAwtransport!$I$2:$I$675,Program_data!Q$2)</f>
        <v>976170</v>
      </c>
      <c r="R1432" s="8">
        <f>SUMIFS(EIAwtransport!$J$2:$J$675,EIAwtransport!$E$2:$E$675,Program_data!$E1432,EIAwtransport!$I$2:$I$675,Program_data!R$2)</f>
        <v>1429680000</v>
      </c>
      <c r="S1432" s="5">
        <f>SUMIFS(EIAwtransport!$J$2:$J$675,EIAwtransport!$E$2:$E$675,Program_data!$E1432,EIAwtransport!$I$2:$I$675,Program_data!S$2)</f>
        <v>158285451.98410821</v>
      </c>
      <c r="T1432" s="5">
        <f>SUMIFS(EIAwtransport!$J$2:$J$675,EIAwtransport!$E$2:$E$675,Program_data!$E1432,EIAwtransport!$I$2:$I$675,Program_data!T$2)</f>
        <v>1074614</v>
      </c>
      <c r="U1432" s="24">
        <f t="shared" si="453"/>
        <v>2.2863319137016291E-8</v>
      </c>
      <c r="V1432" s="24">
        <f t="shared" si="440"/>
        <v>2.5403687930018098E-8</v>
      </c>
      <c r="W1432" s="24">
        <f t="shared" si="454"/>
        <v>9.9929141154454118E-8</v>
      </c>
      <c r="X1432" s="25">
        <f t="shared" si="455"/>
        <v>8.7122482239866237E-8</v>
      </c>
      <c r="Y1432" s="8">
        <f t="shared" si="446"/>
        <v>8.7573542048038883E-5</v>
      </c>
      <c r="Z1432" s="27">
        <f t="shared" si="447"/>
        <v>1.7524612371123655E-5</v>
      </c>
      <c r="AA1432" s="27"/>
      <c r="AB1432" s="27"/>
      <c r="AC1432" s="56">
        <f t="shared" si="448"/>
        <v>1.251843763319384E-6</v>
      </c>
      <c r="AE1432" s="20" t="e">
        <f>#REF!*1.35</f>
        <v>#REF!</v>
      </c>
      <c r="AF1432" s="20">
        <f t="shared" si="449"/>
        <v>1930068000.0000002</v>
      </c>
      <c r="AG1432">
        <f t="shared" si="450"/>
        <v>15069.578938570832</v>
      </c>
      <c r="AH1432">
        <f t="shared" si="451"/>
        <v>0</v>
      </c>
      <c r="AI1432">
        <f t="shared" si="452"/>
        <v>16695949475.283735</v>
      </c>
    </row>
    <row r="1433" spans="2:35" x14ac:dyDescent="0.25">
      <c r="B1433" s="4">
        <v>2024</v>
      </c>
      <c r="C1433" s="4" t="s">
        <v>33</v>
      </c>
      <c r="D1433" s="1" t="s">
        <v>81</v>
      </c>
      <c r="E1433" s="4" t="s">
        <v>696</v>
      </c>
      <c r="F1433" s="4" t="s">
        <v>143</v>
      </c>
      <c r="G1433" s="11"/>
      <c r="H1433" s="11" t="s">
        <v>809</v>
      </c>
      <c r="I1433" s="11"/>
      <c r="J1433" s="11" t="s">
        <v>21</v>
      </c>
      <c r="K1433" s="92">
        <v>1619.6597189499216</v>
      </c>
      <c r="L1433" s="92">
        <v>1799.621909944357</v>
      </c>
      <c r="M1433" s="93">
        <v>5714.6677810279989</v>
      </c>
      <c r="N1433" s="8">
        <v>0</v>
      </c>
      <c r="O1433" s="8">
        <f>SUMIFS(EIAwtransport!$J$2:$J$675,EIAwtransport!$E$2:$E$675,Program_data!$E1433,EIAwtransport!$H$2:$H$675,Program_data!$F1433,EIAwtransport!$I$2:$I$675,Program_data!O$2)</f>
        <v>0</v>
      </c>
      <c r="P1433" s="5">
        <f>SUMIFS(EIAwtransport!$J$2:$J$675,EIAwtransport!$E$2:$E$675,Program_data!$E1433,EIAwtransport!$H$2:$H$675,Program_data!$F1433,EIAwtransport!$I$2:$I$675,Program_data!P$2)</f>
        <v>0</v>
      </c>
      <c r="Q1433" s="5">
        <f>SUMIFS(EIAwtransport!$J$2:$J$675,EIAwtransport!$E$2:$E$675,Program_data!$E1433,EIAwtransport!$H$2:$H$675,Program_data!$F1433,EIAwtransport!$I$2:$I$675,Program_data!Q$2)</f>
        <v>0</v>
      </c>
      <c r="R1433" s="8">
        <f>SUMIFS(EIAwtransport!$J$2:$J$675,EIAwtransport!$E$2:$E$675,Program_data!$E1433,EIAwtransport!$I$2:$I$675,Program_data!R$2)</f>
        <v>1429680000</v>
      </c>
      <c r="S1433" s="5">
        <f>SUMIFS(EIAwtransport!$J$2:$J$675,EIAwtransport!$E$2:$E$675,Program_data!$E1433,EIAwtransport!$I$2:$I$675,Program_data!S$2)</f>
        <v>158285451.98410821</v>
      </c>
      <c r="T1433" s="5">
        <f>SUMIFS(EIAwtransport!$J$2:$J$675,EIAwtransport!$E$2:$E$675,Program_data!$E1433,EIAwtransport!$I$2:$I$675,Program_data!T$2)</f>
        <v>1074614</v>
      </c>
      <c r="U1433" s="24">
        <f t="shared" si="453"/>
        <v>9.8769538671910395E-7</v>
      </c>
      <c r="V1433" s="24">
        <f t="shared" si="440"/>
        <v>1.097439318576782E-6</v>
      </c>
      <c r="W1433" s="24">
        <f t="shared" si="454"/>
        <v>3.9971656461781646E-6</v>
      </c>
      <c r="X1433" s="25">
        <f t="shared" si="455"/>
        <v>3.4848992895946499E-6</v>
      </c>
      <c r="Y1433" s="8">
        <f t="shared" si="446"/>
        <v>9.3873917606245375E-3</v>
      </c>
      <c r="Z1433" s="27">
        <f t="shared" si="447"/>
        <v>7.0098449484494625E-4</v>
      </c>
      <c r="AA1433" s="27"/>
      <c r="AB1433" s="27"/>
      <c r="AC1433" s="56">
        <f t="shared" si="448"/>
        <v>5.007375053277536E-5</v>
      </c>
      <c r="AE1433" s="20" t="e">
        <f>#REF!*1.35</f>
        <v>#REF!</v>
      </c>
      <c r="AF1433" s="20">
        <f t="shared" si="449"/>
        <v>1930068000.0000002</v>
      </c>
      <c r="AG1433">
        <f t="shared" si="450"/>
        <v>602783.15754283336</v>
      </c>
      <c r="AH1433">
        <f t="shared" si="451"/>
        <v>0</v>
      </c>
      <c r="AI1433">
        <f t="shared" si="452"/>
        <v>16695949475.283735</v>
      </c>
    </row>
    <row r="1434" spans="2:35" x14ac:dyDescent="0.25">
      <c r="B1434" s="4">
        <v>2024</v>
      </c>
      <c r="C1434" s="4" t="s">
        <v>33</v>
      </c>
      <c r="D1434" s="1" t="s">
        <v>81</v>
      </c>
      <c r="E1434" s="4" t="s">
        <v>696</v>
      </c>
      <c r="F1434" s="4" t="s">
        <v>135</v>
      </c>
      <c r="G1434" s="11"/>
      <c r="H1434" s="11" t="s">
        <v>810</v>
      </c>
      <c r="I1434" s="11"/>
      <c r="J1434" s="11" t="s">
        <v>21</v>
      </c>
      <c r="K1434" s="92">
        <v>1173.5034537762165</v>
      </c>
      <c r="L1434" s="92">
        <v>1303.8927264180177</v>
      </c>
      <c r="M1434" s="93">
        <v>14286.669452569997</v>
      </c>
      <c r="N1434" s="8">
        <v>0</v>
      </c>
      <c r="O1434" s="8">
        <f>SUMIFS(EIAwtransport!$J$2:$J$675,EIAwtransport!$E$2:$E$675,Program_data!$E1434,EIAwtransport!$H$2:$H$675,Program_data!$F1434,EIAwtransport!$I$2:$I$675,Program_data!O$2)</f>
        <v>874680000</v>
      </c>
      <c r="P1434" s="5">
        <f>SUMIFS(EIAwtransport!$J$2:$J$675,EIAwtransport!$E$2:$E$675,Program_data!$E1434,EIAwtransport!$H$2:$H$675,Program_data!$F1434,EIAwtransport!$I$2:$I$675,Program_data!P$2)</f>
        <v>82460085.7641761</v>
      </c>
      <c r="Q1434" s="5">
        <f>SUMIFS(EIAwtransport!$J$2:$J$675,EIAwtransport!$E$2:$E$675,Program_data!$E1434,EIAwtransport!$H$2:$H$675,Program_data!$F1434,EIAwtransport!$I$2:$I$675,Program_data!Q$2)</f>
        <v>976170</v>
      </c>
      <c r="R1434" s="8">
        <f>SUMIFS(EIAwtransport!$J$2:$J$675,EIAwtransport!$E$2:$E$675,Program_data!$E1434,EIAwtransport!$I$2:$I$675,Program_data!R$2)</f>
        <v>1429680000</v>
      </c>
      <c r="S1434" s="5">
        <f>SUMIFS(EIAwtransport!$J$2:$J$675,EIAwtransport!$E$2:$E$675,Program_data!$E1434,EIAwtransport!$I$2:$I$675,Program_data!S$2)</f>
        <v>158285451.98410821</v>
      </c>
      <c r="T1434" s="5">
        <f>SUMIFS(EIAwtransport!$J$2:$J$675,EIAwtransport!$E$2:$E$675,Program_data!$E1434,EIAwtransport!$I$2:$I$675,Program_data!T$2)</f>
        <v>1074614</v>
      </c>
      <c r="U1434" s="24">
        <f t="shared" si="453"/>
        <v>7.1562188898861002E-7</v>
      </c>
      <c r="V1434" s="24">
        <f t="shared" si="440"/>
        <v>7.9513543220956634E-7</v>
      </c>
      <c r="W1434" s="24">
        <f t="shared" si="454"/>
        <v>9.9929141154454124E-6</v>
      </c>
      <c r="X1434" s="25">
        <f t="shared" si="455"/>
        <v>8.7122482239866252E-6</v>
      </c>
      <c r="Y1434" s="8">
        <f t="shared" si="446"/>
        <v>8.7573542048038893E-3</v>
      </c>
      <c r="Z1434" s="27">
        <f t="shared" si="447"/>
        <v>1.7524612371123656E-3</v>
      </c>
      <c r="AA1434" s="27"/>
      <c r="AB1434" s="27"/>
      <c r="AC1434" s="56">
        <f t="shared" si="448"/>
        <v>1.251843763319384E-4</v>
      </c>
      <c r="AE1434" s="20" t="e">
        <f>#REF!*1.35</f>
        <v>#REF!</v>
      </c>
      <c r="AF1434" s="20">
        <f t="shared" si="449"/>
        <v>1930068000.0000002</v>
      </c>
      <c r="AG1434">
        <f t="shared" si="450"/>
        <v>1506957.8938570833</v>
      </c>
      <c r="AH1434">
        <f t="shared" si="451"/>
        <v>0</v>
      </c>
      <c r="AI1434">
        <f t="shared" si="452"/>
        <v>16695949475.283735</v>
      </c>
    </row>
    <row r="1435" spans="2:35" x14ac:dyDescent="0.25">
      <c r="B1435" s="4">
        <v>2024</v>
      </c>
      <c r="C1435" s="4" t="s">
        <v>33</v>
      </c>
      <c r="D1435" s="1" t="s">
        <v>81</v>
      </c>
      <c r="E1435" s="4" t="s">
        <v>696</v>
      </c>
      <c r="F1435" s="4" t="s">
        <v>135</v>
      </c>
      <c r="G1435" s="11"/>
      <c r="H1435" s="11" t="s">
        <v>811</v>
      </c>
      <c r="I1435" s="11"/>
      <c r="J1435" s="11" t="s">
        <v>21</v>
      </c>
      <c r="K1435" s="92">
        <v>749.84246247681551</v>
      </c>
      <c r="L1435" s="92">
        <v>833.15829164090587</v>
      </c>
      <c r="M1435" s="93">
        <v>4762.2231508566656</v>
      </c>
      <c r="N1435" s="8">
        <v>0</v>
      </c>
      <c r="O1435" s="8">
        <f>SUMIFS(EIAwtransport!$J$2:$J$675,EIAwtransport!$E$2:$E$675,Program_data!$E1435,EIAwtransport!$H$2:$H$675,Program_data!$F1435,EIAwtransport!$I$2:$I$675,Program_data!O$2)</f>
        <v>874680000</v>
      </c>
      <c r="P1435" s="5">
        <f>SUMIFS(EIAwtransport!$J$2:$J$675,EIAwtransport!$E$2:$E$675,Program_data!$E1435,EIAwtransport!$H$2:$H$675,Program_data!$F1435,EIAwtransport!$I$2:$I$675,Program_data!P$2)</f>
        <v>82460085.7641761</v>
      </c>
      <c r="Q1435" s="5">
        <f>SUMIFS(EIAwtransport!$J$2:$J$675,EIAwtransport!$E$2:$E$675,Program_data!$E1435,EIAwtransport!$H$2:$H$675,Program_data!$F1435,EIAwtransport!$I$2:$I$675,Program_data!Q$2)</f>
        <v>976170</v>
      </c>
      <c r="R1435" s="8">
        <f>SUMIFS(EIAwtransport!$J$2:$J$675,EIAwtransport!$E$2:$E$675,Program_data!$E1435,EIAwtransport!$I$2:$I$675,Program_data!R$2)</f>
        <v>1429680000</v>
      </c>
      <c r="S1435" s="5">
        <f>SUMIFS(EIAwtransport!$J$2:$J$675,EIAwtransport!$E$2:$E$675,Program_data!$E1435,EIAwtransport!$I$2:$I$675,Program_data!S$2)</f>
        <v>158285451.98410821</v>
      </c>
      <c r="T1435" s="5">
        <f>SUMIFS(EIAwtransport!$J$2:$J$675,EIAwtransport!$E$2:$E$675,Program_data!$E1435,EIAwtransport!$I$2:$I$675,Program_data!T$2)</f>
        <v>1074614</v>
      </c>
      <c r="U1435" s="24">
        <f t="shared" si="453"/>
        <v>4.5726638274032577E-7</v>
      </c>
      <c r="V1435" s="24">
        <f t="shared" si="440"/>
        <v>5.0807375860036186E-7</v>
      </c>
      <c r="W1435" s="24">
        <f t="shared" si="454"/>
        <v>3.3309713718151375E-6</v>
      </c>
      <c r="X1435" s="25">
        <f t="shared" si="455"/>
        <v>2.9040827413288748E-6</v>
      </c>
      <c r="Y1435" s="8">
        <f t="shared" si="446"/>
        <v>2.919118068267963E-3</v>
      </c>
      <c r="Z1435" s="27">
        <f t="shared" si="447"/>
        <v>5.8415374570412184E-4</v>
      </c>
      <c r="AA1435" s="27"/>
      <c r="AB1435" s="27"/>
      <c r="AC1435" s="56">
        <f t="shared" si="448"/>
        <v>4.1728125443979468E-5</v>
      </c>
      <c r="AE1435" s="20" t="e">
        <f>#REF!*1.35</f>
        <v>#REF!</v>
      </c>
      <c r="AF1435" s="20">
        <f t="shared" si="449"/>
        <v>1930068000.0000002</v>
      </c>
      <c r="AG1435">
        <f t="shared" si="450"/>
        <v>502319.29795236111</v>
      </c>
      <c r="AH1435">
        <f t="shared" si="451"/>
        <v>0</v>
      </c>
      <c r="AI1435">
        <f t="shared" si="452"/>
        <v>16695949475.283735</v>
      </c>
    </row>
    <row r="1436" spans="2:35" x14ac:dyDescent="0.25">
      <c r="B1436" s="4">
        <v>2024</v>
      </c>
      <c r="C1436" s="4" t="s">
        <v>33</v>
      </c>
      <c r="D1436" s="1" t="s">
        <v>81</v>
      </c>
      <c r="E1436" s="4" t="s">
        <v>696</v>
      </c>
      <c r="F1436" s="4" t="s">
        <v>146</v>
      </c>
      <c r="G1436" s="11"/>
      <c r="H1436" s="11" t="s">
        <v>812</v>
      </c>
      <c r="I1436" s="11"/>
      <c r="J1436" s="11" t="s">
        <v>55</v>
      </c>
      <c r="K1436" s="92">
        <v>7430.9388031452436</v>
      </c>
      <c r="L1436" s="92">
        <v>8256.5986701613783</v>
      </c>
      <c r="M1436" s="93">
        <v>3095.4450480568325</v>
      </c>
      <c r="N1436" s="8">
        <v>0</v>
      </c>
      <c r="O1436" s="8">
        <f>SUMIFS(EIAwtransport!$J$2:$J$675,EIAwtransport!$E$2:$E$675,Program_data!$E1436,EIAwtransport!$H$2:$H$675,Program_data!$F1436,EIAwtransport!$I$2:$I$675,Program_data!O$2)</f>
        <v>555000000</v>
      </c>
      <c r="P1436" s="5">
        <f>SUMIFS(EIAwtransport!$J$2:$J$675,EIAwtransport!$E$2:$E$675,Program_data!$E1436,EIAwtransport!$H$2:$H$675,Program_data!$F1436,EIAwtransport!$I$2:$I$675,Program_data!P$2)</f>
        <v>75825366.219932109</v>
      </c>
      <c r="Q1436" s="5">
        <f>SUMIFS(EIAwtransport!$J$2:$J$675,EIAwtransport!$E$2:$E$675,Program_data!$E1436,EIAwtransport!$H$2:$H$675,Program_data!$F1436,EIAwtransport!$I$2:$I$675,Program_data!Q$2)</f>
        <v>98444</v>
      </c>
      <c r="R1436" s="8">
        <f>SUMIFS(EIAwtransport!$J$2:$J$675,EIAwtransport!$E$2:$E$675,Program_data!$E1436,EIAwtransport!$I$2:$I$675,Program_data!R$2)</f>
        <v>1429680000</v>
      </c>
      <c r="S1436" s="5">
        <f>SUMIFS(EIAwtransport!$J$2:$J$675,EIAwtransport!$E$2:$E$675,Program_data!$E1436,EIAwtransport!$I$2:$I$675,Program_data!S$2)</f>
        <v>158285451.98410821</v>
      </c>
      <c r="T1436" s="5">
        <f>SUMIFS(EIAwtransport!$J$2:$J$675,EIAwtransport!$E$2:$E$675,Program_data!$E1436,EIAwtransport!$I$2:$I$675,Program_data!T$2)</f>
        <v>1074614</v>
      </c>
      <c r="U1436" s="24">
        <f t="shared" si="453"/>
        <v>4.53150985295663E-6</v>
      </c>
      <c r="V1436" s="24">
        <f t="shared" si="440"/>
        <v>5.0350109477295868E-6</v>
      </c>
      <c r="W1436" s="24">
        <f t="shared" si="454"/>
        <v>2.1651313916798391E-6</v>
      </c>
      <c r="X1436" s="25">
        <f t="shared" si="455"/>
        <v>1.8876537818637687E-6</v>
      </c>
      <c r="Y1436" s="8">
        <f t="shared" si="446"/>
        <v>5.2356955563903889E-4</v>
      </c>
      <c r="Z1436" s="27">
        <f t="shared" si="447"/>
        <v>3.796999347076792E-4</v>
      </c>
      <c r="AA1436" s="27"/>
      <c r="AB1436" s="27"/>
      <c r="AC1436" s="56">
        <f t="shared" si="448"/>
        <v>2.7123281538586651E-5</v>
      </c>
      <c r="AE1436" s="20" t="e">
        <f>#REF!*1.35</f>
        <v>#REF!</v>
      </c>
      <c r="AF1436" s="20">
        <f t="shared" si="449"/>
        <v>1930068000.0000002</v>
      </c>
      <c r="AG1436">
        <f t="shared" si="450"/>
        <v>326507.54366903473</v>
      </c>
      <c r="AH1436">
        <f t="shared" si="451"/>
        <v>0</v>
      </c>
      <c r="AI1436">
        <f t="shared" si="452"/>
        <v>16695949475.283735</v>
      </c>
    </row>
    <row r="1437" spans="2:35" x14ac:dyDescent="0.25">
      <c r="B1437" s="4">
        <v>2024</v>
      </c>
      <c r="C1437" s="4" t="s">
        <v>33</v>
      </c>
      <c r="D1437" s="1" t="s">
        <v>81</v>
      </c>
      <c r="E1437" s="4" t="s">
        <v>696</v>
      </c>
      <c r="F1437" s="4" t="s">
        <v>146</v>
      </c>
      <c r="G1437" s="11"/>
      <c r="H1437" s="11" t="s">
        <v>813</v>
      </c>
      <c r="I1437" s="11"/>
      <c r="J1437" s="11" t="s">
        <v>21</v>
      </c>
      <c r="K1437" s="92">
        <v>1747.1329375709804</v>
      </c>
      <c r="L1437" s="92">
        <v>1941.2588195233111</v>
      </c>
      <c r="M1437" s="93">
        <v>571.46677810279982</v>
      </c>
      <c r="N1437" s="8">
        <v>0</v>
      </c>
      <c r="O1437" s="8">
        <f>SUMIFS(EIAwtransport!$J$2:$J$675,EIAwtransport!$E$2:$E$675,Program_data!$E1437,EIAwtransport!$H$2:$H$675,Program_data!$F1437,EIAwtransport!$I$2:$I$675,Program_data!O$2)</f>
        <v>555000000</v>
      </c>
      <c r="P1437" s="5">
        <f>SUMIFS(EIAwtransport!$J$2:$J$675,EIAwtransport!$E$2:$E$675,Program_data!$E1437,EIAwtransport!$H$2:$H$675,Program_data!$F1437,EIAwtransport!$I$2:$I$675,Program_data!P$2)</f>
        <v>75825366.219932109</v>
      </c>
      <c r="Q1437" s="5">
        <f>SUMIFS(EIAwtransport!$J$2:$J$675,EIAwtransport!$E$2:$E$675,Program_data!$E1437,EIAwtransport!$H$2:$H$675,Program_data!$F1437,EIAwtransport!$I$2:$I$675,Program_data!Q$2)</f>
        <v>98444</v>
      </c>
      <c r="R1437" s="8">
        <f>SUMIFS(EIAwtransport!$J$2:$J$675,EIAwtransport!$E$2:$E$675,Program_data!$E1437,EIAwtransport!$I$2:$I$675,Program_data!R$2)</f>
        <v>1429680000</v>
      </c>
      <c r="S1437" s="5">
        <f>SUMIFS(EIAwtransport!$J$2:$J$675,EIAwtransport!$E$2:$E$675,Program_data!$E1437,EIAwtransport!$I$2:$I$675,Program_data!S$2)</f>
        <v>158285451.98410821</v>
      </c>
      <c r="T1437" s="5">
        <f>SUMIFS(EIAwtransport!$J$2:$J$675,EIAwtransport!$E$2:$E$675,Program_data!$E1437,EIAwtransport!$I$2:$I$675,Program_data!T$2)</f>
        <v>1074614</v>
      </c>
      <c r="U1437" s="24">
        <f t="shared" si="453"/>
        <v>1.0654306717849594E-6</v>
      </c>
      <c r="V1437" s="24">
        <f t="shared" si="440"/>
        <v>1.1838118575388435E-6</v>
      </c>
      <c r="W1437" s="24">
        <f t="shared" si="454"/>
        <v>3.9971656461781647E-7</v>
      </c>
      <c r="X1437" s="25">
        <f t="shared" si="455"/>
        <v>3.4848992895946495E-7</v>
      </c>
      <c r="Y1437" s="8">
        <f t="shared" si="446"/>
        <v>9.6658994887207186E-5</v>
      </c>
      <c r="Z1437" s="27">
        <f t="shared" si="447"/>
        <v>7.009844948449462E-5</v>
      </c>
      <c r="AA1437" s="27"/>
      <c r="AB1437" s="27"/>
      <c r="AC1437" s="56">
        <f t="shared" si="448"/>
        <v>5.007375053277536E-6</v>
      </c>
      <c r="AE1437" s="20" t="e">
        <f>#REF!*1.35</f>
        <v>#REF!</v>
      </c>
      <c r="AF1437" s="20">
        <f t="shared" si="449"/>
        <v>1930068000.0000002</v>
      </c>
      <c r="AG1437">
        <f t="shared" si="450"/>
        <v>60278.315754283329</v>
      </c>
      <c r="AH1437">
        <f t="shared" si="451"/>
        <v>0</v>
      </c>
      <c r="AI1437">
        <f t="shared" si="452"/>
        <v>16695949475.283735</v>
      </c>
    </row>
    <row r="1438" spans="2:35" x14ac:dyDescent="0.25">
      <c r="B1438" s="4">
        <v>2024</v>
      </c>
      <c r="C1438" s="4" t="s">
        <v>33</v>
      </c>
      <c r="D1438" s="1" t="s">
        <v>81</v>
      </c>
      <c r="E1438" s="4" t="s">
        <v>696</v>
      </c>
      <c r="F1438" s="4" t="s">
        <v>146</v>
      </c>
      <c r="G1438" s="11"/>
      <c r="H1438" s="11" t="s">
        <v>814</v>
      </c>
      <c r="I1438" s="11"/>
      <c r="J1438" s="11" t="s">
        <v>21</v>
      </c>
      <c r="K1438" s="92">
        <v>18746.061561920393</v>
      </c>
      <c r="L1438" s="92">
        <v>20828.957291022652</v>
      </c>
      <c r="M1438" s="93">
        <v>7143.3347262849984</v>
      </c>
      <c r="N1438" s="8">
        <v>0</v>
      </c>
      <c r="O1438" s="8">
        <f>SUMIFS(EIAwtransport!$J$2:$J$675,EIAwtransport!$E$2:$E$675,Program_data!$E1438,EIAwtransport!$H$2:$H$675,Program_data!$F1438,EIAwtransport!$I$2:$I$675,Program_data!O$2)</f>
        <v>555000000</v>
      </c>
      <c r="P1438" s="5">
        <f>SUMIFS(EIAwtransport!$J$2:$J$675,EIAwtransport!$E$2:$E$675,Program_data!$E1438,EIAwtransport!$H$2:$H$675,Program_data!$F1438,EIAwtransport!$I$2:$I$675,Program_data!P$2)</f>
        <v>75825366.219932109</v>
      </c>
      <c r="Q1438" s="5">
        <f>SUMIFS(EIAwtransport!$J$2:$J$675,EIAwtransport!$E$2:$E$675,Program_data!$E1438,EIAwtransport!$H$2:$H$675,Program_data!$F1438,EIAwtransport!$I$2:$I$675,Program_data!Q$2)</f>
        <v>98444</v>
      </c>
      <c r="R1438" s="8">
        <f>SUMIFS(EIAwtransport!$J$2:$J$675,EIAwtransport!$E$2:$E$675,Program_data!$E1438,EIAwtransport!$I$2:$I$675,Program_data!R$2)</f>
        <v>1429680000</v>
      </c>
      <c r="S1438" s="5">
        <f>SUMIFS(EIAwtransport!$J$2:$J$675,EIAwtransport!$E$2:$E$675,Program_data!$E1438,EIAwtransport!$I$2:$I$675,Program_data!S$2)</f>
        <v>158285451.98410821</v>
      </c>
      <c r="T1438" s="5">
        <f>SUMIFS(EIAwtransport!$J$2:$J$675,EIAwtransport!$E$2:$E$675,Program_data!$E1438,EIAwtransport!$I$2:$I$675,Program_data!T$2)</f>
        <v>1074614</v>
      </c>
      <c r="U1438" s="24">
        <f t="shared" si="453"/>
        <v>1.1431659568508149E-5</v>
      </c>
      <c r="V1438" s="24">
        <f t="shared" si="440"/>
        <v>1.270184396500905E-5</v>
      </c>
      <c r="W1438" s="24">
        <f t="shared" si="454"/>
        <v>4.9964570577227062E-6</v>
      </c>
      <c r="X1438" s="25">
        <f t="shared" si="455"/>
        <v>4.3561241119933126E-6</v>
      </c>
      <c r="Y1438" s="8">
        <f t="shared" si="446"/>
        <v>1.2082374360900898E-3</v>
      </c>
      <c r="Z1438" s="27">
        <f t="shared" si="447"/>
        <v>8.7623061855618281E-4</v>
      </c>
      <c r="AA1438" s="27"/>
      <c r="AB1438" s="27"/>
      <c r="AC1438" s="56">
        <f t="shared" si="448"/>
        <v>6.2592188165969202E-5</v>
      </c>
      <c r="AE1438" s="20" t="e">
        <f>#REF!*1.35</f>
        <v>#REF!</v>
      </c>
      <c r="AF1438" s="20">
        <f t="shared" si="449"/>
        <v>1930068000.0000002</v>
      </c>
      <c r="AG1438">
        <f t="shared" si="450"/>
        <v>753478.94692854164</v>
      </c>
      <c r="AH1438">
        <f t="shared" si="451"/>
        <v>0</v>
      </c>
      <c r="AI1438">
        <f t="shared" si="452"/>
        <v>16695949475.283735</v>
      </c>
    </row>
    <row r="1439" spans="2:35" x14ac:dyDescent="0.25">
      <c r="B1439" s="4">
        <v>2024</v>
      </c>
      <c r="C1439" s="4" t="s">
        <v>33</v>
      </c>
      <c r="D1439" s="1" t="s">
        <v>81</v>
      </c>
      <c r="E1439" s="4" t="s">
        <v>696</v>
      </c>
      <c r="F1439" s="4" t="s">
        <v>146</v>
      </c>
      <c r="G1439" s="11"/>
      <c r="H1439" s="11" t="s">
        <v>815</v>
      </c>
      <c r="I1439" s="11"/>
      <c r="J1439" s="11" t="s">
        <v>21</v>
      </c>
      <c r="K1439" s="92">
        <v>149.96849249536311</v>
      </c>
      <c r="L1439" s="92">
        <v>166.6316583281812</v>
      </c>
      <c r="M1439" s="93">
        <v>95.244463017133313</v>
      </c>
      <c r="N1439" s="8">
        <v>0</v>
      </c>
      <c r="O1439" s="8">
        <f>SUMIFS(EIAwtransport!$J$2:$J$675,EIAwtransport!$E$2:$E$675,Program_data!$E1439,EIAwtransport!$H$2:$H$675,Program_data!$F1439,EIAwtransport!$I$2:$I$675,Program_data!O$2)</f>
        <v>555000000</v>
      </c>
      <c r="P1439" s="5">
        <f>SUMIFS(EIAwtransport!$J$2:$J$675,EIAwtransport!$E$2:$E$675,Program_data!$E1439,EIAwtransport!$H$2:$H$675,Program_data!$F1439,EIAwtransport!$I$2:$I$675,Program_data!P$2)</f>
        <v>75825366.219932109</v>
      </c>
      <c r="Q1439" s="5">
        <f>SUMIFS(EIAwtransport!$J$2:$J$675,EIAwtransport!$E$2:$E$675,Program_data!$E1439,EIAwtransport!$H$2:$H$675,Program_data!$F1439,EIAwtransport!$I$2:$I$675,Program_data!Q$2)</f>
        <v>98444</v>
      </c>
      <c r="R1439" s="8">
        <f>SUMIFS(EIAwtransport!$J$2:$J$675,EIAwtransport!$E$2:$E$675,Program_data!$E1439,EIAwtransport!$I$2:$I$675,Program_data!R$2)</f>
        <v>1429680000</v>
      </c>
      <c r="S1439" s="5">
        <f>SUMIFS(EIAwtransport!$J$2:$J$675,EIAwtransport!$E$2:$E$675,Program_data!$E1439,EIAwtransport!$I$2:$I$675,Program_data!S$2)</f>
        <v>158285451.98410821</v>
      </c>
      <c r="T1439" s="5">
        <f>SUMIFS(EIAwtransport!$J$2:$J$675,EIAwtransport!$E$2:$E$675,Program_data!$E1439,EIAwtransport!$I$2:$I$675,Program_data!T$2)</f>
        <v>1074614</v>
      </c>
      <c r="U1439" s="24">
        <f t="shared" si="453"/>
        <v>9.1453276548065165E-8</v>
      </c>
      <c r="V1439" s="24">
        <f t="shared" si="440"/>
        <v>1.0161475172007239E-7</v>
      </c>
      <c r="W1439" s="24">
        <f t="shared" si="454"/>
        <v>6.661942743630275E-8</v>
      </c>
      <c r="X1439" s="25">
        <f t="shared" si="455"/>
        <v>5.8081654826577504E-8</v>
      </c>
      <c r="Y1439" s="8">
        <f t="shared" si="446"/>
        <v>1.61098324812012E-5</v>
      </c>
      <c r="Z1439" s="27">
        <f t="shared" si="447"/>
        <v>1.1683074914082438E-5</v>
      </c>
      <c r="AA1439" s="27"/>
      <c r="AB1439" s="27"/>
      <c r="AC1439" s="56">
        <f t="shared" si="448"/>
        <v>8.3456250887958937E-7</v>
      </c>
      <c r="AE1439" s="20" t="e">
        <f>#REF!*1.35</f>
        <v>#REF!</v>
      </c>
      <c r="AF1439" s="20">
        <f t="shared" si="449"/>
        <v>1930068000.0000002</v>
      </c>
      <c r="AG1439">
        <f t="shared" si="450"/>
        <v>10046.385959047222</v>
      </c>
      <c r="AH1439">
        <f t="shared" si="451"/>
        <v>0</v>
      </c>
      <c r="AI1439">
        <f t="shared" si="452"/>
        <v>16695949475.283735</v>
      </c>
    </row>
    <row r="1440" spans="2:35" x14ac:dyDescent="0.25">
      <c r="B1440" s="4">
        <v>2024</v>
      </c>
      <c r="C1440" s="4" t="s">
        <v>33</v>
      </c>
      <c r="D1440" s="1" t="s">
        <v>81</v>
      </c>
      <c r="E1440" s="4" t="s">
        <v>696</v>
      </c>
      <c r="F1440" s="4" t="s">
        <v>143</v>
      </c>
      <c r="G1440" s="11"/>
      <c r="H1440" s="11" t="s">
        <v>816</v>
      </c>
      <c r="I1440" s="11"/>
      <c r="J1440" s="11" t="s">
        <v>32</v>
      </c>
      <c r="K1440" s="92">
        <v>0</v>
      </c>
      <c r="L1440" s="92">
        <v>0</v>
      </c>
      <c r="M1440" s="93">
        <v>5469.2825768667644</v>
      </c>
      <c r="N1440" s="8">
        <v>0</v>
      </c>
      <c r="O1440" s="8">
        <f>SUMIFS(EIAwtransport!$J$2:$J$675,EIAwtransport!$E$2:$E$675,Program_data!$E1440,EIAwtransport!$H$2:$H$675,Program_data!$F1440,EIAwtransport!$I$2:$I$675,Program_data!O$2)</f>
        <v>0</v>
      </c>
      <c r="P1440" s="5">
        <f>SUMIFS(EIAwtransport!$J$2:$J$675,EIAwtransport!$E$2:$E$675,Program_data!$E1440,EIAwtransport!$H$2:$H$675,Program_data!$F1440,EIAwtransport!$I$2:$I$675,Program_data!P$2)</f>
        <v>0</v>
      </c>
      <c r="Q1440" s="5">
        <f>SUMIFS(EIAwtransport!$J$2:$J$675,EIAwtransport!$E$2:$E$675,Program_data!$E1440,EIAwtransport!$H$2:$H$675,Program_data!$F1440,EIAwtransport!$I$2:$I$675,Program_data!Q$2)</f>
        <v>0</v>
      </c>
      <c r="R1440" s="8">
        <f>SUMIFS(EIAwtransport!$J$2:$J$675,EIAwtransport!$E$2:$E$675,Program_data!$E1440,EIAwtransport!$I$2:$I$675,Program_data!R$2)</f>
        <v>1429680000</v>
      </c>
      <c r="S1440" s="5">
        <f>SUMIFS(EIAwtransport!$J$2:$J$675,EIAwtransport!$E$2:$E$675,Program_data!$E1440,EIAwtransport!$I$2:$I$675,Program_data!S$2)</f>
        <v>158285451.98410821</v>
      </c>
      <c r="T1440" s="5">
        <f>SUMIFS(EIAwtransport!$J$2:$J$675,EIAwtransport!$E$2:$E$675,Program_data!$E1440,EIAwtransport!$I$2:$I$675,Program_data!T$2)</f>
        <v>1074614</v>
      </c>
      <c r="U1440" s="24">
        <f t="shared" si="453"/>
        <v>0</v>
      </c>
      <c r="V1440" s="24">
        <f t="shared" si="440"/>
        <v>0</v>
      </c>
      <c r="W1440" s="24">
        <f t="shared" si="454"/>
        <v>3.8255291931528483E-6</v>
      </c>
      <c r="X1440" s="25">
        <f t="shared" si="455"/>
        <v>3.3352593181342802E-6</v>
      </c>
      <c r="Y1440" s="8">
        <f t="shared" si="446"/>
        <v>8.9843014792664912E-3</v>
      </c>
      <c r="Z1440" s="27">
        <f t="shared" si="447"/>
        <v>6.7088454328652965E-4</v>
      </c>
      <c r="AA1440" s="27"/>
      <c r="AB1440" s="27"/>
      <c r="AC1440" s="56">
        <f t="shared" si="448"/>
        <v>4.7923606732921183E-5</v>
      </c>
      <c r="AE1440" s="20" t="e">
        <f>#REF!*1.35</f>
        <v>#REF!</v>
      </c>
      <c r="AF1440" s="20">
        <f t="shared" si="449"/>
        <v>1930068000.0000002</v>
      </c>
      <c r="AG1440">
        <f t="shared" si="450"/>
        <v>576899.92620790633</v>
      </c>
      <c r="AH1440">
        <f t="shared" si="451"/>
        <v>0</v>
      </c>
      <c r="AI1440">
        <f t="shared" si="452"/>
        <v>16695949475.283735</v>
      </c>
    </row>
    <row r="1441" spans="1:35" x14ac:dyDescent="0.25">
      <c r="B1441" s="4">
        <v>2024</v>
      </c>
      <c r="C1441" s="4" t="s">
        <v>33</v>
      </c>
      <c r="D1441" s="1" t="s">
        <v>81</v>
      </c>
      <c r="E1441" s="4" t="s">
        <v>696</v>
      </c>
      <c r="F1441" s="4" t="s">
        <v>146</v>
      </c>
      <c r="G1441" s="11"/>
      <c r="H1441" s="11" t="s">
        <v>817</v>
      </c>
      <c r="I1441" s="11"/>
      <c r="J1441" s="11" t="s">
        <v>32</v>
      </c>
      <c r="K1441" s="92">
        <v>0</v>
      </c>
      <c r="L1441" s="92">
        <v>0</v>
      </c>
      <c r="M1441" s="93">
        <v>68366.032210834557</v>
      </c>
      <c r="N1441" s="8">
        <v>0</v>
      </c>
      <c r="O1441" s="8">
        <f>SUMIFS(EIAwtransport!$J$2:$J$675,EIAwtransport!$E$2:$E$675,Program_data!$E1441,EIAwtransport!$H$2:$H$675,Program_data!$F1441,EIAwtransport!$I$2:$I$675,Program_data!O$2)</f>
        <v>555000000</v>
      </c>
      <c r="P1441" s="5">
        <f>SUMIFS(EIAwtransport!$J$2:$J$675,EIAwtransport!$E$2:$E$675,Program_data!$E1441,EIAwtransport!$H$2:$H$675,Program_data!$F1441,EIAwtransport!$I$2:$I$675,Program_data!P$2)</f>
        <v>75825366.219932109</v>
      </c>
      <c r="Q1441" s="5">
        <f>SUMIFS(EIAwtransport!$J$2:$J$675,EIAwtransport!$E$2:$E$675,Program_data!$E1441,EIAwtransport!$H$2:$H$675,Program_data!$F1441,EIAwtransport!$I$2:$I$675,Program_data!Q$2)</f>
        <v>98444</v>
      </c>
      <c r="R1441" s="8">
        <f>SUMIFS(EIAwtransport!$J$2:$J$675,EIAwtransport!$E$2:$E$675,Program_data!$E1441,EIAwtransport!$I$2:$I$675,Program_data!R$2)</f>
        <v>1429680000</v>
      </c>
      <c r="S1441" s="5">
        <f>SUMIFS(EIAwtransport!$J$2:$J$675,EIAwtransport!$E$2:$E$675,Program_data!$E1441,EIAwtransport!$I$2:$I$675,Program_data!S$2)</f>
        <v>158285451.98410821</v>
      </c>
      <c r="T1441" s="5">
        <f>SUMIFS(EIAwtransport!$J$2:$J$675,EIAwtransport!$E$2:$E$675,Program_data!$E1441,EIAwtransport!$I$2:$I$675,Program_data!T$2)</f>
        <v>1074614</v>
      </c>
      <c r="U1441" s="24">
        <f t="shared" si="453"/>
        <v>0</v>
      </c>
      <c r="V1441" s="24">
        <f t="shared" si="440"/>
        <v>0</v>
      </c>
      <c r="W1441" s="24">
        <f t="shared" si="454"/>
        <v>4.7819114914410606E-5</v>
      </c>
      <c r="X1441" s="25">
        <f t="shared" si="455"/>
        <v>4.1690741476678507E-5</v>
      </c>
      <c r="Y1441" s="8">
        <f t="shared" si="446"/>
        <v>1.1563562767137736E-2</v>
      </c>
      <c r="Z1441" s="27">
        <f t="shared" si="447"/>
        <v>8.3860567910816215E-3</v>
      </c>
      <c r="AA1441" s="27"/>
      <c r="AB1441" s="27"/>
      <c r="AC1441" s="56">
        <f t="shared" si="448"/>
        <v>5.9904508416151476E-4</v>
      </c>
      <c r="AE1441" s="20" t="e">
        <f>#REF!*1.35</f>
        <v>#REF!</v>
      </c>
      <c r="AF1441" s="20">
        <f t="shared" si="449"/>
        <v>1930068000.0000002</v>
      </c>
      <c r="AG1441">
        <f t="shared" si="450"/>
        <v>7211249.0775988298</v>
      </c>
      <c r="AH1441">
        <f t="shared" si="451"/>
        <v>0</v>
      </c>
      <c r="AI1441">
        <f t="shared" si="452"/>
        <v>16695949475.283735</v>
      </c>
    </row>
    <row r="1442" spans="1:35" x14ac:dyDescent="0.25">
      <c r="B1442" s="4">
        <v>2024</v>
      </c>
      <c r="C1442" s="4" t="s">
        <v>33</v>
      </c>
      <c r="D1442" s="1" t="s">
        <v>81</v>
      </c>
      <c r="E1442" s="4" t="s">
        <v>696</v>
      </c>
      <c r="F1442" s="4" t="s">
        <v>135</v>
      </c>
      <c r="G1442" s="11"/>
      <c r="H1442" s="11" t="s">
        <v>818</v>
      </c>
      <c r="I1442" s="11"/>
      <c r="J1442" s="11" t="s">
        <v>32</v>
      </c>
      <c r="K1442" s="92">
        <v>0</v>
      </c>
      <c r="L1442" s="92">
        <v>0</v>
      </c>
      <c r="M1442" s="93">
        <v>17091.508052708639</v>
      </c>
      <c r="N1442" s="8">
        <v>0</v>
      </c>
      <c r="O1442" s="8">
        <f>SUMIFS(EIAwtransport!$J$2:$J$675,EIAwtransport!$E$2:$E$675,Program_data!$E1442,EIAwtransport!$H$2:$H$675,Program_data!$F1442,EIAwtransport!$I$2:$I$675,Program_data!O$2)</f>
        <v>874680000</v>
      </c>
      <c r="P1442" s="5">
        <f>SUMIFS(EIAwtransport!$J$2:$J$675,EIAwtransport!$E$2:$E$675,Program_data!$E1442,EIAwtransport!$H$2:$H$675,Program_data!$F1442,EIAwtransport!$I$2:$I$675,Program_data!P$2)</f>
        <v>82460085.7641761</v>
      </c>
      <c r="Q1442" s="5">
        <f>SUMIFS(EIAwtransport!$J$2:$J$675,EIAwtransport!$E$2:$E$675,Program_data!$E1442,EIAwtransport!$H$2:$H$675,Program_data!$F1442,EIAwtransport!$I$2:$I$675,Program_data!Q$2)</f>
        <v>976170</v>
      </c>
      <c r="R1442" s="8">
        <f>SUMIFS(EIAwtransport!$J$2:$J$675,EIAwtransport!$E$2:$E$675,Program_data!$E1442,EIAwtransport!$I$2:$I$675,Program_data!R$2)</f>
        <v>1429680000</v>
      </c>
      <c r="S1442" s="5">
        <f>SUMIFS(EIAwtransport!$J$2:$J$675,EIAwtransport!$E$2:$E$675,Program_data!$E1442,EIAwtransport!$I$2:$I$675,Program_data!S$2)</f>
        <v>158285451.98410821</v>
      </c>
      <c r="T1442" s="5">
        <f>SUMIFS(EIAwtransport!$J$2:$J$675,EIAwtransport!$E$2:$E$675,Program_data!$E1442,EIAwtransport!$I$2:$I$675,Program_data!T$2)</f>
        <v>1074614</v>
      </c>
      <c r="U1442" s="24">
        <f t="shared" si="453"/>
        <v>0</v>
      </c>
      <c r="V1442" s="24">
        <f t="shared" si="440"/>
        <v>0</v>
      </c>
      <c r="W1442" s="24">
        <f t="shared" si="454"/>
        <v>1.1954778728602651E-5</v>
      </c>
      <c r="X1442" s="25">
        <f t="shared" si="455"/>
        <v>1.0422685369169627E-5</v>
      </c>
      <c r="Y1442" s="8">
        <f t="shared" si="446"/>
        <v>1.0476646807622654E-2</v>
      </c>
      <c r="Z1442" s="27">
        <f t="shared" si="447"/>
        <v>2.0965141977704054E-3</v>
      </c>
      <c r="AA1442" s="27"/>
      <c r="AB1442" s="27"/>
      <c r="AC1442" s="56">
        <f t="shared" si="448"/>
        <v>1.4976127104037869E-4</v>
      </c>
      <c r="AE1442" s="20" t="e">
        <f>#REF!*1.35</f>
        <v>#REF!</v>
      </c>
      <c r="AF1442" s="20">
        <f t="shared" si="449"/>
        <v>1930068000.0000002</v>
      </c>
      <c r="AG1442">
        <f t="shared" si="450"/>
        <v>1802812.2693997074</v>
      </c>
      <c r="AH1442">
        <f t="shared" si="451"/>
        <v>0</v>
      </c>
      <c r="AI1442">
        <f t="shared" si="452"/>
        <v>16695949475.283735</v>
      </c>
    </row>
    <row r="1443" spans="1:35" x14ac:dyDescent="0.25">
      <c r="B1443" s="4">
        <v>2024</v>
      </c>
      <c r="C1443" s="4" t="s">
        <v>33</v>
      </c>
      <c r="D1443" s="1" t="s">
        <v>81</v>
      </c>
      <c r="E1443" s="4" t="s">
        <v>696</v>
      </c>
      <c r="F1443" s="4" t="s">
        <v>146</v>
      </c>
      <c r="G1443" s="11"/>
      <c r="H1443" s="11" t="s">
        <v>819</v>
      </c>
      <c r="I1443" s="11"/>
      <c r="J1443" s="11" t="s">
        <v>68</v>
      </c>
      <c r="K1443" s="92">
        <v>95853.659816891071</v>
      </c>
      <c r="L1443" s="92">
        <v>106504.06646321229</v>
      </c>
      <c r="M1443" s="93">
        <v>239281.11273792092</v>
      </c>
      <c r="N1443" s="8">
        <v>0</v>
      </c>
      <c r="O1443" s="8">
        <f>SUMIFS(EIAwtransport!$J$2:$J$675,EIAwtransport!$E$2:$E$675,Program_data!$E1443,EIAwtransport!$H$2:$H$675,Program_data!$F1443,EIAwtransport!$I$2:$I$675,Program_data!O$2)</f>
        <v>555000000</v>
      </c>
      <c r="P1443" s="5">
        <f>SUMIFS(EIAwtransport!$J$2:$J$675,EIAwtransport!$E$2:$E$675,Program_data!$E1443,EIAwtransport!$H$2:$H$675,Program_data!$F1443,EIAwtransport!$I$2:$I$675,Program_data!P$2)</f>
        <v>75825366.219932109</v>
      </c>
      <c r="Q1443" s="5">
        <f>SUMIFS(EIAwtransport!$J$2:$J$675,EIAwtransport!$E$2:$E$675,Program_data!$E1443,EIAwtransport!$H$2:$H$675,Program_data!$F1443,EIAwtransport!$I$2:$I$675,Program_data!Q$2)</f>
        <v>98444</v>
      </c>
      <c r="R1443" s="8">
        <f>SUMIFS(EIAwtransport!$J$2:$J$675,EIAwtransport!$E$2:$E$675,Program_data!$E1443,EIAwtransport!$I$2:$I$675,Program_data!R$2)</f>
        <v>1429680000</v>
      </c>
      <c r="S1443" s="5">
        <f>SUMIFS(EIAwtransport!$J$2:$J$675,EIAwtransport!$E$2:$E$675,Program_data!$E1443,EIAwtransport!$I$2:$I$675,Program_data!S$2)</f>
        <v>158285451.98410821</v>
      </c>
      <c r="T1443" s="5">
        <f>SUMIFS(EIAwtransport!$J$2:$J$675,EIAwtransport!$E$2:$E$675,Program_data!$E1443,EIAwtransport!$I$2:$I$675,Program_data!T$2)</f>
        <v>1074614</v>
      </c>
      <c r="U1443" s="24">
        <f t="shared" si="453"/>
        <v>5.8453153149147929E-5</v>
      </c>
      <c r="V1443" s="24">
        <f t="shared" si="440"/>
        <v>6.4947947943497691E-5</v>
      </c>
      <c r="W1443" s="24">
        <f t="shared" si="454"/>
        <v>1.6736690220043712E-4</v>
      </c>
      <c r="X1443" s="25">
        <f t="shared" si="455"/>
        <v>1.4591759516837475E-4</v>
      </c>
      <c r="Y1443" s="8">
        <f t="shared" si="446"/>
        <v>4.0472469684982075E-2</v>
      </c>
      <c r="Z1443" s="27">
        <f t="shared" si="447"/>
        <v>2.9351198768785669E-2</v>
      </c>
      <c r="AA1443" s="27"/>
      <c r="AB1443" s="27"/>
      <c r="AC1443" s="56">
        <f t="shared" si="448"/>
        <v>2.0966577945653016E-3</v>
      </c>
      <c r="AE1443" s="20" t="e">
        <f>#REF!*1.35</f>
        <v>#REF!</v>
      </c>
      <c r="AF1443" s="20">
        <f t="shared" si="449"/>
        <v>1930068000.0000002</v>
      </c>
      <c r="AG1443">
        <f t="shared" si="450"/>
        <v>25239371.771595899</v>
      </c>
      <c r="AH1443">
        <f t="shared" si="451"/>
        <v>0</v>
      </c>
      <c r="AI1443">
        <f t="shared" si="452"/>
        <v>16695949475.283735</v>
      </c>
    </row>
    <row r="1444" spans="1:35" x14ac:dyDescent="0.25">
      <c r="B1444" s="4">
        <v>2024</v>
      </c>
      <c r="C1444" s="4" t="s">
        <v>33</v>
      </c>
      <c r="D1444" s="1" t="s">
        <v>81</v>
      </c>
      <c r="E1444" s="4" t="s">
        <v>696</v>
      </c>
      <c r="F1444" s="4" t="s">
        <v>143</v>
      </c>
      <c r="G1444" s="11"/>
      <c r="H1444" s="11" t="s">
        <v>820</v>
      </c>
      <c r="I1444" s="11"/>
      <c r="J1444" s="11" t="s">
        <v>21</v>
      </c>
      <c r="K1444" s="92">
        <v>2036.8902711089352</v>
      </c>
      <c r="L1444" s="92">
        <v>2263.2114123432616</v>
      </c>
      <c r="M1444" s="93">
        <v>136732.06442166911</v>
      </c>
      <c r="N1444" s="8">
        <v>0</v>
      </c>
      <c r="O1444" s="8">
        <f>SUMIFS(EIAwtransport!$J$2:$J$675,EIAwtransport!$E$2:$E$675,Program_data!$E1444,EIAwtransport!$H$2:$H$675,Program_data!$F1444,EIAwtransport!$I$2:$I$675,Program_data!O$2)</f>
        <v>0</v>
      </c>
      <c r="P1444" s="5">
        <f>SUMIFS(EIAwtransport!$J$2:$J$675,EIAwtransport!$E$2:$E$675,Program_data!$E1444,EIAwtransport!$H$2:$H$675,Program_data!$F1444,EIAwtransport!$I$2:$I$675,Program_data!P$2)</f>
        <v>0</v>
      </c>
      <c r="Q1444" s="5">
        <f>SUMIFS(EIAwtransport!$J$2:$J$675,EIAwtransport!$E$2:$E$675,Program_data!$E1444,EIAwtransport!$H$2:$H$675,Program_data!$F1444,EIAwtransport!$I$2:$I$675,Program_data!Q$2)</f>
        <v>0</v>
      </c>
      <c r="R1444" s="8">
        <f>SUMIFS(EIAwtransport!$J$2:$J$675,EIAwtransport!$E$2:$E$675,Program_data!$E1444,EIAwtransport!$I$2:$I$675,Program_data!R$2)</f>
        <v>1429680000</v>
      </c>
      <c r="S1444" s="5">
        <f>SUMIFS(EIAwtransport!$J$2:$J$675,EIAwtransport!$E$2:$E$675,Program_data!$E1444,EIAwtransport!$I$2:$I$675,Program_data!S$2)</f>
        <v>158285451.98410821</v>
      </c>
      <c r="T1444" s="5">
        <f>SUMIFS(EIAwtransport!$J$2:$J$675,EIAwtransport!$E$2:$E$675,Program_data!$E1444,EIAwtransport!$I$2:$I$675,Program_data!T$2)</f>
        <v>1074614</v>
      </c>
      <c r="U1444" s="24">
        <f t="shared" si="453"/>
        <v>1.2421295044193933E-6</v>
      </c>
      <c r="V1444" s="24">
        <f t="shared" si="440"/>
        <v>1.3801438937993259E-6</v>
      </c>
      <c r="W1444" s="24">
        <f t="shared" si="454"/>
        <v>9.5638229828821212E-5</v>
      </c>
      <c r="X1444" s="25">
        <f t="shared" si="455"/>
        <v>8.3381482953357014E-5</v>
      </c>
      <c r="Y1444" s="8">
        <f t="shared" si="446"/>
        <v>0.22460753698166228</v>
      </c>
      <c r="Z1444" s="27">
        <f t="shared" si="447"/>
        <v>1.6772113582163243E-2</v>
      </c>
      <c r="AA1444" s="27"/>
      <c r="AB1444" s="27"/>
      <c r="AC1444" s="56">
        <f t="shared" si="448"/>
        <v>1.1980901683230295E-3</v>
      </c>
      <c r="AE1444" s="20" t="e">
        <f>#REF!*1.35</f>
        <v>#REF!</v>
      </c>
      <c r="AF1444" s="20">
        <f t="shared" si="449"/>
        <v>1930068000.0000002</v>
      </c>
      <c r="AG1444">
        <f t="shared" si="450"/>
        <v>14422498.15519766</v>
      </c>
      <c r="AH1444">
        <f t="shared" si="451"/>
        <v>0</v>
      </c>
      <c r="AI1444">
        <f t="shared" si="452"/>
        <v>16695949475.283735</v>
      </c>
    </row>
    <row r="1445" spans="1:35" x14ac:dyDescent="0.25">
      <c r="A1445" t="s">
        <v>310</v>
      </c>
      <c r="B1445" s="4">
        <v>2024</v>
      </c>
      <c r="C1445" s="4" t="s">
        <v>33</v>
      </c>
      <c r="D1445" s="1" t="s">
        <v>81</v>
      </c>
      <c r="E1445" s="4" t="s">
        <v>696</v>
      </c>
      <c r="F1445" s="4" t="s">
        <v>143</v>
      </c>
      <c r="G1445" s="4">
        <v>1</v>
      </c>
      <c r="H1445" s="11" t="s">
        <v>821</v>
      </c>
      <c r="I1445" s="11"/>
      <c r="J1445" s="11" t="s">
        <v>142</v>
      </c>
      <c r="K1445" s="92">
        <v>42171.22676791605</v>
      </c>
      <c r="L1445" s="92">
        <v>46856.918631017841</v>
      </c>
      <c r="M1445" s="93"/>
      <c r="N1445" s="8">
        <v>0</v>
      </c>
      <c r="O1445" s="8">
        <f>SUMIFS(EIAwtransport!$J$2:$J$675,EIAwtransport!$E$2:$E$675,Program_data!$E1445,EIAwtransport!$H$2:$H$675,Program_data!$F1445,EIAwtransport!$I$2:$I$675,Program_data!O$2)</f>
        <v>0</v>
      </c>
      <c r="P1445" s="5">
        <f>SUMIFS(EIAwtransport!$J$2:$J$675,EIAwtransport!$E$2:$E$675,Program_data!$E1445,EIAwtransport!$H$2:$H$675,Program_data!$F1445,EIAwtransport!$I$2:$I$675,Program_data!P$2)</f>
        <v>0</v>
      </c>
      <c r="Q1445" s="5">
        <f>SUMIFS(EIAwtransport!$J$2:$J$675,EIAwtransport!$E$2:$E$675,Program_data!$E1445,EIAwtransport!$H$2:$H$675,Program_data!$F1445,EIAwtransport!$I$2:$I$675,Program_data!Q$2)</f>
        <v>0</v>
      </c>
      <c r="R1445" s="8">
        <f>SUMIFS(EIAwtransport!$J$2:$J$675,EIAwtransport!$E$2:$E$675,Program_data!$E1445,EIAwtransport!$I$2:$I$675,Program_data!R$2)</f>
        <v>1429680000</v>
      </c>
      <c r="S1445" s="5">
        <f>SUMIFS(EIAwtransport!$J$2:$J$675,EIAwtransport!$E$2:$E$675,Program_data!$E1445,EIAwtransport!$I$2:$I$675,Program_data!S$2)</f>
        <v>158285451.98410821</v>
      </c>
      <c r="T1445" s="5">
        <f>SUMIFS(EIAwtransport!$J$2:$J$675,EIAwtransport!$E$2:$E$675,Program_data!$E1445,EIAwtransport!$I$2:$I$675,Program_data!T$2)</f>
        <v>1074614</v>
      </c>
      <c r="U1445" s="97">
        <f t="shared" ref="U1445:U1447" si="456">IFERROR(M1445/10.36/S1445,"")</f>
        <v>0</v>
      </c>
      <c r="V1445" s="24">
        <f t="shared" ref="V1445:V1447" si="457">IFERROR(N1445/10.36/S1445,"")</f>
        <v>0</v>
      </c>
      <c r="W1445" s="24" t="str">
        <f>IFERROR(#REF!/R1445,"")</f>
        <v/>
      </c>
      <c r="X1445" s="25" t="str">
        <f>IFERROR(#REF!/S1445/10.36,"")</f>
        <v/>
      </c>
      <c r="Y1445" s="8">
        <f t="shared" si="446"/>
        <v>0</v>
      </c>
      <c r="Z1445" s="27">
        <f t="shared" si="447"/>
        <v>0</v>
      </c>
      <c r="AA1445" s="27"/>
      <c r="AB1445" s="27"/>
      <c r="AC1445" s="56">
        <f t="shared" si="448"/>
        <v>0</v>
      </c>
      <c r="AE1445" s="20" t="e">
        <f>#REF!*1.35</f>
        <v>#REF!</v>
      </c>
      <c r="AF1445" s="20">
        <f t="shared" si="449"/>
        <v>1930068000.0000002</v>
      </c>
      <c r="AG1445">
        <f t="shared" si="450"/>
        <v>0</v>
      </c>
      <c r="AH1445">
        <f t="shared" si="451"/>
        <v>0</v>
      </c>
      <c r="AI1445">
        <f t="shared" si="452"/>
        <v>16695949475.283735</v>
      </c>
    </row>
    <row r="1446" spans="1:35" x14ac:dyDescent="0.25">
      <c r="A1446" t="s">
        <v>310</v>
      </c>
      <c r="B1446" s="4">
        <v>2024</v>
      </c>
      <c r="C1446" s="4" t="s">
        <v>33</v>
      </c>
      <c r="D1446" s="1" t="s">
        <v>81</v>
      </c>
      <c r="E1446" s="4" t="s">
        <v>696</v>
      </c>
      <c r="F1446" s="4" t="s">
        <v>143</v>
      </c>
      <c r="G1446" s="4">
        <v>1</v>
      </c>
      <c r="H1446" s="11" t="s">
        <v>822</v>
      </c>
      <c r="I1446" s="11"/>
      <c r="J1446" s="11" t="s">
        <v>142</v>
      </c>
      <c r="K1446" s="92">
        <v>37382.196736668178</v>
      </c>
      <c r="L1446" s="92">
        <v>41535.774151853533</v>
      </c>
      <c r="M1446" s="93"/>
      <c r="N1446" s="8">
        <v>0</v>
      </c>
      <c r="O1446" s="8">
        <f>SUMIFS(EIAwtransport!$J$2:$J$675,EIAwtransport!$E$2:$E$675,Program_data!$E1446,EIAwtransport!$H$2:$H$675,Program_data!$F1446,EIAwtransport!$I$2:$I$675,Program_data!O$2)</f>
        <v>0</v>
      </c>
      <c r="P1446" s="5">
        <f>SUMIFS(EIAwtransport!$J$2:$J$675,EIAwtransport!$E$2:$E$675,Program_data!$E1446,EIAwtransport!$H$2:$H$675,Program_data!$F1446,EIAwtransport!$I$2:$I$675,Program_data!P$2)</f>
        <v>0</v>
      </c>
      <c r="Q1446" s="5">
        <f>SUMIFS(EIAwtransport!$J$2:$J$675,EIAwtransport!$E$2:$E$675,Program_data!$E1446,EIAwtransport!$H$2:$H$675,Program_data!$F1446,EIAwtransport!$I$2:$I$675,Program_data!Q$2)</f>
        <v>0</v>
      </c>
      <c r="R1446" s="8">
        <f>SUMIFS(EIAwtransport!$J$2:$J$675,EIAwtransport!$E$2:$E$675,Program_data!$E1446,EIAwtransport!$I$2:$I$675,Program_data!R$2)</f>
        <v>1429680000</v>
      </c>
      <c r="S1446" s="5">
        <f>SUMIFS(EIAwtransport!$J$2:$J$675,EIAwtransport!$E$2:$E$675,Program_data!$E1446,EIAwtransport!$I$2:$I$675,Program_data!S$2)</f>
        <v>158285451.98410821</v>
      </c>
      <c r="T1446" s="5">
        <f>SUMIFS(EIAwtransport!$J$2:$J$675,EIAwtransport!$E$2:$E$675,Program_data!$E1446,EIAwtransport!$I$2:$I$675,Program_data!T$2)</f>
        <v>1074614</v>
      </c>
      <c r="U1446" s="97">
        <f t="shared" si="456"/>
        <v>0</v>
      </c>
      <c r="V1446" s="24">
        <f t="shared" si="457"/>
        <v>0</v>
      </c>
      <c r="W1446" s="24" t="str">
        <f>IFERROR(#REF!/R1446,"")</f>
        <v/>
      </c>
      <c r="X1446" s="25" t="str">
        <f>IFERROR(#REF!/S1446/10.36,"")</f>
        <v/>
      </c>
      <c r="Y1446" s="8">
        <f t="shared" si="446"/>
        <v>0</v>
      </c>
      <c r="Z1446" s="27">
        <f t="shared" si="447"/>
        <v>0</v>
      </c>
      <c r="AA1446" s="27"/>
      <c r="AB1446" s="27"/>
      <c r="AC1446" s="56">
        <f t="shared" si="448"/>
        <v>0</v>
      </c>
      <c r="AE1446" s="20" t="e">
        <f>#REF!*1.35</f>
        <v>#REF!</v>
      </c>
      <c r="AF1446" s="20">
        <f t="shared" si="449"/>
        <v>1930068000.0000002</v>
      </c>
      <c r="AG1446">
        <f t="shared" si="450"/>
        <v>0</v>
      </c>
      <c r="AH1446">
        <f t="shared" si="451"/>
        <v>0</v>
      </c>
      <c r="AI1446">
        <f t="shared" si="452"/>
        <v>16695949475.283735</v>
      </c>
    </row>
    <row r="1447" spans="1:35" x14ac:dyDescent="0.25">
      <c r="A1447" t="s">
        <v>310</v>
      </c>
      <c r="B1447" s="4">
        <v>2024</v>
      </c>
      <c r="C1447" s="4" t="s">
        <v>33</v>
      </c>
      <c r="D1447" s="1" t="s">
        <v>81</v>
      </c>
      <c r="E1447" s="4" t="s">
        <v>696</v>
      </c>
      <c r="F1447" s="4" t="s">
        <v>143</v>
      </c>
      <c r="G1447" s="4">
        <v>1</v>
      </c>
      <c r="H1447" s="11" t="s">
        <v>823</v>
      </c>
      <c r="I1447" s="11"/>
      <c r="J1447" s="11" t="s">
        <v>142</v>
      </c>
      <c r="K1447" s="92">
        <v>35348.594129196252</v>
      </c>
      <c r="L1447" s="92">
        <v>39276.215699106957</v>
      </c>
      <c r="M1447" s="93"/>
      <c r="N1447" s="8">
        <v>0</v>
      </c>
      <c r="O1447" s="8">
        <f>SUMIFS(EIAwtransport!$J$2:$J$675,EIAwtransport!$E$2:$E$675,Program_data!$E1447,EIAwtransport!$H$2:$H$675,Program_data!$F1447,EIAwtransport!$I$2:$I$675,Program_data!O$2)</f>
        <v>0</v>
      </c>
      <c r="P1447" s="5">
        <f>SUMIFS(EIAwtransport!$J$2:$J$675,EIAwtransport!$E$2:$E$675,Program_data!$E1447,EIAwtransport!$H$2:$H$675,Program_data!$F1447,EIAwtransport!$I$2:$I$675,Program_data!P$2)</f>
        <v>0</v>
      </c>
      <c r="Q1447" s="5">
        <f>SUMIFS(EIAwtransport!$J$2:$J$675,EIAwtransport!$E$2:$E$675,Program_data!$E1447,EIAwtransport!$H$2:$H$675,Program_data!$F1447,EIAwtransport!$I$2:$I$675,Program_data!Q$2)</f>
        <v>0</v>
      </c>
      <c r="R1447" s="8">
        <f>SUMIFS(EIAwtransport!$J$2:$J$675,EIAwtransport!$E$2:$E$675,Program_data!$E1447,EIAwtransport!$I$2:$I$675,Program_data!R$2)</f>
        <v>1429680000</v>
      </c>
      <c r="S1447" s="5">
        <f>SUMIFS(EIAwtransport!$J$2:$J$675,EIAwtransport!$E$2:$E$675,Program_data!$E1447,EIAwtransport!$I$2:$I$675,Program_data!S$2)</f>
        <v>158285451.98410821</v>
      </c>
      <c r="T1447" s="5">
        <f>SUMIFS(EIAwtransport!$J$2:$J$675,EIAwtransport!$E$2:$E$675,Program_data!$E1447,EIAwtransport!$I$2:$I$675,Program_data!T$2)</f>
        <v>1074614</v>
      </c>
      <c r="U1447" s="97">
        <f t="shared" si="456"/>
        <v>0</v>
      </c>
      <c r="V1447" s="24">
        <f t="shared" si="457"/>
        <v>0</v>
      </c>
      <c r="W1447" s="24" t="str">
        <f>IFERROR(#REF!/R1447,"")</f>
        <v/>
      </c>
      <c r="X1447" s="25" t="str">
        <f>IFERROR(#REF!/S1447/10.36,"")</f>
        <v/>
      </c>
      <c r="Y1447" s="8">
        <f t="shared" si="446"/>
        <v>0</v>
      </c>
      <c r="Z1447" s="27">
        <f t="shared" si="447"/>
        <v>0</v>
      </c>
      <c r="AA1447" s="27"/>
      <c r="AB1447" s="27"/>
      <c r="AC1447" s="56">
        <f t="shared" si="448"/>
        <v>0</v>
      </c>
      <c r="AE1447" s="20" t="e">
        <f>#REF!*1.35</f>
        <v>#REF!</v>
      </c>
      <c r="AF1447" s="20">
        <f t="shared" si="449"/>
        <v>1930068000.0000002</v>
      </c>
      <c r="AG1447">
        <f t="shared" si="450"/>
        <v>0</v>
      </c>
      <c r="AH1447">
        <f t="shared" si="451"/>
        <v>0</v>
      </c>
      <c r="AI1447">
        <f t="shared" si="452"/>
        <v>16695949475.283735</v>
      </c>
    </row>
    <row r="1448" spans="1:35" x14ac:dyDescent="0.25">
      <c r="B1448" s="4">
        <v>2024</v>
      </c>
      <c r="C1448" s="4" t="s">
        <v>33</v>
      </c>
      <c r="D1448" s="1" t="s">
        <v>81</v>
      </c>
      <c r="E1448" s="4" t="s">
        <v>696</v>
      </c>
      <c r="F1448" s="11" t="s">
        <v>135</v>
      </c>
      <c r="G1448" s="11"/>
      <c r="H1448" s="11" t="s">
        <v>824</v>
      </c>
      <c r="I1448" s="11"/>
      <c r="J1448" t="s">
        <v>48</v>
      </c>
      <c r="K1448" s="92">
        <v>1121.4351816343876</v>
      </c>
      <c r="L1448" s="92">
        <v>1246.039090704875</v>
      </c>
      <c r="M1448" s="93">
        <v>15549.4906887653</v>
      </c>
      <c r="N1448" s="8">
        <v>0</v>
      </c>
      <c r="O1448" s="8">
        <f>SUMIFS(EIAwtransport!$J$2:$J$675,EIAwtransport!$E$2:$E$675,Program_data!$E1448,EIAwtransport!$H$2:$H$675,Program_data!$F1448,EIAwtransport!$I$2:$I$675,Program_data!O$2)</f>
        <v>874680000</v>
      </c>
      <c r="P1448" s="5">
        <f>SUMIFS(EIAwtransport!$J$2:$J$675,EIAwtransport!$E$2:$E$675,Program_data!$E1448,EIAwtransport!$H$2:$H$675,Program_data!$F1448,EIAwtransport!$I$2:$I$675,Program_data!P$2)</f>
        <v>82460085.7641761</v>
      </c>
      <c r="Q1448" s="5">
        <f>SUMIFS(EIAwtransport!$J$2:$J$675,EIAwtransport!$E$2:$E$675,Program_data!$E1448,EIAwtransport!$H$2:$H$675,Program_data!$F1448,EIAwtransport!$I$2:$I$675,Program_data!Q$2)</f>
        <v>976170</v>
      </c>
      <c r="R1448" s="8">
        <f>SUMIFS(EIAwtransport!$J$2:$J$675,EIAwtransport!$E$2:$E$675,Program_data!$E1448,EIAwtransport!$I$2:$I$675,Program_data!R$2)</f>
        <v>1429680000</v>
      </c>
      <c r="S1448" s="5">
        <f>SUMIFS(EIAwtransport!$J$2:$J$675,EIAwtransport!$E$2:$E$675,Program_data!$E1448,EIAwtransport!$I$2:$I$675,Program_data!S$2)</f>
        <v>158285451.98410821</v>
      </c>
      <c r="T1448" s="5">
        <f>SUMIFS(EIAwtransport!$J$2:$J$675,EIAwtransport!$E$2:$E$675,Program_data!$E1448,EIAwtransport!$I$2:$I$675,Program_data!T$2)</f>
        <v>1074614</v>
      </c>
      <c r="U1448" s="24">
        <f t="shared" ref="U1448:U1492" si="458">IFERROR(K1448/10.36/S1448,"")</f>
        <v>6.8386979218258381E-7</v>
      </c>
      <c r="V1448" s="24">
        <f t="shared" ref="V1448:V1492" si="459">IFERROR(L1448/10.36/S1448,"")</f>
        <v>7.5985532464731524E-7</v>
      </c>
      <c r="W1448" s="24">
        <f t="shared" ref="W1448:W1492" si="460">IFERROR(M1448/R1448,"")</f>
        <v>1.087620354818232E-5</v>
      </c>
      <c r="X1448" s="25">
        <f t="shared" ref="X1448:X1492" si="461">IFERROR(M1448/S1448/10.36,"")</f>
        <v>9.4823375795764956E-6</v>
      </c>
      <c r="Y1448" s="8">
        <f t="shared" si="446"/>
        <v>9.5314305491488761E-3</v>
      </c>
      <c r="Z1448" s="27">
        <f t="shared" si="447"/>
        <v>1.9073640486585856E-3</v>
      </c>
      <c r="AA1448" s="27"/>
      <c r="AB1448" s="27"/>
      <c r="AC1448" s="56">
        <f t="shared" si="448"/>
        <v>1.362496207121392E-4</v>
      </c>
      <c r="AE1448" s="20" t="e">
        <f>#REF!*1.35</f>
        <v>#REF!</v>
      </c>
      <c r="AF1448" s="20">
        <f t="shared" si="449"/>
        <v>1930068000.0000002</v>
      </c>
      <c r="AG1448">
        <f t="shared" si="450"/>
        <v>1640160.2778509639</v>
      </c>
      <c r="AH1448">
        <f t="shared" si="451"/>
        <v>0</v>
      </c>
      <c r="AI1448">
        <f t="shared" si="452"/>
        <v>16695949475.283735</v>
      </c>
    </row>
    <row r="1449" spans="1:35" x14ac:dyDescent="0.25">
      <c r="B1449" s="4">
        <v>2024</v>
      </c>
      <c r="C1449" s="4" t="s">
        <v>33</v>
      </c>
      <c r="D1449" s="1" t="s">
        <v>81</v>
      </c>
      <c r="E1449" s="4" t="s">
        <v>696</v>
      </c>
      <c r="F1449" s="11" t="s">
        <v>135</v>
      </c>
      <c r="G1449" s="11"/>
      <c r="H1449" s="11" t="s">
        <v>825</v>
      </c>
      <c r="I1449" s="11"/>
      <c r="J1449" s="11" t="s">
        <v>21</v>
      </c>
      <c r="K1449" s="92">
        <v>1100.667863455973</v>
      </c>
      <c r="L1449" s="92">
        <v>1222.9642927288587</v>
      </c>
      <c r="M1449" s="93">
        <v>18511.29843900631</v>
      </c>
      <c r="N1449" s="8">
        <v>0</v>
      </c>
      <c r="O1449" s="8">
        <f>SUMIFS(EIAwtransport!$J$2:$J$675,EIAwtransport!$E$2:$E$675,Program_data!$E1449,EIAwtransport!$H$2:$H$675,Program_data!$F1449,EIAwtransport!$I$2:$I$675,Program_data!O$2)</f>
        <v>874680000</v>
      </c>
      <c r="P1449" s="5">
        <f>SUMIFS(EIAwtransport!$J$2:$J$675,EIAwtransport!$E$2:$E$675,Program_data!$E1449,EIAwtransport!$H$2:$H$675,Program_data!$F1449,EIAwtransport!$I$2:$I$675,Program_data!P$2)</f>
        <v>82460085.7641761</v>
      </c>
      <c r="Q1449" s="5">
        <f>SUMIFS(EIAwtransport!$J$2:$J$675,EIAwtransport!$E$2:$E$675,Program_data!$E1449,EIAwtransport!$H$2:$H$675,Program_data!$F1449,EIAwtransport!$I$2:$I$675,Program_data!Q$2)</f>
        <v>976170</v>
      </c>
      <c r="R1449" s="8">
        <f>SUMIFS(EIAwtransport!$J$2:$J$675,EIAwtransport!$E$2:$E$675,Program_data!$E1449,EIAwtransport!$I$2:$I$675,Program_data!R$2)</f>
        <v>1429680000</v>
      </c>
      <c r="S1449" s="5">
        <f>SUMIFS(EIAwtransport!$J$2:$J$675,EIAwtransport!$E$2:$E$675,Program_data!$E1449,EIAwtransport!$I$2:$I$675,Program_data!S$2)</f>
        <v>158285451.98410821</v>
      </c>
      <c r="T1449" s="5">
        <f>SUMIFS(EIAwtransport!$J$2:$J$675,EIAwtransport!$E$2:$E$675,Program_data!$E1449,EIAwtransport!$I$2:$I$675,Program_data!T$2)</f>
        <v>1074614</v>
      </c>
      <c r="U1449" s="24">
        <f t="shared" si="458"/>
        <v>6.7120553677179524E-7</v>
      </c>
      <c r="V1449" s="24">
        <f t="shared" si="459"/>
        <v>7.4578392974643895E-7</v>
      </c>
      <c r="W1449" s="24">
        <f t="shared" si="460"/>
        <v>1.2947861366883715E-5</v>
      </c>
      <c r="X1449" s="25">
        <f t="shared" si="461"/>
        <v>1.1288497118543449E-5</v>
      </c>
      <c r="Y1449" s="8">
        <f t="shared" si="446"/>
        <v>1.1346941129939139E-2</v>
      </c>
      <c r="Z1449" s="27">
        <f t="shared" si="447"/>
        <v>2.2706714864983162E-3</v>
      </c>
      <c r="AA1449" s="27"/>
      <c r="AB1449" s="27"/>
      <c r="AC1449" s="56">
        <f t="shared" ref="AC1449:AC1480" si="462">IFERROR(M1449/SUMIFS($M$3:$M$1234,$E$3:$E$1234,E1449,$B$3:$B$1234,B1449),"")</f>
        <v>1.6220192941921333E-4</v>
      </c>
      <c r="AE1449" s="20" t="e">
        <f>#REF!*1.35</f>
        <v>#REF!</v>
      </c>
      <c r="AF1449" s="20">
        <f t="shared" ref="AF1449:AF1480" si="463">R1449*1.35</f>
        <v>1930068000.0000002</v>
      </c>
      <c r="AG1449">
        <f t="shared" ref="AG1449:AG1480" si="464">M1449*105.48</f>
        <v>1952571.7593463857</v>
      </c>
      <c r="AH1449">
        <f t="shared" ref="AH1449:AH1480" si="465">N1449*105.48</f>
        <v>0</v>
      </c>
      <c r="AI1449">
        <f t="shared" ref="AI1449:AI1480" si="466">S1449*105.48</f>
        <v>16695949475.283735</v>
      </c>
    </row>
    <row r="1450" spans="1:35" x14ac:dyDescent="0.25">
      <c r="B1450" s="4">
        <v>2024</v>
      </c>
      <c r="C1450" s="4" t="s">
        <v>33</v>
      </c>
      <c r="D1450" s="1" t="s">
        <v>81</v>
      </c>
      <c r="E1450" s="4" t="s">
        <v>696</v>
      </c>
      <c r="F1450" s="11" t="s">
        <v>135</v>
      </c>
      <c r="G1450" s="11"/>
      <c r="H1450" s="11" t="s">
        <v>826</v>
      </c>
      <c r="I1450" s="11"/>
      <c r="J1450" s="11" t="s">
        <v>21</v>
      </c>
      <c r="K1450" s="92">
        <v>1536.7815452026794</v>
      </c>
      <c r="L1450" s="92">
        <v>1707.5350502251988</v>
      </c>
      <c r="M1450" s="93">
        <v>5553.3895317018932</v>
      </c>
      <c r="N1450" s="8">
        <v>0</v>
      </c>
      <c r="O1450" s="8">
        <f>SUMIFS(EIAwtransport!$J$2:$J$675,EIAwtransport!$E$2:$E$675,Program_data!$E1450,EIAwtransport!$H$2:$H$675,Program_data!$F1450,EIAwtransport!$I$2:$I$675,Program_data!O$2)</f>
        <v>874680000</v>
      </c>
      <c r="P1450" s="5">
        <f>SUMIFS(EIAwtransport!$J$2:$J$675,EIAwtransport!$E$2:$E$675,Program_data!$E1450,EIAwtransport!$H$2:$H$675,Program_data!$F1450,EIAwtransport!$I$2:$I$675,Program_data!P$2)</f>
        <v>82460085.7641761</v>
      </c>
      <c r="Q1450" s="5">
        <f>SUMIFS(EIAwtransport!$J$2:$J$675,EIAwtransport!$E$2:$E$675,Program_data!$E1450,EIAwtransport!$H$2:$H$675,Program_data!$F1450,EIAwtransport!$I$2:$I$675,Program_data!Q$2)</f>
        <v>976170</v>
      </c>
      <c r="R1450" s="8">
        <f>SUMIFS(EIAwtransport!$J$2:$J$675,EIAwtransport!$E$2:$E$675,Program_data!$E1450,EIAwtransport!$I$2:$I$675,Program_data!R$2)</f>
        <v>1429680000</v>
      </c>
      <c r="S1450" s="5">
        <f>SUMIFS(EIAwtransport!$J$2:$J$675,EIAwtransport!$E$2:$E$675,Program_data!$E1450,EIAwtransport!$I$2:$I$675,Program_data!S$2)</f>
        <v>158285451.98410821</v>
      </c>
      <c r="T1450" s="5">
        <f>SUMIFS(EIAwtransport!$J$2:$J$675,EIAwtransport!$E$2:$E$675,Program_data!$E1450,EIAwtransport!$I$2:$I$675,Program_data!T$2)</f>
        <v>1074614</v>
      </c>
      <c r="U1450" s="24">
        <f t="shared" si="458"/>
        <v>9.3715490039835556E-7</v>
      </c>
      <c r="V1450" s="24">
        <f t="shared" si="459"/>
        <v>1.0412832226648391E-6</v>
      </c>
      <c r="W1450" s="24">
        <f t="shared" si="460"/>
        <v>3.884358410065115E-6</v>
      </c>
      <c r="X1450" s="25">
        <f t="shared" si="461"/>
        <v>3.3865491355630348E-6</v>
      </c>
      <c r="Y1450" s="8">
        <f t="shared" si="446"/>
        <v>3.4040823389817417E-3</v>
      </c>
      <c r="Z1450" s="27">
        <f t="shared" si="447"/>
        <v>6.8120144594949487E-4</v>
      </c>
      <c r="AA1450" s="27"/>
      <c r="AB1450" s="27"/>
      <c r="AC1450" s="56">
        <f t="shared" si="462"/>
        <v>4.8660578825764004E-5</v>
      </c>
      <c r="AE1450" s="20" t="e">
        <f>#REF!*1.35</f>
        <v>#REF!</v>
      </c>
      <c r="AF1450" s="20">
        <f t="shared" si="463"/>
        <v>1930068000.0000002</v>
      </c>
      <c r="AG1450">
        <f t="shared" si="464"/>
        <v>585771.52780391567</v>
      </c>
      <c r="AH1450">
        <f t="shared" si="465"/>
        <v>0</v>
      </c>
      <c r="AI1450">
        <f t="shared" si="466"/>
        <v>16695949475.283735</v>
      </c>
    </row>
    <row r="1451" spans="1:35" x14ac:dyDescent="0.25">
      <c r="B1451" s="4">
        <v>2024</v>
      </c>
      <c r="C1451" s="4" t="s">
        <v>33</v>
      </c>
      <c r="D1451" s="1" t="s">
        <v>81</v>
      </c>
      <c r="E1451" s="4" t="s">
        <v>696</v>
      </c>
      <c r="F1451" s="11" t="s">
        <v>135</v>
      </c>
      <c r="G1451" s="11"/>
      <c r="H1451" s="11" t="s">
        <v>827</v>
      </c>
      <c r="I1451" s="11"/>
      <c r="J1451" s="11" t="s">
        <v>21</v>
      </c>
      <c r="K1451" s="92">
        <v>2097.4991360198733</v>
      </c>
      <c r="L1451" s="92">
        <v>2330.5545955776365</v>
      </c>
      <c r="M1451" s="93">
        <v>18511.29843900631</v>
      </c>
      <c r="N1451" s="8">
        <v>0</v>
      </c>
      <c r="O1451" s="8">
        <f>SUMIFS(EIAwtransport!$J$2:$J$675,EIAwtransport!$E$2:$E$675,Program_data!$E1451,EIAwtransport!$H$2:$H$675,Program_data!$F1451,EIAwtransport!$I$2:$I$675,Program_data!O$2)</f>
        <v>874680000</v>
      </c>
      <c r="P1451" s="5">
        <f>SUMIFS(EIAwtransport!$J$2:$J$675,EIAwtransport!$E$2:$E$675,Program_data!$E1451,EIAwtransport!$H$2:$H$675,Program_data!$F1451,EIAwtransport!$I$2:$I$675,Program_data!P$2)</f>
        <v>82460085.7641761</v>
      </c>
      <c r="Q1451" s="5">
        <f>SUMIFS(EIAwtransport!$J$2:$J$675,EIAwtransport!$E$2:$E$675,Program_data!$E1451,EIAwtransport!$H$2:$H$675,Program_data!$F1451,EIAwtransport!$I$2:$I$675,Program_data!Q$2)</f>
        <v>976170</v>
      </c>
      <c r="R1451" s="8">
        <f>SUMIFS(EIAwtransport!$J$2:$J$675,EIAwtransport!$E$2:$E$675,Program_data!$E1451,EIAwtransport!$I$2:$I$675,Program_data!R$2)</f>
        <v>1429680000</v>
      </c>
      <c r="S1451" s="5">
        <f>SUMIFS(EIAwtransport!$J$2:$J$675,EIAwtransport!$E$2:$E$675,Program_data!$E1451,EIAwtransport!$I$2:$I$675,Program_data!S$2)</f>
        <v>158285451.98410821</v>
      </c>
      <c r="T1451" s="5">
        <f>SUMIFS(EIAwtransport!$J$2:$J$675,EIAwtransport!$E$2:$E$675,Program_data!$E1451,EIAwtransport!$I$2:$I$675,Program_data!T$2)</f>
        <v>1074614</v>
      </c>
      <c r="U1451" s="24">
        <f t="shared" si="458"/>
        <v>1.2790897964896475E-6</v>
      </c>
      <c r="V1451" s="24">
        <f t="shared" si="459"/>
        <v>1.4212108849884971E-6</v>
      </c>
      <c r="W1451" s="24">
        <f t="shared" si="460"/>
        <v>1.2947861366883715E-5</v>
      </c>
      <c r="X1451" s="25">
        <f t="shared" si="461"/>
        <v>1.1288497118543449E-5</v>
      </c>
      <c r="Y1451" s="8">
        <f t="shared" si="446"/>
        <v>1.1346941129939139E-2</v>
      </c>
      <c r="Z1451" s="27">
        <f t="shared" si="447"/>
        <v>2.2706714864983162E-3</v>
      </c>
      <c r="AA1451" s="27"/>
      <c r="AB1451" s="27"/>
      <c r="AC1451" s="56">
        <f t="shared" si="462"/>
        <v>1.6220192941921333E-4</v>
      </c>
      <c r="AE1451" s="20" t="e">
        <f>#REF!*1.35</f>
        <v>#REF!</v>
      </c>
      <c r="AF1451" s="20">
        <f t="shared" si="463"/>
        <v>1930068000.0000002</v>
      </c>
      <c r="AG1451">
        <f t="shared" si="464"/>
        <v>1952571.7593463857</v>
      </c>
      <c r="AH1451">
        <f t="shared" si="465"/>
        <v>0</v>
      </c>
      <c r="AI1451">
        <f t="shared" si="466"/>
        <v>16695949475.283735</v>
      </c>
    </row>
    <row r="1452" spans="1:35" x14ac:dyDescent="0.25">
      <c r="B1452" s="4">
        <v>2024</v>
      </c>
      <c r="C1452" s="4" t="s">
        <v>33</v>
      </c>
      <c r="D1452" s="1" t="s">
        <v>81</v>
      </c>
      <c r="E1452" s="4" t="s">
        <v>696</v>
      </c>
      <c r="F1452" s="11" t="s">
        <v>135</v>
      </c>
      <c r="G1452" s="11"/>
      <c r="H1452" s="11" t="s">
        <v>828</v>
      </c>
      <c r="I1452" s="11"/>
      <c r="J1452" s="11" t="s">
        <v>21</v>
      </c>
      <c r="K1452" s="92">
        <v>2367.4742723392628</v>
      </c>
      <c r="L1452" s="92">
        <v>2630.5269692658471</v>
      </c>
      <c r="M1452" s="93">
        <v>18511.29843900631</v>
      </c>
      <c r="N1452" s="8">
        <v>0</v>
      </c>
      <c r="O1452" s="8">
        <f>SUMIFS(EIAwtransport!$J$2:$J$675,EIAwtransport!$E$2:$E$675,Program_data!$E1452,EIAwtransport!$H$2:$H$675,Program_data!$F1452,EIAwtransport!$I$2:$I$675,Program_data!O$2)</f>
        <v>874680000</v>
      </c>
      <c r="P1452" s="5">
        <f>SUMIFS(EIAwtransport!$J$2:$J$675,EIAwtransport!$E$2:$E$675,Program_data!$E1452,EIAwtransport!$H$2:$H$675,Program_data!$F1452,EIAwtransport!$I$2:$I$675,Program_data!P$2)</f>
        <v>82460085.7641761</v>
      </c>
      <c r="Q1452" s="5">
        <f>SUMIFS(EIAwtransport!$J$2:$J$675,EIAwtransport!$E$2:$E$675,Program_data!$E1452,EIAwtransport!$H$2:$H$675,Program_data!$F1452,EIAwtransport!$I$2:$I$675,Program_data!Q$2)</f>
        <v>976170</v>
      </c>
      <c r="R1452" s="8">
        <f>SUMIFS(EIAwtransport!$J$2:$J$675,EIAwtransport!$E$2:$E$675,Program_data!$E1452,EIAwtransport!$I$2:$I$675,Program_data!R$2)</f>
        <v>1429680000</v>
      </c>
      <c r="S1452" s="5">
        <f>SUMIFS(EIAwtransport!$J$2:$J$675,EIAwtransport!$E$2:$E$675,Program_data!$E1452,EIAwtransport!$I$2:$I$675,Program_data!S$2)</f>
        <v>158285451.98410821</v>
      </c>
      <c r="T1452" s="5">
        <f>SUMIFS(EIAwtransport!$J$2:$J$675,EIAwtransport!$E$2:$E$675,Program_data!$E1452,EIAwtransport!$I$2:$I$675,Program_data!T$2)</f>
        <v>1074614</v>
      </c>
      <c r="U1452" s="24">
        <f t="shared" si="458"/>
        <v>1.443725116829899E-6</v>
      </c>
      <c r="V1452" s="24">
        <f t="shared" si="459"/>
        <v>1.6041390186998875E-6</v>
      </c>
      <c r="W1452" s="24">
        <f t="shared" si="460"/>
        <v>1.2947861366883715E-5</v>
      </c>
      <c r="X1452" s="25">
        <f t="shared" si="461"/>
        <v>1.1288497118543449E-5</v>
      </c>
      <c r="Y1452" s="8">
        <f t="shared" si="446"/>
        <v>1.1346941129939139E-2</v>
      </c>
      <c r="Z1452" s="27">
        <f t="shared" si="447"/>
        <v>2.2706714864983162E-3</v>
      </c>
      <c r="AA1452" s="27"/>
      <c r="AB1452" s="27"/>
      <c r="AC1452" s="56">
        <f t="shared" si="462"/>
        <v>1.6220192941921333E-4</v>
      </c>
      <c r="AE1452" s="20" t="e">
        <f>#REF!*1.35</f>
        <v>#REF!</v>
      </c>
      <c r="AF1452" s="20">
        <f t="shared" si="463"/>
        <v>1930068000.0000002</v>
      </c>
      <c r="AG1452">
        <f t="shared" si="464"/>
        <v>1952571.7593463857</v>
      </c>
      <c r="AH1452">
        <f t="shared" si="465"/>
        <v>0</v>
      </c>
      <c r="AI1452">
        <f t="shared" si="466"/>
        <v>16695949475.283735</v>
      </c>
    </row>
    <row r="1453" spans="1:35" x14ac:dyDescent="0.25">
      <c r="B1453" s="4">
        <v>2024</v>
      </c>
      <c r="C1453" s="4" t="s">
        <v>33</v>
      </c>
      <c r="D1453" s="1" t="s">
        <v>81</v>
      </c>
      <c r="E1453" s="4" t="s">
        <v>696</v>
      </c>
      <c r="F1453" s="11" t="s">
        <v>135</v>
      </c>
      <c r="G1453" s="11"/>
      <c r="H1453" s="11" t="s">
        <v>829</v>
      </c>
      <c r="I1453" s="11"/>
      <c r="J1453" s="11" t="s">
        <v>21</v>
      </c>
      <c r="K1453" s="92">
        <v>1287.5737270617044</v>
      </c>
      <c r="L1453" s="92">
        <v>1430.6374745130045</v>
      </c>
      <c r="M1453" s="93">
        <v>22213.558126807573</v>
      </c>
      <c r="N1453" s="8">
        <v>0</v>
      </c>
      <c r="O1453" s="8">
        <f>SUMIFS(EIAwtransport!$J$2:$J$675,EIAwtransport!$E$2:$E$675,Program_data!$E1453,EIAwtransport!$H$2:$H$675,Program_data!$F1453,EIAwtransport!$I$2:$I$675,Program_data!O$2)</f>
        <v>874680000</v>
      </c>
      <c r="P1453" s="5">
        <f>SUMIFS(EIAwtransport!$J$2:$J$675,EIAwtransport!$E$2:$E$675,Program_data!$E1453,EIAwtransport!$H$2:$H$675,Program_data!$F1453,EIAwtransport!$I$2:$I$675,Program_data!P$2)</f>
        <v>82460085.7641761</v>
      </c>
      <c r="Q1453" s="5">
        <f>SUMIFS(EIAwtransport!$J$2:$J$675,EIAwtransport!$E$2:$E$675,Program_data!$E1453,EIAwtransport!$H$2:$H$675,Program_data!$F1453,EIAwtransport!$I$2:$I$675,Program_data!Q$2)</f>
        <v>976170</v>
      </c>
      <c r="R1453" s="8">
        <f>SUMIFS(EIAwtransport!$J$2:$J$675,EIAwtransport!$E$2:$E$675,Program_data!$E1453,EIAwtransport!$I$2:$I$675,Program_data!R$2)</f>
        <v>1429680000</v>
      </c>
      <c r="S1453" s="5">
        <f>SUMIFS(EIAwtransport!$J$2:$J$675,EIAwtransport!$E$2:$E$675,Program_data!$E1453,EIAwtransport!$I$2:$I$675,Program_data!S$2)</f>
        <v>158285451.98410821</v>
      </c>
      <c r="T1453" s="5">
        <f>SUMIFS(EIAwtransport!$J$2:$J$675,EIAwtransport!$E$2:$E$675,Program_data!$E1453,EIAwtransport!$I$2:$I$675,Program_data!T$2)</f>
        <v>1074614</v>
      </c>
      <c r="U1453" s="24">
        <f t="shared" si="458"/>
        <v>7.8518383546889249E-7</v>
      </c>
      <c r="V1453" s="24">
        <f t="shared" si="459"/>
        <v>8.7242648385432488E-7</v>
      </c>
      <c r="W1453" s="24">
        <f t="shared" si="460"/>
        <v>1.553743364026046E-5</v>
      </c>
      <c r="X1453" s="25">
        <f t="shared" si="461"/>
        <v>1.3546196542252139E-5</v>
      </c>
      <c r="Y1453" s="8">
        <f t="shared" si="446"/>
        <v>1.3616329355926967E-2</v>
      </c>
      <c r="Z1453" s="27">
        <f t="shared" si="447"/>
        <v>2.7248057837979795E-3</v>
      </c>
      <c r="AA1453" s="27"/>
      <c r="AB1453" s="27"/>
      <c r="AC1453" s="56">
        <f t="shared" si="462"/>
        <v>1.9464231530305601E-4</v>
      </c>
      <c r="AE1453" s="20" t="e">
        <f>#REF!*1.35</f>
        <v>#REF!</v>
      </c>
      <c r="AF1453" s="20">
        <f t="shared" si="463"/>
        <v>1930068000.0000002</v>
      </c>
      <c r="AG1453">
        <f t="shared" si="464"/>
        <v>2343086.1112156627</v>
      </c>
      <c r="AH1453">
        <f t="shared" si="465"/>
        <v>0</v>
      </c>
      <c r="AI1453">
        <f t="shared" si="466"/>
        <v>16695949475.283735</v>
      </c>
    </row>
    <row r="1454" spans="1:35" x14ac:dyDescent="0.25">
      <c r="B1454" s="4">
        <v>2024</v>
      </c>
      <c r="C1454" s="4" t="s">
        <v>33</v>
      </c>
      <c r="D1454" s="1" t="s">
        <v>81</v>
      </c>
      <c r="E1454" s="4" t="s">
        <v>696</v>
      </c>
      <c r="F1454" s="4" t="s">
        <v>135</v>
      </c>
      <c r="G1454" s="11"/>
      <c r="H1454" s="11" t="s">
        <v>830</v>
      </c>
      <c r="I1454" s="11"/>
      <c r="J1454" s="11" t="s">
        <v>32</v>
      </c>
      <c r="K1454" s="92">
        <v>1287.5737270617044</v>
      </c>
      <c r="L1454" s="92">
        <v>1430.6374745130045</v>
      </c>
      <c r="M1454" s="93">
        <v>55533.895317018927</v>
      </c>
      <c r="N1454" s="8">
        <v>0</v>
      </c>
      <c r="O1454" s="8">
        <f>SUMIFS(EIAwtransport!$J$2:$J$675,EIAwtransport!$E$2:$E$675,Program_data!$E1454,EIAwtransport!$H$2:$H$675,Program_data!$F1454,EIAwtransport!$I$2:$I$675,Program_data!O$2)</f>
        <v>874680000</v>
      </c>
      <c r="P1454" s="5">
        <f>SUMIFS(EIAwtransport!$J$2:$J$675,EIAwtransport!$E$2:$E$675,Program_data!$E1454,EIAwtransport!$H$2:$H$675,Program_data!$F1454,EIAwtransport!$I$2:$I$675,Program_data!P$2)</f>
        <v>82460085.7641761</v>
      </c>
      <c r="Q1454" s="5">
        <f>SUMIFS(EIAwtransport!$J$2:$J$675,EIAwtransport!$E$2:$E$675,Program_data!$E1454,EIAwtransport!$H$2:$H$675,Program_data!$F1454,EIAwtransport!$I$2:$I$675,Program_data!Q$2)</f>
        <v>976170</v>
      </c>
      <c r="R1454" s="8">
        <f>SUMIFS(EIAwtransport!$J$2:$J$675,EIAwtransport!$E$2:$E$675,Program_data!$E1454,EIAwtransport!$I$2:$I$675,Program_data!R$2)</f>
        <v>1429680000</v>
      </c>
      <c r="S1454" s="5">
        <f>SUMIFS(EIAwtransport!$J$2:$J$675,EIAwtransport!$E$2:$E$675,Program_data!$E1454,EIAwtransport!$I$2:$I$675,Program_data!S$2)</f>
        <v>158285451.98410821</v>
      </c>
      <c r="T1454" s="5">
        <f>SUMIFS(EIAwtransport!$J$2:$J$675,EIAwtransport!$E$2:$E$675,Program_data!$E1454,EIAwtransport!$I$2:$I$675,Program_data!T$2)</f>
        <v>1074614</v>
      </c>
      <c r="U1454" s="24">
        <f t="shared" si="458"/>
        <v>7.8518383546889249E-7</v>
      </c>
      <c r="V1454" s="24">
        <f t="shared" si="459"/>
        <v>8.7242648385432488E-7</v>
      </c>
      <c r="W1454" s="24">
        <f t="shared" si="460"/>
        <v>3.8843584100651141E-5</v>
      </c>
      <c r="X1454" s="25">
        <f t="shared" si="461"/>
        <v>3.3865491355630339E-5</v>
      </c>
      <c r="Y1454" s="8">
        <f t="shared" si="446"/>
        <v>3.4040823389817412E-2</v>
      </c>
      <c r="Z1454" s="27">
        <f t="shared" si="447"/>
        <v>6.8120144594949481E-3</v>
      </c>
      <c r="AA1454" s="27"/>
      <c r="AB1454" s="27"/>
      <c r="AC1454" s="56">
        <f t="shared" si="462"/>
        <v>4.8660578825763997E-4</v>
      </c>
      <c r="AE1454" s="20" t="e">
        <f>#REF!*1.35</f>
        <v>#REF!</v>
      </c>
      <c r="AF1454" s="20">
        <f t="shared" si="463"/>
        <v>1930068000.0000002</v>
      </c>
      <c r="AG1454">
        <f t="shared" si="464"/>
        <v>5857715.2780391565</v>
      </c>
      <c r="AH1454">
        <f t="shared" si="465"/>
        <v>0</v>
      </c>
      <c r="AI1454">
        <f t="shared" si="466"/>
        <v>16695949475.283735</v>
      </c>
    </row>
    <row r="1455" spans="1:35" x14ac:dyDescent="0.25">
      <c r="B1455" s="4">
        <v>2024</v>
      </c>
      <c r="C1455" s="4" t="s">
        <v>33</v>
      </c>
      <c r="D1455" s="1" t="s">
        <v>81</v>
      </c>
      <c r="E1455" s="4" t="s">
        <v>696</v>
      </c>
      <c r="F1455" s="4" t="s">
        <v>135</v>
      </c>
      <c r="G1455" s="11"/>
      <c r="H1455" s="11" t="s">
        <v>831</v>
      </c>
      <c r="I1455" s="11"/>
      <c r="J1455" s="11" t="s">
        <v>32</v>
      </c>
      <c r="K1455" s="92">
        <v>1972.8952269493859</v>
      </c>
      <c r="L1455" s="92">
        <v>2192.1058077215393</v>
      </c>
      <c r="M1455" s="93">
        <v>55533.895317018927</v>
      </c>
      <c r="N1455" s="8">
        <v>0</v>
      </c>
      <c r="O1455" s="8">
        <f>SUMIFS(EIAwtransport!$J$2:$J$675,EIAwtransport!$E$2:$E$675,Program_data!$E1455,EIAwtransport!$H$2:$H$675,Program_data!$F1455,EIAwtransport!$I$2:$I$675,Program_data!O$2)</f>
        <v>874680000</v>
      </c>
      <c r="P1455" s="5">
        <f>SUMIFS(EIAwtransport!$J$2:$J$675,EIAwtransport!$E$2:$E$675,Program_data!$E1455,EIAwtransport!$H$2:$H$675,Program_data!$F1455,EIAwtransport!$I$2:$I$675,Program_data!P$2)</f>
        <v>82460085.7641761</v>
      </c>
      <c r="Q1455" s="5">
        <f>SUMIFS(EIAwtransport!$J$2:$J$675,EIAwtransport!$E$2:$E$675,Program_data!$E1455,EIAwtransport!$H$2:$H$675,Program_data!$F1455,EIAwtransport!$I$2:$I$675,Program_data!Q$2)</f>
        <v>976170</v>
      </c>
      <c r="R1455" s="8">
        <f>SUMIFS(EIAwtransport!$J$2:$J$675,EIAwtransport!$E$2:$E$675,Program_data!$E1455,EIAwtransport!$I$2:$I$675,Program_data!R$2)</f>
        <v>1429680000</v>
      </c>
      <c r="S1455" s="5">
        <f>SUMIFS(EIAwtransport!$J$2:$J$675,EIAwtransport!$E$2:$E$675,Program_data!$E1455,EIAwtransport!$I$2:$I$675,Program_data!S$2)</f>
        <v>158285451.98410821</v>
      </c>
      <c r="T1455" s="5">
        <f>SUMIFS(EIAwtransport!$J$2:$J$675,EIAwtransport!$E$2:$E$675,Program_data!$E1455,EIAwtransport!$I$2:$I$675,Program_data!T$2)</f>
        <v>1074614</v>
      </c>
      <c r="U1455" s="24">
        <f t="shared" si="458"/>
        <v>1.2031042640249161E-6</v>
      </c>
      <c r="V1455" s="24">
        <f t="shared" si="459"/>
        <v>1.3367825155832398E-6</v>
      </c>
      <c r="W1455" s="24">
        <f t="shared" si="460"/>
        <v>3.8843584100651141E-5</v>
      </c>
      <c r="X1455" s="25">
        <f t="shared" si="461"/>
        <v>3.3865491355630339E-5</v>
      </c>
      <c r="Y1455" s="8">
        <f t="shared" si="446"/>
        <v>3.4040823389817412E-2</v>
      </c>
      <c r="Z1455" s="27">
        <f t="shared" si="447"/>
        <v>6.8120144594949481E-3</v>
      </c>
      <c r="AA1455" s="27"/>
      <c r="AB1455" s="27"/>
      <c r="AC1455" s="56">
        <f t="shared" si="462"/>
        <v>4.8660578825763997E-4</v>
      </c>
      <c r="AE1455" s="20" t="e">
        <f>#REF!*1.35</f>
        <v>#REF!</v>
      </c>
      <c r="AF1455" s="20">
        <f t="shared" si="463"/>
        <v>1930068000.0000002</v>
      </c>
      <c r="AG1455">
        <f t="shared" si="464"/>
        <v>5857715.2780391565</v>
      </c>
      <c r="AH1455">
        <f t="shared" si="465"/>
        <v>0</v>
      </c>
      <c r="AI1455">
        <f t="shared" si="466"/>
        <v>16695949475.283735</v>
      </c>
    </row>
    <row r="1456" spans="1:35" x14ac:dyDescent="0.25">
      <c r="B1456" s="4">
        <v>2024</v>
      </c>
      <c r="C1456" s="4" t="s">
        <v>33</v>
      </c>
      <c r="D1456" s="1" t="s">
        <v>81</v>
      </c>
      <c r="E1456" s="4" t="s">
        <v>696</v>
      </c>
      <c r="F1456" s="11" t="s">
        <v>135</v>
      </c>
      <c r="G1456" s="11"/>
      <c r="H1456" s="11" t="s">
        <v>832</v>
      </c>
      <c r="I1456" s="11"/>
      <c r="J1456" s="11" t="s">
        <v>32</v>
      </c>
      <c r="K1456" s="92">
        <v>2305.1723178040188</v>
      </c>
      <c r="L1456" s="92">
        <v>2561.3025753377983</v>
      </c>
      <c r="M1456" s="93">
        <v>74045.193756025241</v>
      </c>
      <c r="N1456" s="8">
        <v>0</v>
      </c>
      <c r="O1456" s="8">
        <f>SUMIFS(EIAwtransport!$J$2:$J$675,EIAwtransport!$E$2:$E$675,Program_data!$E1456,EIAwtransport!$H$2:$H$675,Program_data!$F1456,EIAwtransport!$I$2:$I$675,Program_data!O$2)</f>
        <v>874680000</v>
      </c>
      <c r="P1456" s="5">
        <f>SUMIFS(EIAwtransport!$J$2:$J$675,EIAwtransport!$E$2:$E$675,Program_data!$E1456,EIAwtransport!$H$2:$H$675,Program_data!$F1456,EIAwtransport!$I$2:$I$675,Program_data!P$2)</f>
        <v>82460085.7641761</v>
      </c>
      <c r="Q1456" s="5">
        <f>SUMIFS(EIAwtransport!$J$2:$J$675,EIAwtransport!$E$2:$E$675,Program_data!$E1456,EIAwtransport!$H$2:$H$675,Program_data!$F1456,EIAwtransport!$I$2:$I$675,Program_data!Q$2)</f>
        <v>976170</v>
      </c>
      <c r="R1456" s="8">
        <f>SUMIFS(EIAwtransport!$J$2:$J$675,EIAwtransport!$E$2:$E$675,Program_data!$E1456,EIAwtransport!$I$2:$I$675,Program_data!R$2)</f>
        <v>1429680000</v>
      </c>
      <c r="S1456" s="5">
        <f>SUMIFS(EIAwtransport!$J$2:$J$675,EIAwtransport!$E$2:$E$675,Program_data!$E1456,EIAwtransport!$I$2:$I$675,Program_data!S$2)</f>
        <v>158285451.98410821</v>
      </c>
      <c r="T1456" s="5">
        <f>SUMIFS(EIAwtransport!$J$2:$J$675,EIAwtransport!$E$2:$E$675,Program_data!$E1456,EIAwtransport!$I$2:$I$675,Program_data!T$2)</f>
        <v>1074614</v>
      </c>
      <c r="U1456" s="24">
        <f t="shared" si="458"/>
        <v>1.4057323505975332E-6</v>
      </c>
      <c r="V1456" s="24">
        <f t="shared" si="459"/>
        <v>1.5619248339972589E-6</v>
      </c>
      <c r="W1456" s="24">
        <f t="shared" si="460"/>
        <v>5.1791445467534862E-5</v>
      </c>
      <c r="X1456" s="25">
        <f t="shared" si="461"/>
        <v>4.5153988474173796E-5</v>
      </c>
      <c r="Y1456" s="8">
        <f t="shared" si="446"/>
        <v>4.5387764519756554E-2</v>
      </c>
      <c r="Z1456" s="27">
        <f t="shared" si="447"/>
        <v>9.0826859459932647E-3</v>
      </c>
      <c r="AA1456" s="27"/>
      <c r="AB1456" s="27"/>
      <c r="AC1456" s="56">
        <f t="shared" si="462"/>
        <v>6.4880771767685333E-4</v>
      </c>
      <c r="AE1456" s="20" t="e">
        <f>#REF!*1.35</f>
        <v>#REF!</v>
      </c>
      <c r="AF1456" s="20">
        <f t="shared" si="463"/>
        <v>1930068000.0000002</v>
      </c>
      <c r="AG1456">
        <f t="shared" si="464"/>
        <v>7810287.0373855429</v>
      </c>
      <c r="AH1456">
        <f t="shared" si="465"/>
        <v>0</v>
      </c>
      <c r="AI1456">
        <f t="shared" si="466"/>
        <v>16695949475.283735</v>
      </c>
    </row>
    <row r="1457" spans="2:35" x14ac:dyDescent="0.25">
      <c r="B1457" s="4">
        <v>2024</v>
      </c>
      <c r="C1457" s="4" t="s">
        <v>33</v>
      </c>
      <c r="D1457" s="1" t="s">
        <v>81</v>
      </c>
      <c r="E1457" s="4" t="s">
        <v>696</v>
      </c>
      <c r="F1457" s="11" t="s">
        <v>135</v>
      </c>
      <c r="G1457" s="11"/>
      <c r="H1457" s="11" t="s">
        <v>833</v>
      </c>
      <c r="I1457" s="11"/>
      <c r="J1457" s="11" t="s">
        <v>32</v>
      </c>
      <c r="K1457" s="92">
        <v>2678.9840450154816</v>
      </c>
      <c r="L1457" s="92">
        <v>2976.6489389060898</v>
      </c>
      <c r="M1457" s="93">
        <v>74045.193756025241</v>
      </c>
      <c r="N1457" s="8">
        <v>0</v>
      </c>
      <c r="O1457" s="8">
        <f>SUMIFS(EIAwtransport!$J$2:$J$675,EIAwtransport!$E$2:$E$675,Program_data!$E1457,EIAwtransport!$H$2:$H$675,Program_data!$F1457,EIAwtransport!$I$2:$I$675,Program_data!O$2)</f>
        <v>874680000</v>
      </c>
      <c r="P1457" s="5">
        <f>SUMIFS(EIAwtransport!$J$2:$J$675,EIAwtransport!$E$2:$E$675,Program_data!$E1457,EIAwtransport!$H$2:$H$675,Program_data!$F1457,EIAwtransport!$I$2:$I$675,Program_data!P$2)</f>
        <v>82460085.7641761</v>
      </c>
      <c r="Q1457" s="5">
        <f>SUMIFS(EIAwtransport!$J$2:$J$675,EIAwtransport!$E$2:$E$675,Program_data!$E1457,EIAwtransport!$H$2:$H$675,Program_data!$F1457,EIAwtransport!$I$2:$I$675,Program_data!Q$2)</f>
        <v>976170</v>
      </c>
      <c r="R1457" s="8">
        <f>SUMIFS(EIAwtransport!$J$2:$J$675,EIAwtransport!$E$2:$E$675,Program_data!$E1457,EIAwtransport!$I$2:$I$675,Program_data!R$2)</f>
        <v>1429680000</v>
      </c>
      <c r="S1457" s="5">
        <f>SUMIFS(EIAwtransport!$J$2:$J$675,EIAwtransport!$E$2:$E$675,Program_data!$E1457,EIAwtransport!$I$2:$I$675,Program_data!S$2)</f>
        <v>158285451.98410821</v>
      </c>
      <c r="T1457" s="5">
        <f>SUMIFS(EIAwtransport!$J$2:$J$675,EIAwtransport!$E$2:$E$675,Program_data!$E1457,EIAwtransport!$I$2:$I$675,Program_data!T$2)</f>
        <v>1074614</v>
      </c>
      <c r="U1457" s="24">
        <f t="shared" si="458"/>
        <v>1.6336889479917281E-6</v>
      </c>
      <c r="V1457" s="24">
        <f t="shared" si="459"/>
        <v>1.8152099422130305E-6</v>
      </c>
      <c r="W1457" s="24">
        <f t="shared" si="460"/>
        <v>5.1791445467534862E-5</v>
      </c>
      <c r="X1457" s="25">
        <f t="shared" si="461"/>
        <v>4.5153988474173796E-5</v>
      </c>
      <c r="Y1457" s="8">
        <f t="shared" si="446"/>
        <v>4.5387764519756554E-2</v>
      </c>
      <c r="Z1457" s="27">
        <f t="shared" si="447"/>
        <v>9.0826859459932647E-3</v>
      </c>
      <c r="AA1457" s="27"/>
      <c r="AB1457" s="27"/>
      <c r="AC1457" s="56">
        <f t="shared" si="462"/>
        <v>6.4880771767685333E-4</v>
      </c>
      <c r="AE1457" s="20" t="e">
        <f>#REF!*1.35</f>
        <v>#REF!</v>
      </c>
      <c r="AF1457" s="20">
        <f t="shared" si="463"/>
        <v>1930068000.0000002</v>
      </c>
      <c r="AG1457">
        <f t="shared" si="464"/>
        <v>7810287.0373855429</v>
      </c>
      <c r="AH1457">
        <f t="shared" si="465"/>
        <v>0</v>
      </c>
      <c r="AI1457">
        <f t="shared" si="466"/>
        <v>16695949475.283735</v>
      </c>
    </row>
    <row r="1458" spans="2:35" x14ac:dyDescent="0.25">
      <c r="B1458" s="4">
        <v>2024</v>
      </c>
      <c r="C1458" s="4" t="s">
        <v>33</v>
      </c>
      <c r="D1458" s="1" t="s">
        <v>81</v>
      </c>
      <c r="E1458" s="4" t="s">
        <v>696</v>
      </c>
      <c r="F1458" s="11" t="s">
        <v>135</v>
      </c>
      <c r="G1458" s="11"/>
      <c r="H1458" s="11" t="s">
        <v>834</v>
      </c>
      <c r="I1458" s="11"/>
      <c r="J1458" s="11" t="s">
        <v>32</v>
      </c>
      <c r="K1458" s="92">
        <v>4361.1368174670633</v>
      </c>
      <c r="L1458" s="92">
        <v>4845.7075749634023</v>
      </c>
      <c r="M1458" s="93">
        <v>111067.79063403785</v>
      </c>
      <c r="N1458" s="8">
        <v>0</v>
      </c>
      <c r="O1458" s="8">
        <f>SUMIFS(EIAwtransport!$J$2:$J$675,EIAwtransport!$E$2:$E$675,Program_data!$E1458,EIAwtransport!$H$2:$H$675,Program_data!$F1458,EIAwtransport!$I$2:$I$675,Program_data!O$2)</f>
        <v>874680000</v>
      </c>
      <c r="P1458" s="5">
        <f>SUMIFS(EIAwtransport!$J$2:$J$675,EIAwtransport!$E$2:$E$675,Program_data!$E1458,EIAwtransport!$H$2:$H$675,Program_data!$F1458,EIAwtransport!$I$2:$I$675,Program_data!P$2)</f>
        <v>82460085.7641761</v>
      </c>
      <c r="Q1458" s="5">
        <f>SUMIFS(EIAwtransport!$J$2:$J$675,EIAwtransport!$E$2:$E$675,Program_data!$E1458,EIAwtransport!$H$2:$H$675,Program_data!$F1458,EIAwtransport!$I$2:$I$675,Program_data!Q$2)</f>
        <v>976170</v>
      </c>
      <c r="R1458" s="8">
        <f>SUMIFS(EIAwtransport!$J$2:$J$675,EIAwtransport!$E$2:$E$675,Program_data!$E1458,EIAwtransport!$I$2:$I$675,Program_data!R$2)</f>
        <v>1429680000</v>
      </c>
      <c r="S1458" s="5">
        <f>SUMIFS(EIAwtransport!$J$2:$J$675,EIAwtransport!$E$2:$E$675,Program_data!$E1458,EIAwtransport!$I$2:$I$675,Program_data!S$2)</f>
        <v>158285451.98410821</v>
      </c>
      <c r="T1458" s="5">
        <f>SUMIFS(EIAwtransport!$J$2:$J$675,EIAwtransport!$E$2:$E$675,Program_data!$E1458,EIAwtransport!$I$2:$I$675,Program_data!T$2)</f>
        <v>1074614</v>
      </c>
      <c r="U1458" s="24">
        <f t="shared" si="458"/>
        <v>2.659493636265604E-6</v>
      </c>
      <c r="V1458" s="24">
        <f t="shared" si="459"/>
        <v>2.9549929291840032E-6</v>
      </c>
      <c r="W1458" s="24">
        <f t="shared" si="460"/>
        <v>7.7687168201302282E-5</v>
      </c>
      <c r="X1458" s="25">
        <f t="shared" si="461"/>
        <v>6.7730982711260677E-5</v>
      </c>
      <c r="Y1458" s="8">
        <f t="shared" si="446"/>
        <v>6.8081646779634825E-2</v>
      </c>
      <c r="Z1458" s="27">
        <f t="shared" si="447"/>
        <v>1.3624028918989896E-2</v>
      </c>
      <c r="AA1458" s="27"/>
      <c r="AB1458" s="27"/>
      <c r="AC1458" s="56">
        <f t="shared" si="462"/>
        <v>9.7321157651527994E-4</v>
      </c>
      <c r="AE1458" s="20" t="e">
        <f>#REF!*1.35</f>
        <v>#REF!</v>
      </c>
      <c r="AF1458" s="20">
        <f t="shared" si="463"/>
        <v>1930068000.0000002</v>
      </c>
      <c r="AG1458">
        <f t="shared" si="464"/>
        <v>11715430.556078313</v>
      </c>
      <c r="AH1458">
        <f t="shared" si="465"/>
        <v>0</v>
      </c>
      <c r="AI1458">
        <f t="shared" si="466"/>
        <v>16695949475.283735</v>
      </c>
    </row>
    <row r="1459" spans="2:35" x14ac:dyDescent="0.25">
      <c r="B1459" s="4">
        <v>2024</v>
      </c>
      <c r="C1459" s="4" t="s">
        <v>33</v>
      </c>
      <c r="D1459" s="1" t="s">
        <v>81</v>
      </c>
      <c r="E1459" s="4" t="s">
        <v>696</v>
      </c>
      <c r="F1459" s="11" t="s">
        <v>135</v>
      </c>
      <c r="G1459" s="11"/>
      <c r="H1459" s="11" t="s">
        <v>835</v>
      </c>
      <c r="I1459" s="11"/>
      <c r="J1459" s="11" t="s">
        <v>32</v>
      </c>
      <c r="K1459" s="92">
        <v>3447.3748176168219</v>
      </c>
      <c r="L1459" s="92">
        <v>3830.4164640186905</v>
      </c>
      <c r="M1459" s="93">
        <v>111067.79063403785</v>
      </c>
      <c r="N1459" s="8">
        <v>0</v>
      </c>
      <c r="O1459" s="8">
        <f>SUMIFS(EIAwtransport!$J$2:$J$675,EIAwtransport!$E$2:$E$675,Program_data!$E1459,EIAwtransport!$H$2:$H$675,Program_data!$F1459,EIAwtransport!$I$2:$I$675,Program_data!O$2)</f>
        <v>874680000</v>
      </c>
      <c r="P1459" s="5">
        <f>SUMIFS(EIAwtransport!$J$2:$J$675,EIAwtransport!$E$2:$E$675,Program_data!$E1459,EIAwtransport!$H$2:$H$675,Program_data!$F1459,EIAwtransport!$I$2:$I$675,Program_data!P$2)</f>
        <v>82460085.7641761</v>
      </c>
      <c r="Q1459" s="5">
        <f>SUMIFS(EIAwtransport!$J$2:$J$675,EIAwtransport!$E$2:$E$675,Program_data!$E1459,EIAwtransport!$H$2:$H$675,Program_data!$F1459,EIAwtransport!$I$2:$I$675,Program_data!Q$2)</f>
        <v>976170</v>
      </c>
      <c r="R1459" s="8">
        <f>SUMIFS(EIAwtransport!$J$2:$J$675,EIAwtransport!$E$2:$E$675,Program_data!$E1459,EIAwtransport!$I$2:$I$675,Program_data!R$2)</f>
        <v>1429680000</v>
      </c>
      <c r="S1459" s="5">
        <f>SUMIFS(EIAwtransport!$J$2:$J$675,EIAwtransport!$E$2:$E$675,Program_data!$E1459,EIAwtransport!$I$2:$I$675,Program_data!S$2)</f>
        <v>158285451.98410821</v>
      </c>
      <c r="T1459" s="5">
        <f>SUMIFS(EIAwtransport!$J$2:$J$675,EIAwtransport!$E$2:$E$675,Program_data!$E1459,EIAwtransport!$I$2:$I$675,Program_data!T$2)</f>
        <v>1074614</v>
      </c>
      <c r="U1459" s="24">
        <f t="shared" si="458"/>
        <v>2.1022663981909065E-6</v>
      </c>
      <c r="V1459" s="24">
        <f t="shared" si="459"/>
        <v>2.335851553545451E-6</v>
      </c>
      <c r="W1459" s="24">
        <f t="shared" si="460"/>
        <v>7.7687168201302282E-5</v>
      </c>
      <c r="X1459" s="25">
        <f t="shared" si="461"/>
        <v>6.7730982711260677E-5</v>
      </c>
      <c r="Y1459" s="8">
        <f t="shared" si="446"/>
        <v>6.8081646779634825E-2</v>
      </c>
      <c r="Z1459" s="27">
        <f t="shared" si="447"/>
        <v>1.3624028918989896E-2</v>
      </c>
      <c r="AA1459" s="27"/>
      <c r="AB1459" s="27"/>
      <c r="AC1459" s="56">
        <f t="shared" si="462"/>
        <v>9.7321157651527994E-4</v>
      </c>
      <c r="AE1459" s="20" t="e">
        <f>#REF!*1.35</f>
        <v>#REF!</v>
      </c>
      <c r="AF1459" s="20">
        <f t="shared" si="463"/>
        <v>1930068000.0000002</v>
      </c>
      <c r="AG1459">
        <f t="shared" si="464"/>
        <v>11715430.556078313</v>
      </c>
      <c r="AH1459">
        <f t="shared" si="465"/>
        <v>0</v>
      </c>
      <c r="AI1459">
        <f t="shared" si="466"/>
        <v>16695949475.283735</v>
      </c>
    </row>
    <row r="1460" spans="2:35" x14ac:dyDescent="0.25">
      <c r="B1460" s="4">
        <v>2024</v>
      </c>
      <c r="C1460" s="4" t="s">
        <v>33</v>
      </c>
      <c r="D1460" s="1" t="s">
        <v>81</v>
      </c>
      <c r="E1460" s="4" t="s">
        <v>696</v>
      </c>
      <c r="F1460" s="11" t="s">
        <v>135</v>
      </c>
      <c r="G1460" s="11"/>
      <c r="H1460" s="11" t="s">
        <v>836</v>
      </c>
      <c r="I1460" s="11"/>
      <c r="J1460" s="11" t="s">
        <v>32</v>
      </c>
      <c r="K1460" s="92">
        <v>8805.3429076477842</v>
      </c>
      <c r="L1460" s="92">
        <v>9783.7143418308697</v>
      </c>
      <c r="M1460" s="93">
        <v>185112.98439006309</v>
      </c>
      <c r="N1460" s="8">
        <v>0</v>
      </c>
      <c r="O1460" s="8">
        <f>SUMIFS(EIAwtransport!$J$2:$J$675,EIAwtransport!$E$2:$E$675,Program_data!$E1460,EIAwtransport!$H$2:$H$675,Program_data!$F1460,EIAwtransport!$I$2:$I$675,Program_data!O$2)</f>
        <v>874680000</v>
      </c>
      <c r="P1460" s="5">
        <f>SUMIFS(EIAwtransport!$J$2:$J$675,EIAwtransport!$E$2:$E$675,Program_data!$E1460,EIAwtransport!$H$2:$H$675,Program_data!$F1460,EIAwtransport!$I$2:$I$675,Program_data!P$2)</f>
        <v>82460085.7641761</v>
      </c>
      <c r="Q1460" s="5">
        <f>SUMIFS(EIAwtransport!$J$2:$J$675,EIAwtransport!$E$2:$E$675,Program_data!$E1460,EIAwtransport!$H$2:$H$675,Program_data!$F1460,EIAwtransport!$I$2:$I$675,Program_data!Q$2)</f>
        <v>976170</v>
      </c>
      <c r="R1460" s="8">
        <f>SUMIFS(EIAwtransport!$J$2:$J$675,EIAwtransport!$E$2:$E$675,Program_data!$E1460,EIAwtransport!$I$2:$I$675,Program_data!R$2)</f>
        <v>1429680000</v>
      </c>
      <c r="S1460" s="5">
        <f>SUMIFS(EIAwtransport!$J$2:$J$675,EIAwtransport!$E$2:$E$675,Program_data!$E1460,EIAwtransport!$I$2:$I$675,Program_data!S$2)</f>
        <v>158285451.98410821</v>
      </c>
      <c r="T1460" s="5">
        <f>SUMIFS(EIAwtransport!$J$2:$J$675,EIAwtransport!$E$2:$E$675,Program_data!$E1460,EIAwtransport!$I$2:$I$675,Program_data!T$2)</f>
        <v>1074614</v>
      </c>
      <c r="U1460" s="24">
        <f t="shared" si="458"/>
        <v>5.3696442941743619E-6</v>
      </c>
      <c r="V1460" s="24">
        <f t="shared" si="459"/>
        <v>5.9662714379715116E-6</v>
      </c>
      <c r="W1460" s="24">
        <f t="shared" si="460"/>
        <v>1.2947861366883714E-4</v>
      </c>
      <c r="X1460" s="25">
        <f t="shared" si="461"/>
        <v>1.1288497118543448E-4</v>
      </c>
      <c r="Y1460" s="8">
        <f t="shared" si="446"/>
        <v>0.11346941129939139</v>
      </c>
      <c r="Z1460" s="27">
        <f t="shared" si="447"/>
        <v>2.2706714864983161E-2</v>
      </c>
      <c r="AA1460" s="27"/>
      <c r="AB1460" s="27"/>
      <c r="AC1460" s="56">
        <f t="shared" si="462"/>
        <v>1.6220192941921333E-3</v>
      </c>
      <c r="AE1460" s="20" t="e">
        <f>#REF!*1.35</f>
        <v>#REF!</v>
      </c>
      <c r="AF1460" s="20">
        <f t="shared" si="463"/>
        <v>1930068000.0000002</v>
      </c>
      <c r="AG1460">
        <f t="shared" si="464"/>
        <v>19525717.593463857</v>
      </c>
      <c r="AH1460">
        <f t="shared" si="465"/>
        <v>0</v>
      </c>
      <c r="AI1460">
        <f t="shared" si="466"/>
        <v>16695949475.283735</v>
      </c>
    </row>
    <row r="1461" spans="2:35" x14ac:dyDescent="0.25">
      <c r="B1461" s="4">
        <v>2024</v>
      </c>
      <c r="C1461" s="4" t="s">
        <v>33</v>
      </c>
      <c r="D1461" s="1" t="s">
        <v>81</v>
      </c>
      <c r="E1461" s="4" t="s">
        <v>696</v>
      </c>
      <c r="F1461" s="11" t="s">
        <v>135</v>
      </c>
      <c r="G1461" s="11"/>
      <c r="H1461" s="11" t="s">
        <v>837</v>
      </c>
      <c r="I1461" s="11"/>
      <c r="J1461" s="11" t="s">
        <v>32</v>
      </c>
      <c r="K1461" s="92">
        <v>6604.007180735839</v>
      </c>
      <c r="L1461" s="92">
        <v>7337.7857563731523</v>
      </c>
      <c r="M1461" s="93">
        <v>185112.98439006309</v>
      </c>
      <c r="N1461" s="8">
        <v>0</v>
      </c>
      <c r="O1461" s="8">
        <f>SUMIFS(EIAwtransport!$J$2:$J$675,EIAwtransport!$E$2:$E$675,Program_data!$E1461,EIAwtransport!$H$2:$H$675,Program_data!$F1461,EIAwtransport!$I$2:$I$675,Program_data!O$2)</f>
        <v>874680000</v>
      </c>
      <c r="P1461" s="5">
        <f>SUMIFS(EIAwtransport!$J$2:$J$675,EIAwtransport!$E$2:$E$675,Program_data!$E1461,EIAwtransport!$H$2:$H$675,Program_data!$F1461,EIAwtransport!$I$2:$I$675,Program_data!P$2)</f>
        <v>82460085.7641761</v>
      </c>
      <c r="Q1461" s="5">
        <f>SUMIFS(EIAwtransport!$J$2:$J$675,EIAwtransport!$E$2:$E$675,Program_data!$E1461,EIAwtransport!$H$2:$H$675,Program_data!$F1461,EIAwtransport!$I$2:$I$675,Program_data!Q$2)</f>
        <v>976170</v>
      </c>
      <c r="R1461" s="8">
        <f>SUMIFS(EIAwtransport!$J$2:$J$675,EIAwtransport!$E$2:$E$675,Program_data!$E1461,EIAwtransport!$I$2:$I$675,Program_data!R$2)</f>
        <v>1429680000</v>
      </c>
      <c r="S1461" s="5">
        <f>SUMIFS(EIAwtransport!$J$2:$J$675,EIAwtransport!$E$2:$E$675,Program_data!$E1461,EIAwtransport!$I$2:$I$675,Program_data!S$2)</f>
        <v>158285451.98410821</v>
      </c>
      <c r="T1461" s="5">
        <f>SUMIFS(EIAwtransport!$J$2:$J$675,EIAwtransport!$E$2:$E$675,Program_data!$E1461,EIAwtransport!$I$2:$I$675,Program_data!T$2)</f>
        <v>1074614</v>
      </c>
      <c r="U1461" s="24">
        <f t="shared" si="458"/>
        <v>4.0272332206307719E-6</v>
      </c>
      <c r="V1461" s="24">
        <f t="shared" si="459"/>
        <v>4.4747035784786335E-6</v>
      </c>
      <c r="W1461" s="24">
        <f t="shared" si="460"/>
        <v>1.2947861366883714E-4</v>
      </c>
      <c r="X1461" s="25">
        <f t="shared" si="461"/>
        <v>1.1288497118543448E-4</v>
      </c>
      <c r="Y1461" s="8">
        <f t="shared" si="446"/>
        <v>0.11346941129939139</v>
      </c>
      <c r="Z1461" s="27">
        <f t="shared" si="447"/>
        <v>2.2706714864983161E-2</v>
      </c>
      <c r="AA1461" s="27"/>
      <c r="AB1461" s="27"/>
      <c r="AC1461" s="56">
        <f t="shared" si="462"/>
        <v>1.6220192941921333E-3</v>
      </c>
      <c r="AE1461" s="20" t="e">
        <f>#REF!*1.35</f>
        <v>#REF!</v>
      </c>
      <c r="AF1461" s="20">
        <f t="shared" si="463"/>
        <v>1930068000.0000002</v>
      </c>
      <c r="AG1461">
        <f t="shared" si="464"/>
        <v>19525717.593463857</v>
      </c>
      <c r="AH1461">
        <f t="shared" si="465"/>
        <v>0</v>
      </c>
      <c r="AI1461">
        <f t="shared" si="466"/>
        <v>16695949475.283735</v>
      </c>
    </row>
    <row r="1462" spans="2:35" x14ac:dyDescent="0.25">
      <c r="B1462">
        <v>2024</v>
      </c>
      <c r="C1462" t="s">
        <v>33</v>
      </c>
      <c r="D1462" t="s">
        <v>81</v>
      </c>
      <c r="E1462" t="s">
        <v>696</v>
      </c>
      <c r="F1462" t="s">
        <v>135</v>
      </c>
      <c r="H1462" t="s">
        <v>838</v>
      </c>
      <c r="J1462" t="s">
        <v>32</v>
      </c>
      <c r="K1462">
        <v>2097.4991360198733</v>
      </c>
      <c r="L1462">
        <v>2330.5545955776365</v>
      </c>
      <c r="M1462">
        <v>18511.29843900631</v>
      </c>
      <c r="N1462" s="8">
        <v>0</v>
      </c>
      <c r="O1462" s="8">
        <f>SUMIFS(EIAwtransport!$J$2:$J$675,EIAwtransport!$E$2:$E$675,Program_data!$E1462,EIAwtransport!$H$2:$H$675,Program_data!$F1462,EIAwtransport!$I$2:$I$675,Program_data!O$2)</f>
        <v>874680000</v>
      </c>
      <c r="P1462" s="5">
        <f>SUMIFS(EIAwtransport!$J$2:$J$675,EIAwtransport!$E$2:$E$675,Program_data!$E1462,EIAwtransport!$H$2:$H$675,Program_data!$F1462,EIAwtransport!$I$2:$I$675,Program_data!P$2)</f>
        <v>82460085.7641761</v>
      </c>
      <c r="Q1462" s="5">
        <f>SUMIFS(EIAwtransport!$J$2:$J$675,EIAwtransport!$E$2:$E$675,Program_data!$E1462,EIAwtransport!$H$2:$H$675,Program_data!$F1462,EIAwtransport!$I$2:$I$675,Program_data!Q$2)</f>
        <v>976170</v>
      </c>
      <c r="R1462" s="8">
        <f>SUMIFS(EIAwtransport!$J$2:$J$675,EIAwtransport!$E$2:$E$675,Program_data!$E1462,EIAwtransport!$I$2:$I$675,Program_data!R$2)</f>
        <v>1429680000</v>
      </c>
      <c r="S1462" s="5">
        <f>SUMIFS(EIAwtransport!$J$2:$J$675,EIAwtransport!$E$2:$E$675,Program_data!$E1462,EIAwtransport!$I$2:$I$675,Program_data!S$2)</f>
        <v>158285451.98410821</v>
      </c>
      <c r="T1462" s="5">
        <f>SUMIFS(EIAwtransport!$J$2:$J$675,EIAwtransport!$E$2:$E$675,Program_data!$E1462,EIAwtransport!$I$2:$I$675,Program_data!T$2)</f>
        <v>1074614</v>
      </c>
      <c r="U1462" s="24">
        <f t="shared" si="458"/>
        <v>1.2790897964896475E-6</v>
      </c>
      <c r="V1462" s="24">
        <f t="shared" si="459"/>
        <v>1.4212108849884971E-6</v>
      </c>
      <c r="W1462" s="24">
        <f t="shared" si="460"/>
        <v>1.2947861366883715E-5</v>
      </c>
      <c r="X1462" s="25">
        <f t="shared" si="461"/>
        <v>1.1288497118543449E-5</v>
      </c>
      <c r="Y1462" s="8">
        <f t="shared" si="446"/>
        <v>1.1346941129939139E-2</v>
      </c>
      <c r="Z1462" s="27">
        <f t="shared" si="447"/>
        <v>2.2706714864983162E-3</v>
      </c>
      <c r="AA1462" s="27"/>
      <c r="AB1462" s="27"/>
      <c r="AC1462" s="56">
        <f t="shared" si="462"/>
        <v>1.6220192941921333E-4</v>
      </c>
      <c r="AE1462" s="20" t="e">
        <f>#REF!*1.35</f>
        <v>#REF!</v>
      </c>
      <c r="AF1462" s="20">
        <f t="shared" si="463"/>
        <v>1930068000.0000002</v>
      </c>
      <c r="AG1462">
        <f t="shared" si="464"/>
        <v>1952571.7593463857</v>
      </c>
      <c r="AH1462">
        <f t="shared" si="465"/>
        <v>0</v>
      </c>
      <c r="AI1462">
        <f t="shared" si="466"/>
        <v>16695949475.283735</v>
      </c>
    </row>
    <row r="1463" spans="2:35" x14ac:dyDescent="0.25">
      <c r="B1463">
        <v>2024</v>
      </c>
      <c r="C1463" t="s">
        <v>33</v>
      </c>
      <c r="D1463" t="s">
        <v>81</v>
      </c>
      <c r="E1463" t="s">
        <v>696</v>
      </c>
      <c r="F1463" t="s">
        <v>135</v>
      </c>
      <c r="H1463" t="s">
        <v>839</v>
      </c>
      <c r="J1463" t="s">
        <v>32</v>
      </c>
      <c r="K1463">
        <v>2367.4742723392628</v>
      </c>
      <c r="L1463">
        <v>2630.5269692658471</v>
      </c>
      <c r="M1463">
        <v>18511.29843900631</v>
      </c>
      <c r="N1463" s="8">
        <v>0</v>
      </c>
      <c r="O1463" s="8">
        <f>SUMIFS(EIAwtransport!$J$2:$J$675,EIAwtransport!$E$2:$E$675,Program_data!$E1463,EIAwtransport!$H$2:$H$675,Program_data!$F1463,EIAwtransport!$I$2:$I$675,Program_data!O$2)</f>
        <v>874680000</v>
      </c>
      <c r="P1463" s="5">
        <f>SUMIFS(EIAwtransport!$J$2:$J$675,EIAwtransport!$E$2:$E$675,Program_data!$E1463,EIAwtransport!$H$2:$H$675,Program_data!$F1463,EIAwtransport!$I$2:$I$675,Program_data!P$2)</f>
        <v>82460085.7641761</v>
      </c>
      <c r="Q1463" s="5">
        <f>SUMIFS(EIAwtransport!$J$2:$J$675,EIAwtransport!$E$2:$E$675,Program_data!$E1463,EIAwtransport!$H$2:$H$675,Program_data!$F1463,EIAwtransport!$I$2:$I$675,Program_data!Q$2)</f>
        <v>976170</v>
      </c>
      <c r="R1463" s="8">
        <f>SUMIFS(EIAwtransport!$J$2:$J$675,EIAwtransport!$E$2:$E$675,Program_data!$E1463,EIAwtransport!$I$2:$I$675,Program_data!R$2)</f>
        <v>1429680000</v>
      </c>
      <c r="S1463" s="5">
        <f>SUMIFS(EIAwtransport!$J$2:$J$675,EIAwtransport!$E$2:$E$675,Program_data!$E1463,EIAwtransport!$I$2:$I$675,Program_data!S$2)</f>
        <v>158285451.98410821</v>
      </c>
      <c r="T1463" s="5">
        <f>SUMIFS(EIAwtransport!$J$2:$J$675,EIAwtransport!$E$2:$E$675,Program_data!$E1463,EIAwtransport!$I$2:$I$675,Program_data!T$2)</f>
        <v>1074614</v>
      </c>
      <c r="U1463" s="24">
        <f t="shared" si="458"/>
        <v>1.443725116829899E-6</v>
      </c>
      <c r="V1463" s="24">
        <f t="shared" si="459"/>
        <v>1.6041390186998875E-6</v>
      </c>
      <c r="W1463" s="24">
        <f t="shared" si="460"/>
        <v>1.2947861366883715E-5</v>
      </c>
      <c r="X1463" s="25">
        <f t="shared" si="461"/>
        <v>1.1288497118543449E-5</v>
      </c>
      <c r="Y1463" s="8">
        <f t="shared" si="446"/>
        <v>1.1346941129939139E-2</v>
      </c>
      <c r="Z1463" s="27">
        <f t="shared" si="447"/>
        <v>2.2706714864983162E-3</v>
      </c>
      <c r="AA1463" s="27"/>
      <c r="AB1463" s="27"/>
      <c r="AC1463" s="56">
        <f t="shared" si="462"/>
        <v>1.6220192941921333E-4</v>
      </c>
      <c r="AE1463" s="20" t="e">
        <f>#REF!*1.35</f>
        <v>#REF!</v>
      </c>
      <c r="AF1463" s="20">
        <f t="shared" si="463"/>
        <v>1930068000.0000002</v>
      </c>
      <c r="AG1463">
        <f t="shared" si="464"/>
        <v>1952571.7593463857</v>
      </c>
      <c r="AH1463">
        <f t="shared" si="465"/>
        <v>0</v>
      </c>
      <c r="AI1463">
        <f t="shared" si="466"/>
        <v>16695949475.283735</v>
      </c>
    </row>
    <row r="1464" spans="2:35" x14ac:dyDescent="0.25">
      <c r="B1464">
        <v>2024</v>
      </c>
      <c r="C1464" t="s">
        <v>33</v>
      </c>
      <c r="D1464" t="s">
        <v>81</v>
      </c>
      <c r="E1464" t="s">
        <v>696</v>
      </c>
      <c r="F1464" t="s">
        <v>135</v>
      </c>
      <c r="H1464" t="s">
        <v>840</v>
      </c>
      <c r="J1464" t="s">
        <v>32</v>
      </c>
      <c r="K1464">
        <v>1038.3659089207292</v>
      </c>
      <c r="L1464">
        <v>1153.7398988008099</v>
      </c>
      <c r="M1464">
        <v>9255.6492195031551</v>
      </c>
      <c r="N1464" s="8">
        <v>0</v>
      </c>
      <c r="O1464" s="8">
        <f>SUMIFS(EIAwtransport!$J$2:$J$675,EIAwtransport!$E$2:$E$675,Program_data!$E1464,EIAwtransport!$H$2:$H$675,Program_data!$F1464,EIAwtransport!$I$2:$I$675,Program_data!O$2)</f>
        <v>874680000</v>
      </c>
      <c r="P1464" s="5">
        <f>SUMIFS(EIAwtransport!$J$2:$J$675,EIAwtransport!$E$2:$E$675,Program_data!$E1464,EIAwtransport!$H$2:$H$675,Program_data!$F1464,EIAwtransport!$I$2:$I$675,Program_data!P$2)</f>
        <v>82460085.7641761</v>
      </c>
      <c r="Q1464" s="5">
        <f>SUMIFS(EIAwtransport!$J$2:$J$675,EIAwtransport!$E$2:$E$675,Program_data!$E1464,EIAwtransport!$H$2:$H$675,Program_data!$F1464,EIAwtransport!$I$2:$I$675,Program_data!Q$2)</f>
        <v>976170</v>
      </c>
      <c r="R1464" s="8">
        <f>SUMIFS(EIAwtransport!$J$2:$J$675,EIAwtransport!$E$2:$E$675,Program_data!$E1464,EIAwtransport!$I$2:$I$675,Program_data!R$2)</f>
        <v>1429680000</v>
      </c>
      <c r="S1464" s="5">
        <f>SUMIFS(EIAwtransport!$J$2:$J$675,EIAwtransport!$E$2:$E$675,Program_data!$E1464,EIAwtransport!$I$2:$I$675,Program_data!S$2)</f>
        <v>158285451.98410821</v>
      </c>
      <c r="T1464" s="5">
        <f>SUMIFS(EIAwtransport!$J$2:$J$675,EIAwtransport!$E$2:$E$675,Program_data!$E1464,EIAwtransport!$I$2:$I$675,Program_data!T$2)</f>
        <v>1074614</v>
      </c>
      <c r="U1464" s="24">
        <f t="shared" si="458"/>
        <v>6.3321277053942931E-7</v>
      </c>
      <c r="V1464" s="24">
        <f t="shared" si="459"/>
        <v>7.0356974504381021E-7</v>
      </c>
      <c r="W1464" s="24">
        <f t="shared" si="460"/>
        <v>6.4739306834418577E-6</v>
      </c>
      <c r="X1464" s="25">
        <f t="shared" si="461"/>
        <v>5.6442485592717245E-6</v>
      </c>
      <c r="Y1464" s="8">
        <f t="shared" si="446"/>
        <v>5.6734705649695693E-3</v>
      </c>
      <c r="Z1464" s="27">
        <f t="shared" si="447"/>
        <v>1.1353357432491581E-3</v>
      </c>
      <c r="AA1464" s="27"/>
      <c r="AB1464" s="27"/>
      <c r="AC1464" s="56">
        <f t="shared" si="462"/>
        <v>8.1100964709606666E-5</v>
      </c>
      <c r="AE1464" s="20" t="e">
        <f>#REF!*1.35</f>
        <v>#REF!</v>
      </c>
      <c r="AF1464" s="20">
        <f t="shared" si="463"/>
        <v>1930068000.0000002</v>
      </c>
      <c r="AG1464">
        <f t="shared" si="464"/>
        <v>976285.87967319286</v>
      </c>
      <c r="AH1464">
        <f t="shared" si="465"/>
        <v>0</v>
      </c>
      <c r="AI1464">
        <f t="shared" si="466"/>
        <v>16695949475.283735</v>
      </c>
    </row>
    <row r="1465" spans="2:35" x14ac:dyDescent="0.25">
      <c r="B1465">
        <v>2024</v>
      </c>
      <c r="C1465" t="s">
        <v>33</v>
      </c>
      <c r="D1465" t="s">
        <v>81</v>
      </c>
      <c r="E1465" t="s">
        <v>696</v>
      </c>
      <c r="F1465" t="s">
        <v>135</v>
      </c>
      <c r="H1465" t="s">
        <v>841</v>
      </c>
      <c r="J1465" t="s">
        <v>32</v>
      </c>
      <c r="K1465">
        <v>1287.5737270617044</v>
      </c>
      <c r="L1465">
        <v>1430.6374745130045</v>
      </c>
      <c r="M1465">
        <v>22213.558126807573</v>
      </c>
      <c r="N1465" s="8">
        <v>0</v>
      </c>
      <c r="O1465" s="8">
        <f>SUMIFS(EIAwtransport!$J$2:$J$675,EIAwtransport!$E$2:$E$675,Program_data!$E1465,EIAwtransport!$H$2:$H$675,Program_data!$F1465,EIAwtransport!$I$2:$I$675,Program_data!O$2)</f>
        <v>874680000</v>
      </c>
      <c r="P1465" s="5">
        <f>SUMIFS(EIAwtransport!$J$2:$J$675,EIAwtransport!$E$2:$E$675,Program_data!$E1465,EIAwtransport!$H$2:$H$675,Program_data!$F1465,EIAwtransport!$I$2:$I$675,Program_data!P$2)</f>
        <v>82460085.7641761</v>
      </c>
      <c r="Q1465" s="5">
        <f>SUMIFS(EIAwtransport!$J$2:$J$675,EIAwtransport!$E$2:$E$675,Program_data!$E1465,EIAwtransport!$H$2:$H$675,Program_data!$F1465,EIAwtransport!$I$2:$I$675,Program_data!Q$2)</f>
        <v>976170</v>
      </c>
      <c r="R1465" s="8">
        <f>SUMIFS(EIAwtransport!$J$2:$J$675,EIAwtransport!$E$2:$E$675,Program_data!$E1465,EIAwtransport!$I$2:$I$675,Program_data!R$2)</f>
        <v>1429680000</v>
      </c>
      <c r="S1465" s="5">
        <f>SUMIFS(EIAwtransport!$J$2:$J$675,EIAwtransport!$E$2:$E$675,Program_data!$E1465,EIAwtransport!$I$2:$I$675,Program_data!S$2)</f>
        <v>158285451.98410821</v>
      </c>
      <c r="T1465" s="5">
        <f>SUMIFS(EIAwtransport!$J$2:$J$675,EIAwtransport!$E$2:$E$675,Program_data!$E1465,EIAwtransport!$I$2:$I$675,Program_data!T$2)</f>
        <v>1074614</v>
      </c>
      <c r="U1465" s="24">
        <f t="shared" si="458"/>
        <v>7.8518383546889249E-7</v>
      </c>
      <c r="V1465" s="24">
        <f t="shared" si="459"/>
        <v>8.7242648385432488E-7</v>
      </c>
      <c r="W1465" s="24">
        <f t="shared" si="460"/>
        <v>1.553743364026046E-5</v>
      </c>
      <c r="X1465" s="25">
        <f t="shared" si="461"/>
        <v>1.3546196542252139E-5</v>
      </c>
      <c r="Y1465" s="8">
        <f t="shared" si="446"/>
        <v>1.3616329355926967E-2</v>
      </c>
      <c r="Z1465" s="27">
        <f t="shared" si="447"/>
        <v>2.7248057837979795E-3</v>
      </c>
      <c r="AA1465" s="27"/>
      <c r="AB1465" s="27"/>
      <c r="AC1465" s="56">
        <f t="shared" si="462"/>
        <v>1.9464231530305601E-4</v>
      </c>
      <c r="AE1465" s="20" t="e">
        <f>#REF!*1.35</f>
        <v>#REF!</v>
      </c>
      <c r="AF1465" s="20">
        <f t="shared" si="463"/>
        <v>1930068000.0000002</v>
      </c>
      <c r="AG1465">
        <f t="shared" si="464"/>
        <v>2343086.1112156627</v>
      </c>
      <c r="AH1465">
        <f t="shared" si="465"/>
        <v>0</v>
      </c>
      <c r="AI1465">
        <f t="shared" si="466"/>
        <v>16695949475.283735</v>
      </c>
    </row>
    <row r="1466" spans="2:35" x14ac:dyDescent="0.25">
      <c r="B1466">
        <v>2024</v>
      </c>
      <c r="C1466" t="s">
        <v>33</v>
      </c>
      <c r="D1466" t="s">
        <v>81</v>
      </c>
      <c r="E1466" t="s">
        <v>696</v>
      </c>
      <c r="F1466" t="s">
        <v>146</v>
      </c>
      <c r="H1466" t="s">
        <v>842</v>
      </c>
      <c r="J1466" t="s">
        <v>55</v>
      </c>
      <c r="K1466">
        <v>46103.446356080378</v>
      </c>
      <c r="L1466">
        <v>51226.051506755975</v>
      </c>
      <c r="M1466">
        <v>74045.193756025241</v>
      </c>
      <c r="N1466" s="8">
        <v>0</v>
      </c>
      <c r="O1466" s="8">
        <f>SUMIFS(EIAwtransport!$J$2:$J$675,EIAwtransport!$E$2:$E$675,Program_data!$E1466,EIAwtransport!$H$2:$H$675,Program_data!$F1466,EIAwtransport!$I$2:$I$675,Program_data!O$2)</f>
        <v>555000000</v>
      </c>
      <c r="P1466" s="5">
        <f>SUMIFS(EIAwtransport!$J$2:$J$675,EIAwtransport!$E$2:$E$675,Program_data!$E1466,EIAwtransport!$H$2:$H$675,Program_data!$F1466,EIAwtransport!$I$2:$I$675,Program_data!P$2)</f>
        <v>75825366.219932109</v>
      </c>
      <c r="Q1466" s="5">
        <f>SUMIFS(EIAwtransport!$J$2:$J$675,EIAwtransport!$E$2:$E$675,Program_data!$E1466,EIAwtransport!$H$2:$H$675,Program_data!$F1466,EIAwtransport!$I$2:$I$675,Program_data!Q$2)</f>
        <v>98444</v>
      </c>
      <c r="R1466" s="8">
        <f>SUMIFS(EIAwtransport!$J$2:$J$675,EIAwtransport!$E$2:$E$675,Program_data!$E1466,EIAwtransport!$I$2:$I$675,Program_data!R$2)</f>
        <v>1429680000</v>
      </c>
      <c r="S1466" s="5">
        <f>SUMIFS(EIAwtransport!$J$2:$J$675,EIAwtransport!$E$2:$E$675,Program_data!$E1466,EIAwtransport!$I$2:$I$675,Program_data!S$2)</f>
        <v>158285451.98410821</v>
      </c>
      <c r="T1466" s="5">
        <f>SUMIFS(EIAwtransport!$J$2:$J$675,EIAwtransport!$E$2:$E$675,Program_data!$E1466,EIAwtransport!$I$2:$I$675,Program_data!T$2)</f>
        <v>1074614</v>
      </c>
      <c r="U1466" s="24">
        <f t="shared" si="458"/>
        <v>2.8114647011950665E-5</v>
      </c>
      <c r="V1466" s="24">
        <f t="shared" si="459"/>
        <v>3.1238496679945187E-5</v>
      </c>
      <c r="W1466" s="24">
        <f t="shared" si="460"/>
        <v>5.1791445467534862E-5</v>
      </c>
      <c r="X1466" s="25">
        <f t="shared" si="461"/>
        <v>4.5153988474173796E-5</v>
      </c>
      <c r="Y1466" s="8">
        <f t="shared" si="446"/>
        <v>1.2524147122684407E-2</v>
      </c>
      <c r="Z1466" s="27">
        <f t="shared" si="447"/>
        <v>9.0826859459932647E-3</v>
      </c>
      <c r="AA1466" s="27"/>
      <c r="AB1466" s="27"/>
      <c r="AC1466" s="56">
        <f t="shared" si="462"/>
        <v>6.4880771767685333E-4</v>
      </c>
      <c r="AE1466" s="20" t="e">
        <f>#REF!*1.35</f>
        <v>#REF!</v>
      </c>
      <c r="AF1466" s="20">
        <f t="shared" si="463"/>
        <v>1930068000.0000002</v>
      </c>
      <c r="AG1466">
        <f t="shared" si="464"/>
        <v>7810287.0373855429</v>
      </c>
      <c r="AH1466">
        <f t="shared" si="465"/>
        <v>0</v>
      </c>
      <c r="AI1466">
        <f t="shared" si="466"/>
        <v>16695949475.283735</v>
      </c>
    </row>
    <row r="1467" spans="2:35" x14ac:dyDescent="0.25">
      <c r="B1467">
        <v>2024</v>
      </c>
      <c r="C1467" t="s">
        <v>33</v>
      </c>
      <c r="D1467" t="s">
        <v>81</v>
      </c>
      <c r="E1467" t="s">
        <v>696</v>
      </c>
      <c r="F1467" t="s">
        <v>146</v>
      </c>
      <c r="H1467" t="s">
        <v>843</v>
      </c>
      <c r="J1467" s="11" t="s">
        <v>21</v>
      </c>
      <c r="K1467">
        <v>28658.899086212125</v>
      </c>
      <c r="L1467">
        <v>31843.221206902355</v>
      </c>
      <c r="M1467">
        <v>17585.733517055996</v>
      </c>
      <c r="N1467" s="8">
        <v>0</v>
      </c>
      <c r="O1467" s="8">
        <f>SUMIFS(EIAwtransport!$J$2:$J$675,EIAwtransport!$E$2:$E$675,Program_data!$E1467,EIAwtransport!$H$2:$H$675,Program_data!$F1467,EIAwtransport!$I$2:$I$675,Program_data!O$2)</f>
        <v>555000000</v>
      </c>
      <c r="P1467" s="5">
        <f>SUMIFS(EIAwtransport!$J$2:$J$675,EIAwtransport!$E$2:$E$675,Program_data!$E1467,EIAwtransport!$H$2:$H$675,Program_data!$F1467,EIAwtransport!$I$2:$I$675,Program_data!P$2)</f>
        <v>75825366.219932109</v>
      </c>
      <c r="Q1467" s="5">
        <f>SUMIFS(EIAwtransport!$J$2:$J$675,EIAwtransport!$E$2:$E$675,Program_data!$E1467,EIAwtransport!$H$2:$H$675,Program_data!$F1467,EIAwtransport!$I$2:$I$675,Program_data!Q$2)</f>
        <v>98444</v>
      </c>
      <c r="R1467" s="8">
        <f>SUMIFS(EIAwtransport!$J$2:$J$675,EIAwtransport!$E$2:$E$675,Program_data!$E1467,EIAwtransport!$I$2:$I$675,Program_data!R$2)</f>
        <v>1429680000</v>
      </c>
      <c r="S1467" s="5">
        <f>SUMIFS(EIAwtransport!$J$2:$J$675,EIAwtransport!$E$2:$E$675,Program_data!$E1467,EIAwtransport!$I$2:$I$675,Program_data!S$2)</f>
        <v>158285451.98410821</v>
      </c>
      <c r="T1467" s="5">
        <f>SUMIFS(EIAwtransport!$J$2:$J$675,EIAwtransport!$E$2:$E$675,Program_data!$E1467,EIAwtransport!$I$2:$I$675,Program_data!T$2)</f>
        <v>1074614</v>
      </c>
      <c r="U1467" s="24">
        <f t="shared" si="458"/>
        <v>1.7476672466888252E-5</v>
      </c>
      <c r="V1467" s="24">
        <f t="shared" si="459"/>
        <v>1.9418524963209163E-5</v>
      </c>
      <c r="W1467" s="24">
        <f t="shared" si="460"/>
        <v>1.2300468298539531E-5</v>
      </c>
      <c r="X1467" s="25">
        <f t="shared" si="461"/>
        <v>1.0724072262616277E-5</v>
      </c>
      <c r="Y1467" s="8">
        <f t="shared" si="446"/>
        <v>2.9744849416375469E-3</v>
      </c>
      <c r="Z1467" s="27">
        <f t="shared" si="447"/>
        <v>2.1571379121734006E-3</v>
      </c>
      <c r="AA1467" s="27"/>
      <c r="AB1467" s="27"/>
      <c r="AC1467" s="56">
        <f t="shared" si="462"/>
        <v>1.5409183294825269E-4</v>
      </c>
      <c r="AE1467" s="20" t="e">
        <f>#REF!*1.35</f>
        <v>#REF!</v>
      </c>
      <c r="AF1467" s="20">
        <f t="shared" si="463"/>
        <v>1930068000.0000002</v>
      </c>
      <c r="AG1467">
        <f t="shared" si="464"/>
        <v>1854943.1713790665</v>
      </c>
      <c r="AH1467">
        <f t="shared" si="465"/>
        <v>0</v>
      </c>
      <c r="AI1467">
        <f t="shared" si="466"/>
        <v>16695949475.283735</v>
      </c>
    </row>
    <row r="1468" spans="2:35" x14ac:dyDescent="0.25">
      <c r="B1468">
        <v>2024</v>
      </c>
      <c r="C1468" t="s">
        <v>33</v>
      </c>
      <c r="D1468" t="s">
        <v>81</v>
      </c>
      <c r="E1468" t="s">
        <v>696</v>
      </c>
      <c r="F1468" t="s">
        <v>146</v>
      </c>
      <c r="H1468" t="s">
        <v>844</v>
      </c>
      <c r="J1468" s="11" t="s">
        <v>21</v>
      </c>
      <c r="K1468">
        <v>1661.3854542731667</v>
      </c>
      <c r="L1468">
        <v>1845.983838081296</v>
      </c>
      <c r="M1468">
        <v>14809.038751205049</v>
      </c>
      <c r="N1468" s="8">
        <v>0</v>
      </c>
      <c r="O1468" s="8">
        <f>SUMIFS(EIAwtransport!$J$2:$J$675,EIAwtransport!$E$2:$E$675,Program_data!$E1468,EIAwtransport!$H$2:$H$675,Program_data!$F1468,EIAwtransport!$I$2:$I$675,Program_data!O$2)</f>
        <v>555000000</v>
      </c>
      <c r="P1468" s="5">
        <f>SUMIFS(EIAwtransport!$J$2:$J$675,EIAwtransport!$E$2:$E$675,Program_data!$E1468,EIAwtransport!$H$2:$H$675,Program_data!$F1468,EIAwtransport!$I$2:$I$675,Program_data!P$2)</f>
        <v>75825366.219932109</v>
      </c>
      <c r="Q1468" s="5">
        <f>SUMIFS(EIAwtransport!$J$2:$J$675,EIAwtransport!$E$2:$E$675,Program_data!$E1468,EIAwtransport!$H$2:$H$675,Program_data!$F1468,EIAwtransport!$I$2:$I$675,Program_data!Q$2)</f>
        <v>98444</v>
      </c>
      <c r="R1468" s="8">
        <f>SUMIFS(EIAwtransport!$J$2:$J$675,EIAwtransport!$E$2:$E$675,Program_data!$E1468,EIAwtransport!$I$2:$I$675,Program_data!R$2)</f>
        <v>1429680000</v>
      </c>
      <c r="S1468" s="5">
        <f>SUMIFS(EIAwtransport!$J$2:$J$675,EIAwtransport!$E$2:$E$675,Program_data!$E1468,EIAwtransport!$I$2:$I$675,Program_data!S$2)</f>
        <v>158285451.98410821</v>
      </c>
      <c r="T1468" s="5">
        <f>SUMIFS(EIAwtransport!$J$2:$J$675,EIAwtransport!$E$2:$E$675,Program_data!$E1468,EIAwtransport!$I$2:$I$675,Program_data!T$2)</f>
        <v>1074614</v>
      </c>
      <c r="U1468" s="24">
        <f t="shared" si="458"/>
        <v>1.013140432863087E-6</v>
      </c>
      <c r="V1468" s="24">
        <f t="shared" si="459"/>
        <v>1.1257115920700964E-6</v>
      </c>
      <c r="W1468" s="24">
        <f t="shared" si="460"/>
        <v>1.0358289093506973E-5</v>
      </c>
      <c r="X1468" s="25">
        <f t="shared" si="461"/>
        <v>9.0307976948347589E-6</v>
      </c>
      <c r="Y1468" s="8">
        <f t="shared" si="446"/>
        <v>2.5048294245368819E-3</v>
      </c>
      <c r="Z1468" s="27">
        <f t="shared" si="447"/>
        <v>1.8165371891986531E-3</v>
      </c>
      <c r="AA1468" s="27"/>
      <c r="AB1468" s="27"/>
      <c r="AC1468" s="56">
        <f t="shared" si="462"/>
        <v>1.2976154353537068E-4</v>
      </c>
      <c r="AE1468" s="20" t="e">
        <f>#REF!*1.35</f>
        <v>#REF!</v>
      </c>
      <c r="AF1468" s="20">
        <f t="shared" si="463"/>
        <v>1930068000.0000002</v>
      </c>
      <c r="AG1468">
        <f t="shared" si="464"/>
        <v>1562057.4074771088</v>
      </c>
      <c r="AH1468">
        <f t="shared" si="465"/>
        <v>0</v>
      </c>
      <c r="AI1468">
        <f t="shared" si="466"/>
        <v>16695949475.283735</v>
      </c>
    </row>
    <row r="1469" spans="2:35" x14ac:dyDescent="0.25">
      <c r="B1469">
        <v>2024</v>
      </c>
      <c r="C1469" t="s">
        <v>33</v>
      </c>
      <c r="D1469" t="s">
        <v>81</v>
      </c>
      <c r="E1469" t="s">
        <v>696</v>
      </c>
      <c r="F1469" t="s">
        <v>146</v>
      </c>
      <c r="H1469" t="s">
        <v>845</v>
      </c>
      <c r="J1469" s="11" t="s">
        <v>21</v>
      </c>
      <c r="K1469">
        <v>31358.650449406025</v>
      </c>
      <c r="L1469">
        <v>34842.944943784467</v>
      </c>
      <c r="M1469">
        <v>16660.168595105679</v>
      </c>
      <c r="N1469" s="8">
        <v>0</v>
      </c>
      <c r="O1469" s="8">
        <f>SUMIFS(EIAwtransport!$J$2:$J$675,EIAwtransport!$E$2:$E$675,Program_data!$E1469,EIAwtransport!$H$2:$H$675,Program_data!$F1469,EIAwtransport!$I$2:$I$675,Program_data!O$2)</f>
        <v>555000000</v>
      </c>
      <c r="P1469" s="5">
        <f>SUMIFS(EIAwtransport!$J$2:$J$675,EIAwtransport!$E$2:$E$675,Program_data!$E1469,EIAwtransport!$H$2:$H$675,Program_data!$F1469,EIAwtransport!$I$2:$I$675,Program_data!P$2)</f>
        <v>75825366.219932109</v>
      </c>
      <c r="Q1469" s="5">
        <f>SUMIFS(EIAwtransport!$J$2:$J$675,EIAwtransport!$E$2:$E$675,Program_data!$E1469,EIAwtransport!$H$2:$H$675,Program_data!$F1469,EIAwtransport!$I$2:$I$675,Program_data!Q$2)</f>
        <v>98444</v>
      </c>
      <c r="R1469" s="8">
        <f>SUMIFS(EIAwtransport!$J$2:$J$675,EIAwtransport!$E$2:$E$675,Program_data!$E1469,EIAwtransport!$I$2:$I$675,Program_data!R$2)</f>
        <v>1429680000</v>
      </c>
      <c r="S1469" s="5">
        <f>SUMIFS(EIAwtransport!$J$2:$J$675,EIAwtransport!$E$2:$E$675,Program_data!$E1469,EIAwtransport!$I$2:$I$675,Program_data!S$2)</f>
        <v>158285451.98410821</v>
      </c>
      <c r="T1469" s="5">
        <f>SUMIFS(EIAwtransport!$J$2:$J$675,EIAwtransport!$E$2:$E$675,Program_data!$E1469,EIAwtransport!$I$2:$I$675,Program_data!T$2)</f>
        <v>1074614</v>
      </c>
      <c r="U1469" s="24">
        <f t="shared" si="458"/>
        <v>1.9123025670290769E-5</v>
      </c>
      <c r="V1469" s="24">
        <f t="shared" si="459"/>
        <v>2.1247806300323073E-5</v>
      </c>
      <c r="W1469" s="24">
        <f t="shared" si="460"/>
        <v>1.1653075230195344E-5</v>
      </c>
      <c r="X1469" s="25">
        <f t="shared" si="461"/>
        <v>1.0159647406689104E-5</v>
      </c>
      <c r="Y1469" s="8">
        <f t="shared" si="446"/>
        <v>2.8179331026039916E-3</v>
      </c>
      <c r="Z1469" s="27">
        <f t="shared" si="447"/>
        <v>2.0436043378484845E-3</v>
      </c>
      <c r="AA1469" s="27"/>
      <c r="AB1469" s="27"/>
      <c r="AC1469" s="56">
        <f t="shared" si="462"/>
        <v>1.4598173647729199E-4</v>
      </c>
      <c r="AE1469" s="20" t="e">
        <f>#REF!*1.35</f>
        <v>#REF!</v>
      </c>
      <c r="AF1469" s="20">
        <f t="shared" si="463"/>
        <v>1930068000.0000002</v>
      </c>
      <c r="AG1469">
        <f t="shared" si="464"/>
        <v>1757314.5834117471</v>
      </c>
      <c r="AH1469">
        <f t="shared" si="465"/>
        <v>0</v>
      </c>
      <c r="AI1469">
        <f t="shared" si="466"/>
        <v>16695949475.283735</v>
      </c>
    </row>
    <row r="1470" spans="2:35" x14ac:dyDescent="0.25">
      <c r="B1470">
        <v>2024</v>
      </c>
      <c r="C1470" t="s">
        <v>33</v>
      </c>
      <c r="D1470" t="s">
        <v>81</v>
      </c>
      <c r="E1470" t="s">
        <v>696</v>
      </c>
      <c r="F1470" t="s">
        <v>146</v>
      </c>
      <c r="H1470" t="s">
        <v>846</v>
      </c>
      <c r="J1470" s="11" t="s">
        <v>21</v>
      </c>
      <c r="K1470">
        <v>27412.859995507257</v>
      </c>
      <c r="L1470">
        <v>30458.73332834139</v>
      </c>
      <c r="M1470">
        <v>55533.895317018927</v>
      </c>
      <c r="N1470" s="8">
        <v>0</v>
      </c>
      <c r="O1470" s="8">
        <f>SUMIFS(EIAwtransport!$J$2:$J$675,EIAwtransport!$E$2:$E$675,Program_data!$E1470,EIAwtransport!$H$2:$H$675,Program_data!$F1470,EIAwtransport!$I$2:$I$675,Program_data!O$2)</f>
        <v>555000000</v>
      </c>
      <c r="P1470" s="5">
        <f>SUMIFS(EIAwtransport!$J$2:$J$675,EIAwtransport!$E$2:$E$675,Program_data!$E1470,EIAwtransport!$H$2:$H$675,Program_data!$F1470,EIAwtransport!$I$2:$I$675,Program_data!P$2)</f>
        <v>75825366.219932109</v>
      </c>
      <c r="Q1470" s="5">
        <f>SUMIFS(EIAwtransport!$J$2:$J$675,EIAwtransport!$E$2:$E$675,Program_data!$E1470,EIAwtransport!$H$2:$H$675,Program_data!$F1470,EIAwtransport!$I$2:$I$675,Program_data!Q$2)</f>
        <v>98444</v>
      </c>
      <c r="R1470" s="8">
        <f>SUMIFS(EIAwtransport!$J$2:$J$675,EIAwtransport!$E$2:$E$675,Program_data!$E1470,EIAwtransport!$I$2:$I$675,Program_data!R$2)</f>
        <v>1429680000</v>
      </c>
      <c r="S1470" s="5">
        <f>SUMIFS(EIAwtransport!$J$2:$J$675,EIAwtransport!$E$2:$E$675,Program_data!$E1470,EIAwtransport!$I$2:$I$675,Program_data!S$2)</f>
        <v>158285451.98410821</v>
      </c>
      <c r="T1470" s="5">
        <f>SUMIFS(EIAwtransport!$J$2:$J$675,EIAwtransport!$E$2:$E$675,Program_data!$E1470,EIAwtransport!$I$2:$I$675,Program_data!T$2)</f>
        <v>1074614</v>
      </c>
      <c r="U1470" s="24">
        <f t="shared" si="458"/>
        <v>1.6716817142240937E-5</v>
      </c>
      <c r="V1470" s="24">
        <f t="shared" si="459"/>
        <v>1.8574241269156596E-5</v>
      </c>
      <c r="W1470" s="24">
        <f t="shared" si="460"/>
        <v>3.8843584100651141E-5</v>
      </c>
      <c r="X1470" s="25">
        <f t="shared" si="461"/>
        <v>3.3865491355630339E-5</v>
      </c>
      <c r="Y1470" s="8">
        <f t="shared" si="446"/>
        <v>9.3931103420133045E-3</v>
      </c>
      <c r="Z1470" s="27">
        <f t="shared" si="447"/>
        <v>6.8120144594949481E-3</v>
      </c>
      <c r="AA1470" s="27"/>
      <c r="AB1470" s="27"/>
      <c r="AC1470" s="56">
        <f t="shared" si="462"/>
        <v>4.8660578825763997E-4</v>
      </c>
      <c r="AE1470" s="20" t="e">
        <f>#REF!*1.35</f>
        <v>#REF!</v>
      </c>
      <c r="AF1470" s="20">
        <f t="shared" si="463"/>
        <v>1930068000.0000002</v>
      </c>
      <c r="AG1470">
        <f t="shared" si="464"/>
        <v>5857715.2780391565</v>
      </c>
      <c r="AH1470">
        <f t="shared" si="465"/>
        <v>0</v>
      </c>
      <c r="AI1470">
        <f t="shared" si="466"/>
        <v>16695949475.283735</v>
      </c>
    </row>
    <row r="1471" spans="2:35" x14ac:dyDescent="0.25">
      <c r="B1471">
        <v>2024</v>
      </c>
      <c r="C1471" t="s">
        <v>33</v>
      </c>
      <c r="D1471" t="s">
        <v>81</v>
      </c>
      <c r="E1471" t="s">
        <v>696</v>
      </c>
      <c r="F1471" t="s">
        <v>146</v>
      </c>
      <c r="H1471" t="s">
        <v>847</v>
      </c>
      <c r="J1471" s="11" t="s">
        <v>21</v>
      </c>
      <c r="K1471">
        <v>0</v>
      </c>
      <c r="L1471">
        <v>0</v>
      </c>
      <c r="M1471">
        <v>694173.69146273669</v>
      </c>
      <c r="N1471" s="8">
        <v>0</v>
      </c>
      <c r="O1471" s="8">
        <f>SUMIFS(EIAwtransport!$J$2:$J$675,EIAwtransport!$E$2:$E$675,Program_data!$E1471,EIAwtransport!$H$2:$H$675,Program_data!$F1471,EIAwtransport!$I$2:$I$675,Program_data!O$2)</f>
        <v>555000000</v>
      </c>
      <c r="P1471" s="5">
        <f>SUMIFS(EIAwtransport!$J$2:$J$675,EIAwtransport!$E$2:$E$675,Program_data!$E1471,EIAwtransport!$H$2:$H$675,Program_data!$F1471,EIAwtransport!$I$2:$I$675,Program_data!P$2)</f>
        <v>75825366.219932109</v>
      </c>
      <c r="Q1471" s="5">
        <f>SUMIFS(EIAwtransport!$J$2:$J$675,EIAwtransport!$E$2:$E$675,Program_data!$E1471,EIAwtransport!$H$2:$H$675,Program_data!$F1471,EIAwtransport!$I$2:$I$675,Program_data!Q$2)</f>
        <v>98444</v>
      </c>
      <c r="R1471" s="8">
        <f>SUMIFS(EIAwtransport!$J$2:$J$675,EIAwtransport!$E$2:$E$675,Program_data!$E1471,EIAwtransport!$I$2:$I$675,Program_data!R$2)</f>
        <v>1429680000</v>
      </c>
      <c r="S1471" s="5">
        <f>SUMIFS(EIAwtransport!$J$2:$J$675,EIAwtransport!$E$2:$E$675,Program_data!$E1471,EIAwtransport!$I$2:$I$675,Program_data!S$2)</f>
        <v>158285451.98410821</v>
      </c>
      <c r="T1471" s="5">
        <f>SUMIFS(EIAwtransport!$J$2:$J$675,EIAwtransport!$E$2:$E$675,Program_data!$E1471,EIAwtransport!$I$2:$I$675,Program_data!T$2)</f>
        <v>1074614</v>
      </c>
      <c r="U1471" s="24">
        <f t="shared" si="458"/>
        <v>0</v>
      </c>
      <c r="V1471" s="24">
        <f t="shared" si="459"/>
        <v>0</v>
      </c>
      <c r="W1471" s="24">
        <f t="shared" si="460"/>
        <v>4.8554480125813934E-4</v>
      </c>
      <c r="X1471" s="25">
        <f t="shared" si="461"/>
        <v>4.2331864194537934E-4</v>
      </c>
      <c r="Y1471" s="8">
        <f t="shared" si="446"/>
        <v>0.11741387927516633</v>
      </c>
      <c r="Z1471" s="27">
        <f t="shared" si="447"/>
        <v>8.5150180743686868E-2</v>
      </c>
      <c r="AA1471" s="27"/>
      <c r="AB1471" s="27"/>
      <c r="AC1471" s="56">
        <f t="shared" si="462"/>
        <v>6.0825723532205002E-3</v>
      </c>
      <c r="AE1471" s="20" t="e">
        <f>#REF!*1.35</f>
        <v>#REF!</v>
      </c>
      <c r="AF1471" s="20">
        <f t="shared" si="463"/>
        <v>1930068000.0000002</v>
      </c>
      <c r="AG1471">
        <f t="shared" si="464"/>
        <v>73221440.975489467</v>
      </c>
      <c r="AH1471">
        <f t="shared" si="465"/>
        <v>0</v>
      </c>
      <c r="AI1471">
        <f t="shared" si="466"/>
        <v>16695949475.283735</v>
      </c>
    </row>
    <row r="1472" spans="2:35" x14ac:dyDescent="0.25">
      <c r="B1472">
        <v>2024</v>
      </c>
      <c r="C1472" t="s">
        <v>33</v>
      </c>
      <c r="D1472" t="s">
        <v>81</v>
      </c>
      <c r="E1472" t="s">
        <v>696</v>
      </c>
      <c r="F1472" t="s">
        <v>146</v>
      </c>
      <c r="H1472" t="s">
        <v>848</v>
      </c>
      <c r="J1472" s="11" t="s">
        <v>21</v>
      </c>
      <c r="K1472">
        <v>647317.30762118264</v>
      </c>
      <c r="L1472">
        <v>719241.45291242504</v>
      </c>
      <c r="M1472">
        <v>7404519.3756025247</v>
      </c>
      <c r="N1472" s="8">
        <v>0</v>
      </c>
      <c r="O1472" s="8">
        <f>SUMIFS(EIAwtransport!$J$2:$J$675,EIAwtransport!$E$2:$E$675,Program_data!$E1472,EIAwtransport!$H$2:$H$675,Program_data!$F1472,EIAwtransport!$I$2:$I$675,Program_data!O$2)</f>
        <v>555000000</v>
      </c>
      <c r="P1472" s="5">
        <f>SUMIFS(EIAwtransport!$J$2:$J$675,EIAwtransport!$E$2:$E$675,Program_data!$E1472,EIAwtransport!$H$2:$H$675,Program_data!$F1472,EIAwtransport!$I$2:$I$675,Program_data!P$2)</f>
        <v>75825366.219932109</v>
      </c>
      <c r="Q1472" s="5">
        <f>SUMIFS(EIAwtransport!$J$2:$J$675,EIAwtransport!$E$2:$E$675,Program_data!$E1472,EIAwtransport!$H$2:$H$675,Program_data!$F1472,EIAwtransport!$I$2:$I$675,Program_data!Q$2)</f>
        <v>98444</v>
      </c>
      <c r="R1472" s="8">
        <f>SUMIFS(EIAwtransport!$J$2:$J$675,EIAwtransport!$E$2:$E$675,Program_data!$E1472,EIAwtransport!$I$2:$I$675,Program_data!R$2)</f>
        <v>1429680000</v>
      </c>
      <c r="S1472" s="5">
        <f>SUMIFS(EIAwtransport!$J$2:$J$675,EIAwtransport!$E$2:$E$675,Program_data!$E1472,EIAwtransport!$I$2:$I$675,Program_data!S$2)</f>
        <v>158285451.98410821</v>
      </c>
      <c r="T1472" s="5">
        <f>SUMIFS(EIAwtransport!$J$2:$J$675,EIAwtransport!$E$2:$E$675,Program_data!$E1472,EIAwtransport!$I$2:$I$675,Program_data!T$2)</f>
        <v>1074614</v>
      </c>
      <c r="U1472" s="24">
        <f t="shared" si="458"/>
        <v>3.9474484115428028E-4</v>
      </c>
      <c r="V1472" s="24">
        <f t="shared" si="459"/>
        <v>4.3860537906031141E-4</v>
      </c>
      <c r="W1472" s="24">
        <f t="shared" si="460"/>
        <v>5.1791445467534863E-3</v>
      </c>
      <c r="X1472" s="25">
        <f t="shared" si="461"/>
        <v>4.5153988474173797E-3</v>
      </c>
      <c r="Y1472" s="8">
        <f t="shared" si="446"/>
        <v>1.2524147122684408</v>
      </c>
      <c r="Z1472" s="27">
        <f t="shared" si="447"/>
        <v>0.90826859459932663</v>
      </c>
      <c r="AA1472" s="27"/>
      <c r="AB1472" s="27"/>
      <c r="AC1472" s="56">
        <f t="shared" si="462"/>
        <v>6.4880771767685336E-2</v>
      </c>
      <c r="AE1472" s="20" t="e">
        <f>#REF!*1.35</f>
        <v>#REF!</v>
      </c>
      <c r="AF1472" s="20">
        <f t="shared" si="463"/>
        <v>1930068000.0000002</v>
      </c>
      <c r="AG1472">
        <f t="shared" si="464"/>
        <v>781028703.73855436</v>
      </c>
      <c r="AH1472">
        <f t="shared" si="465"/>
        <v>0</v>
      </c>
      <c r="AI1472">
        <f t="shared" si="466"/>
        <v>16695949475.283735</v>
      </c>
    </row>
    <row r="1473" spans="2:35" x14ac:dyDescent="0.25">
      <c r="B1473">
        <v>2024</v>
      </c>
      <c r="C1473" t="s">
        <v>33</v>
      </c>
      <c r="D1473" t="s">
        <v>81</v>
      </c>
      <c r="E1473" t="s">
        <v>696</v>
      </c>
      <c r="F1473" t="s">
        <v>146</v>
      </c>
      <c r="H1473" t="s">
        <v>849</v>
      </c>
      <c r="J1473" t="s">
        <v>32</v>
      </c>
      <c r="K1473">
        <v>215980.10905551171</v>
      </c>
      <c r="L1473">
        <v>239977.89895056852</v>
      </c>
      <c r="M1473">
        <v>7404519.3756025247</v>
      </c>
      <c r="N1473" s="8">
        <v>0</v>
      </c>
      <c r="O1473" s="8">
        <f>SUMIFS(EIAwtransport!$J$2:$J$675,EIAwtransport!$E$2:$E$675,Program_data!$E1473,EIAwtransport!$H$2:$H$675,Program_data!$F1473,EIAwtransport!$I$2:$I$675,Program_data!O$2)</f>
        <v>555000000</v>
      </c>
      <c r="P1473" s="5">
        <f>SUMIFS(EIAwtransport!$J$2:$J$675,EIAwtransport!$E$2:$E$675,Program_data!$E1473,EIAwtransport!$H$2:$H$675,Program_data!$F1473,EIAwtransport!$I$2:$I$675,Program_data!P$2)</f>
        <v>75825366.219932109</v>
      </c>
      <c r="Q1473" s="5">
        <f>SUMIFS(EIAwtransport!$J$2:$J$675,EIAwtransport!$E$2:$E$675,Program_data!$E1473,EIAwtransport!$H$2:$H$675,Program_data!$F1473,EIAwtransport!$I$2:$I$675,Program_data!Q$2)</f>
        <v>98444</v>
      </c>
      <c r="R1473" s="8">
        <f>SUMIFS(EIAwtransport!$J$2:$J$675,EIAwtransport!$E$2:$E$675,Program_data!$E1473,EIAwtransport!$I$2:$I$675,Program_data!R$2)</f>
        <v>1429680000</v>
      </c>
      <c r="S1473" s="5">
        <f>SUMIFS(EIAwtransport!$J$2:$J$675,EIAwtransport!$E$2:$E$675,Program_data!$E1473,EIAwtransport!$I$2:$I$675,Program_data!S$2)</f>
        <v>158285451.98410821</v>
      </c>
      <c r="T1473" s="5">
        <f>SUMIFS(EIAwtransport!$J$2:$J$675,EIAwtransport!$E$2:$E$675,Program_data!$E1473,EIAwtransport!$I$2:$I$675,Program_data!T$2)</f>
        <v>1074614</v>
      </c>
      <c r="U1473" s="24">
        <f t="shared" si="458"/>
        <v>1.3170825627220134E-4</v>
      </c>
      <c r="V1473" s="24">
        <f t="shared" si="459"/>
        <v>1.4634250696911257E-4</v>
      </c>
      <c r="W1473" s="24">
        <f t="shared" si="460"/>
        <v>5.1791445467534863E-3</v>
      </c>
      <c r="X1473" s="25">
        <f t="shared" si="461"/>
        <v>4.5153988474173797E-3</v>
      </c>
      <c r="Y1473" s="8">
        <f t="shared" si="446"/>
        <v>1.2524147122684408</v>
      </c>
      <c r="Z1473" s="27">
        <f t="shared" si="447"/>
        <v>0.90826859459932663</v>
      </c>
      <c r="AA1473" s="27"/>
      <c r="AB1473" s="27"/>
      <c r="AC1473" s="56">
        <f t="shared" si="462"/>
        <v>6.4880771767685336E-2</v>
      </c>
      <c r="AE1473" s="20" t="e">
        <f>#REF!*1.35</f>
        <v>#REF!</v>
      </c>
      <c r="AF1473" s="20">
        <f t="shared" si="463"/>
        <v>1930068000.0000002</v>
      </c>
      <c r="AG1473">
        <f t="shared" si="464"/>
        <v>781028703.73855436</v>
      </c>
      <c r="AH1473">
        <f t="shared" si="465"/>
        <v>0</v>
      </c>
      <c r="AI1473">
        <f t="shared" si="466"/>
        <v>16695949475.283735</v>
      </c>
    </row>
    <row r="1474" spans="2:35" x14ac:dyDescent="0.25">
      <c r="B1474">
        <v>2024</v>
      </c>
      <c r="C1474" t="s">
        <v>33</v>
      </c>
      <c r="D1474" t="s">
        <v>81</v>
      </c>
      <c r="E1474" t="s">
        <v>696</v>
      </c>
      <c r="F1474" t="s">
        <v>146</v>
      </c>
      <c r="H1474" t="s">
        <v>850</v>
      </c>
      <c r="J1474" t="s">
        <v>32</v>
      </c>
      <c r="K1474">
        <v>215980.10905551171</v>
      </c>
      <c r="L1474">
        <v>239977.89895056852</v>
      </c>
      <c r="M1474">
        <v>7404519.3756025247</v>
      </c>
      <c r="N1474" s="8">
        <v>0</v>
      </c>
      <c r="O1474" s="8">
        <f>SUMIFS(EIAwtransport!$J$2:$J$675,EIAwtransport!$E$2:$E$675,Program_data!$E1474,EIAwtransport!$H$2:$H$675,Program_data!$F1474,EIAwtransport!$I$2:$I$675,Program_data!O$2)</f>
        <v>555000000</v>
      </c>
      <c r="P1474" s="5">
        <f>SUMIFS(EIAwtransport!$J$2:$J$675,EIAwtransport!$E$2:$E$675,Program_data!$E1474,EIAwtransport!$H$2:$H$675,Program_data!$F1474,EIAwtransport!$I$2:$I$675,Program_data!P$2)</f>
        <v>75825366.219932109</v>
      </c>
      <c r="Q1474" s="5">
        <f>SUMIFS(EIAwtransport!$J$2:$J$675,EIAwtransport!$E$2:$E$675,Program_data!$E1474,EIAwtransport!$H$2:$H$675,Program_data!$F1474,EIAwtransport!$I$2:$I$675,Program_data!Q$2)</f>
        <v>98444</v>
      </c>
      <c r="R1474" s="8">
        <f>SUMIFS(EIAwtransport!$J$2:$J$675,EIAwtransport!$E$2:$E$675,Program_data!$E1474,EIAwtransport!$I$2:$I$675,Program_data!R$2)</f>
        <v>1429680000</v>
      </c>
      <c r="S1474" s="5">
        <f>SUMIFS(EIAwtransport!$J$2:$J$675,EIAwtransport!$E$2:$E$675,Program_data!$E1474,EIAwtransport!$I$2:$I$675,Program_data!S$2)</f>
        <v>158285451.98410821</v>
      </c>
      <c r="T1474" s="5">
        <f>SUMIFS(EIAwtransport!$J$2:$J$675,EIAwtransport!$E$2:$E$675,Program_data!$E1474,EIAwtransport!$I$2:$I$675,Program_data!T$2)</f>
        <v>1074614</v>
      </c>
      <c r="U1474" s="24">
        <f t="shared" si="458"/>
        <v>1.3170825627220134E-4</v>
      </c>
      <c r="V1474" s="24">
        <f t="shared" si="459"/>
        <v>1.4634250696911257E-4</v>
      </c>
      <c r="W1474" s="24">
        <f t="shared" si="460"/>
        <v>5.1791445467534863E-3</v>
      </c>
      <c r="X1474" s="25">
        <f t="shared" si="461"/>
        <v>4.5153988474173797E-3</v>
      </c>
      <c r="Y1474" s="8">
        <f t="shared" si="446"/>
        <v>1.2524147122684408</v>
      </c>
      <c r="Z1474" s="27">
        <f t="shared" si="447"/>
        <v>0.90826859459932663</v>
      </c>
      <c r="AA1474" s="27"/>
      <c r="AB1474" s="27"/>
      <c r="AC1474" s="56">
        <f t="shared" si="462"/>
        <v>6.4880771767685336E-2</v>
      </c>
      <c r="AE1474" s="20" t="e">
        <f>#REF!*1.35</f>
        <v>#REF!</v>
      </c>
      <c r="AF1474" s="20">
        <f t="shared" si="463"/>
        <v>1930068000.0000002</v>
      </c>
      <c r="AG1474">
        <f t="shared" si="464"/>
        <v>781028703.73855436</v>
      </c>
      <c r="AH1474">
        <f t="shared" si="465"/>
        <v>0</v>
      </c>
      <c r="AI1474">
        <f t="shared" si="466"/>
        <v>16695949475.283735</v>
      </c>
    </row>
    <row r="1475" spans="2:35" x14ac:dyDescent="0.25">
      <c r="B1475">
        <v>2024</v>
      </c>
      <c r="C1475" t="s">
        <v>33</v>
      </c>
      <c r="D1475" t="s">
        <v>81</v>
      </c>
      <c r="E1475" t="s">
        <v>696</v>
      </c>
      <c r="F1475" t="s">
        <v>143</v>
      </c>
      <c r="G1475">
        <v>1</v>
      </c>
      <c r="H1475" t="s">
        <v>851</v>
      </c>
      <c r="J1475" t="s">
        <v>48</v>
      </c>
      <c r="K1475">
        <v>892.99468167182727</v>
      </c>
      <c r="L1475">
        <v>992.2163129686968</v>
      </c>
      <c r="M1475">
        <v>42650.031603470539</v>
      </c>
      <c r="N1475" s="8">
        <v>0</v>
      </c>
      <c r="O1475" s="8">
        <f>SUMIFS(EIAwtransport!$J$2:$J$675,EIAwtransport!$E$2:$E$675,Program_data!$E1475,EIAwtransport!$H$2:$H$675,Program_data!$F1475,EIAwtransport!$I$2:$I$675,Program_data!O$2)</f>
        <v>0</v>
      </c>
      <c r="P1475" s="5">
        <f>SUMIFS(EIAwtransport!$J$2:$J$675,EIAwtransport!$E$2:$E$675,Program_data!$E1475,EIAwtransport!$H$2:$H$675,Program_data!$F1475,EIAwtransport!$I$2:$I$675,Program_data!P$2)</f>
        <v>0</v>
      </c>
      <c r="Q1475" s="5">
        <f>SUMIFS(EIAwtransport!$J$2:$J$675,EIAwtransport!$E$2:$E$675,Program_data!$E1475,EIAwtransport!$H$2:$H$675,Program_data!$F1475,EIAwtransport!$I$2:$I$675,Program_data!Q$2)</f>
        <v>0</v>
      </c>
      <c r="R1475" s="8">
        <f>SUMIFS(EIAwtransport!$J$2:$J$675,EIAwtransport!$E$2:$E$675,Program_data!$E1475,EIAwtransport!$I$2:$I$675,Program_data!R$2)</f>
        <v>1429680000</v>
      </c>
      <c r="S1475" s="5">
        <f>SUMIFS(EIAwtransport!$J$2:$J$675,EIAwtransport!$E$2:$E$675,Program_data!$E1475,EIAwtransport!$I$2:$I$675,Program_data!S$2)</f>
        <v>158285451.98410821</v>
      </c>
      <c r="T1475" s="5">
        <f>SUMIFS(EIAwtransport!$J$2:$J$675,EIAwtransport!$E$2:$E$675,Program_data!$E1475,EIAwtransport!$I$2:$I$675,Program_data!T$2)</f>
        <v>1074614</v>
      </c>
      <c r="U1475" s="24">
        <f t="shared" si="458"/>
        <v>5.4456298266390931E-7</v>
      </c>
      <c r="V1475" s="24">
        <f t="shared" si="459"/>
        <v>6.0506998073767696E-7</v>
      </c>
      <c r="W1475" s="24">
        <f t="shared" si="460"/>
        <v>2.9831872589300081E-5</v>
      </c>
      <c r="X1475" s="25">
        <f t="shared" si="461"/>
        <v>2.6008697361124107E-5</v>
      </c>
      <c r="Y1475" s="8">
        <f t="shared" si="446"/>
        <v>7.0060512807758241E-2</v>
      </c>
      <c r="Z1475" s="27">
        <f t="shared" si="447"/>
        <v>5.231627104892121E-3</v>
      </c>
      <c r="AA1475" s="27"/>
      <c r="AB1475" s="27"/>
      <c r="AC1475" s="56">
        <f t="shared" si="462"/>
        <v>3.7371324538186751E-4</v>
      </c>
      <c r="AE1475" s="20" t="e">
        <f>#REF!*1.35</f>
        <v>#REF!</v>
      </c>
      <c r="AF1475" s="20">
        <f t="shared" si="463"/>
        <v>1930068000.0000002</v>
      </c>
      <c r="AG1475">
        <f t="shared" si="464"/>
        <v>4498725.3335340731</v>
      </c>
      <c r="AH1475">
        <f t="shared" si="465"/>
        <v>0</v>
      </c>
      <c r="AI1475">
        <f t="shared" si="466"/>
        <v>16695949475.283735</v>
      </c>
    </row>
    <row r="1476" spans="2:35" x14ac:dyDescent="0.25">
      <c r="B1476">
        <v>2024</v>
      </c>
      <c r="C1476" t="s">
        <v>33</v>
      </c>
      <c r="D1476" t="s">
        <v>81</v>
      </c>
      <c r="E1476" t="s">
        <v>696</v>
      </c>
      <c r="F1476" t="s">
        <v>143</v>
      </c>
      <c r="G1476">
        <v>1</v>
      </c>
      <c r="H1476" t="s">
        <v>852</v>
      </c>
      <c r="J1476" s="11" t="s">
        <v>21</v>
      </c>
      <c r="K1476">
        <v>1204.504454348046</v>
      </c>
      <c r="L1476">
        <v>1338.3382826089398</v>
      </c>
      <c r="M1476">
        <v>37022.59687801262</v>
      </c>
      <c r="N1476" s="8">
        <v>0</v>
      </c>
      <c r="O1476" s="8">
        <f>SUMIFS(EIAwtransport!$J$2:$J$675,EIAwtransport!$E$2:$E$675,Program_data!$E1476,EIAwtransport!$H$2:$H$675,Program_data!$F1476,EIAwtransport!$I$2:$I$675,Program_data!O$2)</f>
        <v>0</v>
      </c>
      <c r="P1476" s="5">
        <f>SUMIFS(EIAwtransport!$J$2:$J$675,EIAwtransport!$E$2:$E$675,Program_data!$E1476,EIAwtransport!$H$2:$H$675,Program_data!$F1476,EIAwtransport!$I$2:$I$675,Program_data!P$2)</f>
        <v>0</v>
      </c>
      <c r="Q1476" s="5">
        <f>SUMIFS(EIAwtransport!$J$2:$J$675,EIAwtransport!$E$2:$E$675,Program_data!$E1476,EIAwtransport!$H$2:$H$675,Program_data!$F1476,EIAwtransport!$I$2:$I$675,Program_data!Q$2)</f>
        <v>0</v>
      </c>
      <c r="R1476" s="8">
        <f>SUMIFS(EIAwtransport!$J$2:$J$675,EIAwtransport!$E$2:$E$675,Program_data!$E1476,EIAwtransport!$I$2:$I$675,Program_data!R$2)</f>
        <v>1429680000</v>
      </c>
      <c r="S1476" s="5">
        <f>SUMIFS(EIAwtransport!$J$2:$J$675,EIAwtransport!$E$2:$E$675,Program_data!$E1476,EIAwtransport!$I$2:$I$675,Program_data!S$2)</f>
        <v>158285451.98410821</v>
      </c>
      <c r="T1476" s="5">
        <f>SUMIFS(EIAwtransport!$J$2:$J$675,EIAwtransport!$E$2:$E$675,Program_data!$E1476,EIAwtransport!$I$2:$I$675,Program_data!T$2)</f>
        <v>1074614</v>
      </c>
      <c r="U1476" s="24">
        <f t="shared" si="458"/>
        <v>7.345268138257382E-7</v>
      </c>
      <c r="V1476" s="24">
        <f t="shared" si="459"/>
        <v>8.1614090425081995E-7</v>
      </c>
      <c r="W1476" s="24">
        <f t="shared" si="460"/>
        <v>2.5895722733767431E-5</v>
      </c>
      <c r="X1476" s="25">
        <f t="shared" si="461"/>
        <v>2.2576994237086898E-5</v>
      </c>
      <c r="Y1476" s="8">
        <f t="shared" ref="Y1476:Y1492" si="467">IFERROR(M1476/SUMIFS($K$3:$K$1492,$E$3:$E$1492,E1476,$B$3:$B$1492,B1476,$F$3:$F$1492,F1476,$A$3:$A$1492,""),"")</f>
        <v>6.0816417367845696E-2</v>
      </c>
      <c r="Z1476" s="27">
        <f t="shared" ref="Z1476:Z1492" si="468">IFERROR(M1476/SUMIFS($K$3:$K$1492,$E$3:$E$1492,E1476,$B$3:$B$1492,B1476,$A$3:$A$1492,""),"")</f>
        <v>4.5413429729966323E-3</v>
      </c>
      <c r="AA1476" s="27"/>
      <c r="AB1476" s="27"/>
      <c r="AC1476" s="56">
        <f t="shared" si="462"/>
        <v>3.2440385883842666E-4</v>
      </c>
      <c r="AE1476" s="20" t="e">
        <f>#REF!*1.35</f>
        <v>#REF!</v>
      </c>
      <c r="AF1476" s="20">
        <f t="shared" si="463"/>
        <v>1930068000.0000002</v>
      </c>
      <c r="AG1476">
        <f t="shared" si="464"/>
        <v>3905143.5186927714</v>
      </c>
      <c r="AH1476">
        <f t="shared" si="465"/>
        <v>0</v>
      </c>
      <c r="AI1476">
        <f t="shared" si="466"/>
        <v>16695949475.283735</v>
      </c>
    </row>
    <row r="1477" spans="2:35" x14ac:dyDescent="0.25">
      <c r="B1477">
        <v>2024</v>
      </c>
      <c r="C1477" t="s">
        <v>33</v>
      </c>
      <c r="D1477" t="s">
        <v>81</v>
      </c>
      <c r="E1477" t="s">
        <v>696</v>
      </c>
      <c r="F1477" t="s">
        <v>143</v>
      </c>
      <c r="G1477">
        <v>1</v>
      </c>
      <c r="H1477" t="s">
        <v>853</v>
      </c>
      <c r="J1477" t="s">
        <v>55</v>
      </c>
      <c r="K1477">
        <v>65832.398625574235</v>
      </c>
      <c r="L1477">
        <v>73147.109583971353</v>
      </c>
      <c r="M1477">
        <v>273948.7055988544</v>
      </c>
      <c r="N1477" s="8">
        <v>0</v>
      </c>
      <c r="O1477" s="8">
        <f>SUMIFS(EIAwtransport!$J$2:$J$675,EIAwtransport!$E$2:$E$675,Program_data!$E1477,EIAwtransport!$H$2:$H$675,Program_data!$F1477,EIAwtransport!$I$2:$I$675,Program_data!O$2)</f>
        <v>0</v>
      </c>
      <c r="P1477" s="5">
        <f>SUMIFS(EIAwtransport!$J$2:$J$675,EIAwtransport!$E$2:$E$675,Program_data!$E1477,EIAwtransport!$H$2:$H$675,Program_data!$F1477,EIAwtransport!$I$2:$I$675,Program_data!P$2)</f>
        <v>0</v>
      </c>
      <c r="Q1477" s="5">
        <f>SUMIFS(EIAwtransport!$J$2:$J$675,EIAwtransport!$E$2:$E$675,Program_data!$E1477,EIAwtransport!$H$2:$H$675,Program_data!$F1477,EIAwtransport!$I$2:$I$675,Program_data!Q$2)</f>
        <v>0</v>
      </c>
      <c r="R1477" s="8">
        <f>SUMIFS(EIAwtransport!$J$2:$J$675,EIAwtransport!$E$2:$E$675,Program_data!$E1477,EIAwtransport!$I$2:$I$675,Program_data!R$2)</f>
        <v>1429680000</v>
      </c>
      <c r="S1477" s="5">
        <f>SUMIFS(EIAwtransport!$J$2:$J$675,EIAwtransport!$E$2:$E$675,Program_data!$E1477,EIAwtransport!$I$2:$I$675,Program_data!S$2)</f>
        <v>158285451.98410821</v>
      </c>
      <c r="T1477" s="5">
        <f>SUMIFS(EIAwtransport!$J$2:$J$675,EIAwtransport!$E$2:$E$675,Program_data!$E1477,EIAwtransport!$I$2:$I$675,Program_data!T$2)</f>
        <v>1074614</v>
      </c>
      <c r="U1477" s="24">
        <f t="shared" si="458"/>
        <v>4.0145689652199825E-5</v>
      </c>
      <c r="V1477" s="24">
        <f t="shared" si="459"/>
        <v>4.4606321835777571E-5</v>
      </c>
      <c r="W1477" s="24">
        <f t="shared" si="460"/>
        <v>1.9161540036851212E-4</v>
      </c>
      <c r="X1477" s="25">
        <f t="shared" si="461"/>
        <v>1.670584688573245E-4</v>
      </c>
      <c r="Y1477" s="8">
        <f t="shared" si="467"/>
        <v>0.45001108031337428</v>
      </c>
      <c r="Z1477" s="27">
        <f t="shared" si="468"/>
        <v>3.3603667328688587E-2</v>
      </c>
      <c r="AA1477" s="27"/>
      <c r="AB1477" s="27"/>
      <c r="AC1477" s="56">
        <f t="shared" si="462"/>
        <v>2.4004263534749383E-3</v>
      </c>
      <c r="AE1477" s="20" t="e">
        <f>#REF!*1.35</f>
        <v>#REF!</v>
      </c>
      <c r="AF1477" s="20">
        <f t="shared" si="463"/>
        <v>1930068000.0000002</v>
      </c>
      <c r="AG1477">
        <f t="shared" si="464"/>
        <v>28896109.466567162</v>
      </c>
      <c r="AH1477">
        <f t="shared" si="465"/>
        <v>0</v>
      </c>
      <c r="AI1477">
        <f t="shared" si="466"/>
        <v>16695949475.283735</v>
      </c>
    </row>
    <row r="1478" spans="2:35" x14ac:dyDescent="0.25">
      <c r="B1478">
        <v>2024</v>
      </c>
      <c r="C1478" t="s">
        <v>33</v>
      </c>
      <c r="D1478" t="s">
        <v>81</v>
      </c>
      <c r="E1478" t="s">
        <v>696</v>
      </c>
      <c r="F1478" t="s">
        <v>143</v>
      </c>
      <c r="G1478">
        <v>1</v>
      </c>
      <c r="H1478" t="s">
        <v>854</v>
      </c>
      <c r="J1478" s="11" t="s">
        <v>21</v>
      </c>
      <c r="K1478">
        <v>5607.1759081719383</v>
      </c>
      <c r="L1478">
        <v>6230.195453524374</v>
      </c>
      <c r="M1478">
        <v>46278.246097515774</v>
      </c>
      <c r="N1478" s="8">
        <v>0</v>
      </c>
      <c r="O1478" s="8">
        <f>SUMIFS(EIAwtransport!$J$2:$J$675,EIAwtransport!$E$2:$E$675,Program_data!$E1478,EIAwtransport!$H$2:$H$675,Program_data!$F1478,EIAwtransport!$I$2:$I$675,Program_data!O$2)</f>
        <v>0</v>
      </c>
      <c r="P1478" s="5">
        <f>SUMIFS(EIAwtransport!$J$2:$J$675,EIAwtransport!$E$2:$E$675,Program_data!$E1478,EIAwtransport!$H$2:$H$675,Program_data!$F1478,EIAwtransport!$I$2:$I$675,Program_data!P$2)</f>
        <v>0</v>
      </c>
      <c r="Q1478" s="5">
        <f>SUMIFS(EIAwtransport!$J$2:$J$675,EIAwtransport!$E$2:$E$675,Program_data!$E1478,EIAwtransport!$H$2:$H$675,Program_data!$F1478,EIAwtransport!$I$2:$I$675,Program_data!Q$2)</f>
        <v>0</v>
      </c>
      <c r="R1478" s="8">
        <f>SUMIFS(EIAwtransport!$J$2:$J$675,EIAwtransport!$E$2:$E$675,Program_data!$E1478,EIAwtransport!$I$2:$I$675,Program_data!R$2)</f>
        <v>1429680000</v>
      </c>
      <c r="S1478" s="5">
        <f>SUMIFS(EIAwtransport!$J$2:$J$675,EIAwtransport!$E$2:$E$675,Program_data!$E1478,EIAwtransport!$I$2:$I$675,Program_data!S$2)</f>
        <v>158285451.98410821</v>
      </c>
      <c r="T1478" s="5">
        <f>SUMIFS(EIAwtransport!$J$2:$J$675,EIAwtransport!$E$2:$E$675,Program_data!$E1478,EIAwtransport!$I$2:$I$675,Program_data!T$2)</f>
        <v>1074614</v>
      </c>
      <c r="U1478" s="24">
        <f t="shared" si="458"/>
        <v>3.4193489609129187E-6</v>
      </c>
      <c r="V1478" s="24">
        <f t="shared" si="459"/>
        <v>3.7992766232365757E-6</v>
      </c>
      <c r="W1478" s="24">
        <f t="shared" si="460"/>
        <v>3.2369653417209284E-5</v>
      </c>
      <c r="X1478" s="25">
        <f t="shared" si="461"/>
        <v>2.822124279635862E-5</v>
      </c>
      <c r="Y1478" s="8">
        <f t="shared" si="467"/>
        <v>7.6020521709807123E-2</v>
      </c>
      <c r="Z1478" s="27">
        <f t="shared" si="468"/>
        <v>5.6766787162457902E-3</v>
      </c>
      <c r="AA1478" s="27"/>
      <c r="AB1478" s="27"/>
      <c r="AC1478" s="56">
        <f t="shared" si="462"/>
        <v>4.0550482354803332E-4</v>
      </c>
      <c r="AE1478" s="20" t="e">
        <f>#REF!*1.35</f>
        <v>#REF!</v>
      </c>
      <c r="AF1478" s="20">
        <f t="shared" si="463"/>
        <v>1930068000.0000002</v>
      </c>
      <c r="AG1478">
        <f t="shared" si="464"/>
        <v>4881429.3983659642</v>
      </c>
      <c r="AH1478">
        <f t="shared" si="465"/>
        <v>0</v>
      </c>
      <c r="AI1478">
        <f t="shared" si="466"/>
        <v>16695949475.283735</v>
      </c>
    </row>
    <row r="1479" spans="2:35" x14ac:dyDescent="0.25">
      <c r="B1479">
        <v>2024</v>
      </c>
      <c r="C1479" t="s">
        <v>33</v>
      </c>
      <c r="D1479" t="s">
        <v>81</v>
      </c>
      <c r="E1479" t="s">
        <v>696</v>
      </c>
      <c r="F1479" t="s">
        <v>143</v>
      </c>
      <c r="G1479">
        <v>1</v>
      </c>
      <c r="H1479" t="s">
        <v>855</v>
      </c>
      <c r="J1479" t="s">
        <v>48</v>
      </c>
      <c r="K1479">
        <v>1432.9449543106064</v>
      </c>
      <c r="L1479">
        <v>1592.1610603451181</v>
      </c>
      <c r="M1479">
        <v>45908.020128735654</v>
      </c>
      <c r="N1479" s="8">
        <v>0</v>
      </c>
      <c r="O1479" s="8">
        <f>SUMIFS(EIAwtransport!$J$2:$J$675,EIAwtransport!$E$2:$E$675,Program_data!$E1479,EIAwtransport!$H$2:$H$675,Program_data!$F1479,EIAwtransport!$I$2:$I$675,Program_data!O$2)</f>
        <v>0</v>
      </c>
      <c r="P1479" s="5">
        <f>SUMIFS(EIAwtransport!$J$2:$J$675,EIAwtransport!$E$2:$E$675,Program_data!$E1479,EIAwtransport!$H$2:$H$675,Program_data!$F1479,EIAwtransport!$I$2:$I$675,Program_data!P$2)</f>
        <v>0</v>
      </c>
      <c r="Q1479" s="5">
        <f>SUMIFS(EIAwtransport!$J$2:$J$675,EIAwtransport!$E$2:$E$675,Program_data!$E1479,EIAwtransport!$H$2:$H$675,Program_data!$F1479,EIAwtransport!$I$2:$I$675,Program_data!Q$2)</f>
        <v>0</v>
      </c>
      <c r="R1479" s="8">
        <f>SUMIFS(EIAwtransport!$J$2:$J$675,EIAwtransport!$E$2:$E$675,Program_data!$E1479,EIAwtransport!$I$2:$I$675,Program_data!R$2)</f>
        <v>1429680000</v>
      </c>
      <c r="S1479" s="5">
        <f>SUMIFS(EIAwtransport!$J$2:$J$675,EIAwtransport!$E$2:$E$675,Program_data!$E1479,EIAwtransport!$I$2:$I$675,Program_data!S$2)</f>
        <v>158285451.98410821</v>
      </c>
      <c r="T1479" s="5">
        <f>SUMIFS(EIAwtransport!$J$2:$J$675,EIAwtransport!$E$2:$E$675,Program_data!$E1479,EIAwtransport!$I$2:$I$675,Program_data!T$2)</f>
        <v>1074614</v>
      </c>
      <c r="U1479" s="24">
        <f t="shared" si="458"/>
        <v>8.7383362334441259E-7</v>
      </c>
      <c r="V1479" s="24">
        <f t="shared" si="459"/>
        <v>9.7092624816045855E-7</v>
      </c>
      <c r="W1479" s="24">
        <f t="shared" si="460"/>
        <v>3.2110696189871617E-5</v>
      </c>
      <c r="X1479" s="25">
        <f t="shared" si="461"/>
        <v>2.7995472853987752E-5</v>
      </c>
      <c r="Y1479" s="8">
        <f t="shared" si="467"/>
        <v>7.5412357536128669E-2</v>
      </c>
      <c r="Z1479" s="27">
        <f t="shared" si="468"/>
        <v>5.6312652865158248E-3</v>
      </c>
      <c r="AA1479" s="27"/>
      <c r="AB1479" s="27"/>
      <c r="AC1479" s="56">
        <f t="shared" si="462"/>
        <v>4.0226078495964913E-4</v>
      </c>
      <c r="AE1479" s="20" t="e">
        <f>#REF!*1.35</f>
        <v>#REF!</v>
      </c>
      <c r="AF1479" s="20">
        <f t="shared" si="463"/>
        <v>1930068000.0000002</v>
      </c>
      <c r="AG1479">
        <f t="shared" si="464"/>
        <v>4842377.963179037</v>
      </c>
      <c r="AH1479">
        <f t="shared" si="465"/>
        <v>0</v>
      </c>
      <c r="AI1479">
        <f t="shared" si="466"/>
        <v>16695949475.283735</v>
      </c>
    </row>
    <row r="1480" spans="2:35" x14ac:dyDescent="0.25">
      <c r="B1480">
        <v>2024</v>
      </c>
      <c r="C1480" t="s">
        <v>33</v>
      </c>
      <c r="D1480" t="s">
        <v>81</v>
      </c>
      <c r="E1480" t="s">
        <v>696</v>
      </c>
      <c r="F1480" t="s">
        <v>143</v>
      </c>
      <c r="G1480">
        <v>1</v>
      </c>
      <c r="H1480" t="s">
        <v>856</v>
      </c>
      <c r="J1480" s="11" t="s">
        <v>21</v>
      </c>
      <c r="K1480">
        <v>19728.952269493857</v>
      </c>
      <c r="L1480">
        <v>21921.058077215392</v>
      </c>
      <c r="M1480">
        <v>92556.492195031547</v>
      </c>
      <c r="N1480" s="8">
        <v>0</v>
      </c>
      <c r="O1480" s="8">
        <f>SUMIFS(EIAwtransport!$J$2:$J$675,EIAwtransport!$E$2:$E$675,Program_data!$E1480,EIAwtransport!$H$2:$H$675,Program_data!$F1480,EIAwtransport!$I$2:$I$675,Program_data!O$2)</f>
        <v>0</v>
      </c>
      <c r="P1480" s="5">
        <f>SUMIFS(EIAwtransport!$J$2:$J$675,EIAwtransport!$E$2:$E$675,Program_data!$E1480,EIAwtransport!$H$2:$H$675,Program_data!$F1480,EIAwtransport!$I$2:$I$675,Program_data!P$2)</f>
        <v>0</v>
      </c>
      <c r="Q1480" s="5">
        <f>SUMIFS(EIAwtransport!$J$2:$J$675,EIAwtransport!$E$2:$E$675,Program_data!$E1480,EIAwtransport!$H$2:$H$675,Program_data!$F1480,EIAwtransport!$I$2:$I$675,Program_data!Q$2)</f>
        <v>0</v>
      </c>
      <c r="R1480" s="8">
        <f>SUMIFS(EIAwtransport!$J$2:$J$675,EIAwtransport!$E$2:$E$675,Program_data!$E1480,EIAwtransport!$I$2:$I$675,Program_data!R$2)</f>
        <v>1429680000</v>
      </c>
      <c r="S1480" s="5">
        <f>SUMIFS(EIAwtransport!$J$2:$J$675,EIAwtransport!$E$2:$E$675,Program_data!$E1480,EIAwtransport!$I$2:$I$675,Program_data!S$2)</f>
        <v>158285451.98410821</v>
      </c>
      <c r="T1480" s="5">
        <f>SUMIFS(EIAwtransport!$J$2:$J$675,EIAwtransport!$E$2:$E$675,Program_data!$E1480,EIAwtransport!$I$2:$I$675,Program_data!T$2)</f>
        <v>1074614</v>
      </c>
      <c r="U1480" s="24">
        <f t="shared" si="458"/>
        <v>1.2031042640249161E-5</v>
      </c>
      <c r="V1480" s="24">
        <f t="shared" si="459"/>
        <v>1.3367825155832396E-5</v>
      </c>
      <c r="W1480" s="24">
        <f t="shared" si="460"/>
        <v>6.4739306834418568E-5</v>
      </c>
      <c r="X1480" s="25">
        <f t="shared" si="461"/>
        <v>5.644248559271724E-5</v>
      </c>
      <c r="Y1480" s="8">
        <f t="shared" si="467"/>
        <v>0.15204104341961425</v>
      </c>
      <c r="Z1480" s="27">
        <f t="shared" si="468"/>
        <v>1.135335743249158E-2</v>
      </c>
      <c r="AA1480" s="27"/>
      <c r="AB1480" s="27"/>
      <c r="AC1480" s="56">
        <f t="shared" si="462"/>
        <v>8.1100964709606663E-4</v>
      </c>
      <c r="AE1480" s="20" t="e">
        <f>#REF!*1.35</f>
        <v>#REF!</v>
      </c>
      <c r="AF1480" s="20">
        <f t="shared" si="463"/>
        <v>1930068000.0000002</v>
      </c>
      <c r="AG1480">
        <f t="shared" si="464"/>
        <v>9762858.7967319284</v>
      </c>
      <c r="AH1480">
        <f t="shared" si="465"/>
        <v>0</v>
      </c>
      <c r="AI1480">
        <f t="shared" si="466"/>
        <v>16695949475.283735</v>
      </c>
    </row>
    <row r="1481" spans="2:35" x14ac:dyDescent="0.25">
      <c r="B1481">
        <v>2024</v>
      </c>
      <c r="C1481" t="s">
        <v>33</v>
      </c>
      <c r="D1481" t="s">
        <v>81</v>
      </c>
      <c r="E1481" t="s">
        <v>696</v>
      </c>
      <c r="F1481" t="s">
        <v>143</v>
      </c>
      <c r="G1481">
        <v>1</v>
      </c>
      <c r="H1481" t="s">
        <v>857</v>
      </c>
      <c r="J1481" t="s">
        <v>42</v>
      </c>
      <c r="K1481">
        <v>892.99468167182727</v>
      </c>
      <c r="L1481">
        <v>992.2163129686968</v>
      </c>
      <c r="M1481">
        <v>146239.25766814986</v>
      </c>
      <c r="N1481" s="8">
        <v>0</v>
      </c>
      <c r="O1481" s="8">
        <f>SUMIFS(EIAwtransport!$J$2:$J$675,EIAwtransport!$E$2:$E$675,Program_data!$E1481,EIAwtransport!$H$2:$H$675,Program_data!$F1481,EIAwtransport!$I$2:$I$675,Program_data!O$2)</f>
        <v>0</v>
      </c>
      <c r="P1481" s="5">
        <f>SUMIFS(EIAwtransport!$J$2:$J$675,EIAwtransport!$E$2:$E$675,Program_data!$E1481,EIAwtransport!$H$2:$H$675,Program_data!$F1481,EIAwtransport!$I$2:$I$675,Program_data!P$2)</f>
        <v>0</v>
      </c>
      <c r="Q1481" s="5">
        <f>SUMIFS(EIAwtransport!$J$2:$J$675,EIAwtransport!$E$2:$E$675,Program_data!$E1481,EIAwtransport!$H$2:$H$675,Program_data!$F1481,EIAwtransport!$I$2:$I$675,Program_data!Q$2)</f>
        <v>0</v>
      </c>
      <c r="R1481" s="8">
        <f>SUMIFS(EIAwtransport!$J$2:$J$675,EIAwtransport!$E$2:$E$675,Program_data!$E1481,EIAwtransport!$I$2:$I$675,Program_data!R$2)</f>
        <v>1429680000</v>
      </c>
      <c r="S1481" s="5">
        <f>SUMIFS(EIAwtransport!$J$2:$J$675,EIAwtransport!$E$2:$E$675,Program_data!$E1481,EIAwtransport!$I$2:$I$675,Program_data!S$2)</f>
        <v>158285451.98410821</v>
      </c>
      <c r="T1481" s="5">
        <f>SUMIFS(EIAwtransport!$J$2:$J$675,EIAwtransport!$E$2:$E$675,Program_data!$E1481,EIAwtransport!$I$2:$I$675,Program_data!T$2)</f>
        <v>1074614</v>
      </c>
      <c r="U1481" s="24">
        <f t="shared" si="458"/>
        <v>5.4456298266390931E-7</v>
      </c>
      <c r="V1481" s="24">
        <f t="shared" si="459"/>
        <v>6.0506998073767696E-7</v>
      </c>
      <c r="W1481" s="24">
        <f t="shared" si="460"/>
        <v>1.0228810479838137E-4</v>
      </c>
      <c r="X1481" s="25">
        <f t="shared" si="461"/>
        <v>8.9179127236493254E-5</v>
      </c>
      <c r="Y1481" s="8">
        <f t="shared" si="467"/>
        <v>0.24022484860299051</v>
      </c>
      <c r="Z1481" s="27">
        <f t="shared" si="468"/>
        <v>1.79383047433367E-2</v>
      </c>
      <c r="AA1481" s="27"/>
      <c r="AB1481" s="27"/>
      <c r="AC1481" s="56">
        <f t="shared" ref="AC1481:AC1492" si="469">IFERROR(M1481/SUMIFS($M$3:$M$1234,$E$3:$E$1234,E1481,$B$3:$B$1234,B1481),"")</f>
        <v>1.2813952424117854E-3</v>
      </c>
      <c r="AE1481" s="20" t="e">
        <f>#REF!*1.35</f>
        <v>#REF!</v>
      </c>
      <c r="AF1481" s="20">
        <f t="shared" ref="AF1481:AF1492" si="470">R1481*1.35</f>
        <v>1930068000.0000002</v>
      </c>
      <c r="AG1481">
        <f t="shared" ref="AG1481:AG1492" si="471">M1481*105.48</f>
        <v>15425316.898836449</v>
      </c>
      <c r="AH1481">
        <f t="shared" ref="AH1481:AH1492" si="472">N1481*105.48</f>
        <v>0</v>
      </c>
      <c r="AI1481">
        <f t="shared" ref="AI1481:AI1492" si="473">S1481*105.48</f>
        <v>16695949475.283735</v>
      </c>
    </row>
    <row r="1482" spans="2:35" x14ac:dyDescent="0.25">
      <c r="B1482">
        <v>2024</v>
      </c>
      <c r="C1482" t="s">
        <v>33</v>
      </c>
      <c r="D1482" t="s">
        <v>81</v>
      </c>
      <c r="E1482" t="s">
        <v>696</v>
      </c>
      <c r="F1482" s="4" t="s">
        <v>143</v>
      </c>
      <c r="H1482" t="s">
        <v>858</v>
      </c>
      <c r="J1482" t="s">
        <v>48</v>
      </c>
      <c r="K1482">
        <v>892.99468167182727</v>
      </c>
      <c r="L1482">
        <v>992.2163129686968</v>
      </c>
      <c r="M1482">
        <v>55533.895317018927</v>
      </c>
      <c r="N1482" s="8">
        <v>0</v>
      </c>
      <c r="O1482" s="8">
        <f>SUMIFS(EIAwtransport!$J$2:$J$675,EIAwtransport!$E$2:$E$675,Program_data!$E1482,EIAwtransport!$H$2:$H$675,Program_data!$F1482,EIAwtransport!$I$2:$I$675,Program_data!O$2)</f>
        <v>0</v>
      </c>
      <c r="P1482" s="5">
        <f>SUMIFS(EIAwtransport!$J$2:$J$675,EIAwtransport!$E$2:$E$675,Program_data!$E1482,EIAwtransport!$H$2:$H$675,Program_data!$F1482,EIAwtransport!$I$2:$I$675,Program_data!P$2)</f>
        <v>0</v>
      </c>
      <c r="Q1482" s="5">
        <f>SUMIFS(EIAwtransport!$J$2:$J$675,EIAwtransport!$E$2:$E$675,Program_data!$E1482,EIAwtransport!$H$2:$H$675,Program_data!$F1482,EIAwtransport!$I$2:$I$675,Program_data!Q$2)</f>
        <v>0</v>
      </c>
      <c r="R1482" s="8">
        <f>SUMIFS(EIAwtransport!$J$2:$J$675,EIAwtransport!$E$2:$E$675,Program_data!$E1482,EIAwtransport!$I$2:$I$675,Program_data!R$2)</f>
        <v>1429680000</v>
      </c>
      <c r="S1482" s="5">
        <f>SUMIFS(EIAwtransport!$J$2:$J$675,EIAwtransport!$E$2:$E$675,Program_data!$E1482,EIAwtransport!$I$2:$I$675,Program_data!S$2)</f>
        <v>158285451.98410821</v>
      </c>
      <c r="T1482" s="5">
        <f>SUMIFS(EIAwtransport!$J$2:$J$675,EIAwtransport!$E$2:$E$675,Program_data!$E1482,EIAwtransport!$I$2:$I$675,Program_data!T$2)</f>
        <v>1074614</v>
      </c>
      <c r="U1482" s="24">
        <f t="shared" si="458"/>
        <v>5.4456298266390931E-7</v>
      </c>
      <c r="V1482" s="24">
        <f t="shared" si="459"/>
        <v>6.0506998073767696E-7</v>
      </c>
      <c r="W1482" s="24">
        <f t="shared" si="460"/>
        <v>3.8843584100651141E-5</v>
      </c>
      <c r="X1482" s="25">
        <f t="shared" si="461"/>
        <v>3.3865491355630339E-5</v>
      </c>
      <c r="Y1482" s="8">
        <f t="shared" si="467"/>
        <v>9.1224626051768537E-2</v>
      </c>
      <c r="Z1482" s="27">
        <f t="shared" si="468"/>
        <v>6.8120144594949481E-3</v>
      </c>
      <c r="AA1482" s="27"/>
      <c r="AB1482" s="27"/>
      <c r="AC1482" s="56">
        <f t="shared" si="469"/>
        <v>4.8660578825763997E-4</v>
      </c>
      <c r="AE1482" s="20" t="e">
        <f>#REF!*1.35</f>
        <v>#REF!</v>
      </c>
      <c r="AF1482" s="20">
        <f t="shared" si="470"/>
        <v>1930068000.0000002</v>
      </c>
      <c r="AG1482">
        <f t="shared" si="471"/>
        <v>5857715.2780391565</v>
      </c>
      <c r="AH1482">
        <f t="shared" si="472"/>
        <v>0</v>
      </c>
      <c r="AI1482">
        <f t="shared" si="473"/>
        <v>16695949475.283735</v>
      </c>
    </row>
    <row r="1483" spans="2:35" x14ac:dyDescent="0.25">
      <c r="B1483">
        <v>2024</v>
      </c>
      <c r="C1483" t="s">
        <v>33</v>
      </c>
      <c r="D1483" t="s">
        <v>81</v>
      </c>
      <c r="E1483" t="s">
        <v>696</v>
      </c>
      <c r="F1483" s="4" t="s">
        <v>143</v>
      </c>
      <c r="H1483" t="s">
        <v>859</v>
      </c>
      <c r="J1483" t="s">
        <v>55</v>
      </c>
      <c r="K1483">
        <v>1204.504454348046</v>
      </c>
      <c r="L1483">
        <v>1338.3382826089398</v>
      </c>
      <c r="M1483">
        <v>37022.59687801262</v>
      </c>
      <c r="N1483" s="8">
        <v>0</v>
      </c>
      <c r="O1483" s="8">
        <f>SUMIFS(EIAwtransport!$J$2:$J$675,EIAwtransport!$E$2:$E$675,Program_data!$E1483,EIAwtransport!$H$2:$H$675,Program_data!$F1483,EIAwtransport!$I$2:$I$675,Program_data!O$2)</f>
        <v>0</v>
      </c>
      <c r="P1483" s="5">
        <f>SUMIFS(EIAwtransport!$J$2:$J$675,EIAwtransport!$E$2:$E$675,Program_data!$E1483,EIAwtransport!$H$2:$H$675,Program_data!$F1483,EIAwtransport!$I$2:$I$675,Program_data!P$2)</f>
        <v>0</v>
      </c>
      <c r="Q1483" s="5">
        <f>SUMIFS(EIAwtransport!$J$2:$J$675,EIAwtransport!$E$2:$E$675,Program_data!$E1483,EIAwtransport!$H$2:$H$675,Program_data!$F1483,EIAwtransport!$I$2:$I$675,Program_data!Q$2)</f>
        <v>0</v>
      </c>
      <c r="R1483" s="8">
        <f>SUMIFS(EIAwtransport!$J$2:$J$675,EIAwtransport!$E$2:$E$675,Program_data!$E1483,EIAwtransport!$I$2:$I$675,Program_data!R$2)</f>
        <v>1429680000</v>
      </c>
      <c r="S1483" s="5">
        <f>SUMIFS(EIAwtransport!$J$2:$J$675,EIAwtransport!$E$2:$E$675,Program_data!$E1483,EIAwtransport!$I$2:$I$675,Program_data!S$2)</f>
        <v>158285451.98410821</v>
      </c>
      <c r="T1483" s="5">
        <f>SUMIFS(EIAwtransport!$J$2:$J$675,EIAwtransport!$E$2:$E$675,Program_data!$E1483,EIAwtransport!$I$2:$I$675,Program_data!T$2)</f>
        <v>1074614</v>
      </c>
      <c r="U1483" s="24">
        <f t="shared" si="458"/>
        <v>7.345268138257382E-7</v>
      </c>
      <c r="V1483" s="24">
        <f t="shared" si="459"/>
        <v>8.1614090425081995E-7</v>
      </c>
      <c r="W1483" s="24">
        <f t="shared" si="460"/>
        <v>2.5895722733767431E-5</v>
      </c>
      <c r="X1483" s="25">
        <f t="shared" si="461"/>
        <v>2.2576994237086898E-5</v>
      </c>
      <c r="Y1483" s="8">
        <f t="shared" si="467"/>
        <v>6.0816417367845696E-2</v>
      </c>
      <c r="Z1483" s="27">
        <f t="shared" si="468"/>
        <v>4.5413429729966323E-3</v>
      </c>
      <c r="AA1483" s="27"/>
      <c r="AB1483" s="27"/>
      <c r="AC1483" s="56">
        <f t="shared" si="469"/>
        <v>3.2440385883842666E-4</v>
      </c>
      <c r="AE1483" s="20" t="e">
        <f>#REF!*1.35</f>
        <v>#REF!</v>
      </c>
      <c r="AF1483" s="20">
        <f t="shared" si="470"/>
        <v>1930068000.0000002</v>
      </c>
      <c r="AG1483">
        <f t="shared" si="471"/>
        <v>3905143.5186927714</v>
      </c>
      <c r="AH1483">
        <f t="shared" si="472"/>
        <v>0</v>
      </c>
      <c r="AI1483">
        <f t="shared" si="473"/>
        <v>16695949475.283735</v>
      </c>
    </row>
    <row r="1484" spans="2:35" x14ac:dyDescent="0.25">
      <c r="B1484">
        <v>2024</v>
      </c>
      <c r="C1484" t="s">
        <v>33</v>
      </c>
      <c r="D1484" t="s">
        <v>81</v>
      </c>
      <c r="E1484" t="s">
        <v>696</v>
      </c>
      <c r="F1484" s="4" t="s">
        <v>143</v>
      </c>
      <c r="H1484" t="s">
        <v>860</v>
      </c>
      <c r="J1484" s="11" t="s">
        <v>21</v>
      </c>
      <c r="K1484">
        <v>1536.7815452026794</v>
      </c>
      <c r="L1484">
        <v>1707.5350502251988</v>
      </c>
      <c r="M1484">
        <v>5553.3895317018932</v>
      </c>
      <c r="N1484" s="8">
        <v>0</v>
      </c>
      <c r="O1484" s="8">
        <f>SUMIFS(EIAwtransport!$J$2:$J$675,EIAwtransport!$E$2:$E$675,Program_data!$E1484,EIAwtransport!$H$2:$H$675,Program_data!$F1484,EIAwtransport!$I$2:$I$675,Program_data!O$2)</f>
        <v>0</v>
      </c>
      <c r="P1484" s="5">
        <f>SUMIFS(EIAwtransport!$J$2:$J$675,EIAwtransport!$E$2:$E$675,Program_data!$E1484,EIAwtransport!$H$2:$H$675,Program_data!$F1484,EIAwtransport!$I$2:$I$675,Program_data!P$2)</f>
        <v>0</v>
      </c>
      <c r="Q1484" s="5">
        <f>SUMIFS(EIAwtransport!$J$2:$J$675,EIAwtransport!$E$2:$E$675,Program_data!$E1484,EIAwtransport!$H$2:$H$675,Program_data!$F1484,EIAwtransport!$I$2:$I$675,Program_data!Q$2)</f>
        <v>0</v>
      </c>
      <c r="R1484" s="8">
        <f>SUMIFS(EIAwtransport!$J$2:$J$675,EIAwtransport!$E$2:$E$675,Program_data!$E1484,EIAwtransport!$I$2:$I$675,Program_data!R$2)</f>
        <v>1429680000</v>
      </c>
      <c r="S1484" s="5">
        <f>SUMIFS(EIAwtransport!$J$2:$J$675,EIAwtransport!$E$2:$E$675,Program_data!$E1484,EIAwtransport!$I$2:$I$675,Program_data!S$2)</f>
        <v>158285451.98410821</v>
      </c>
      <c r="T1484" s="5">
        <f>SUMIFS(EIAwtransport!$J$2:$J$675,EIAwtransport!$E$2:$E$675,Program_data!$E1484,EIAwtransport!$I$2:$I$675,Program_data!T$2)</f>
        <v>1074614</v>
      </c>
      <c r="U1484" s="24">
        <f t="shared" si="458"/>
        <v>9.3715490039835556E-7</v>
      </c>
      <c r="V1484" s="24">
        <f t="shared" si="459"/>
        <v>1.0412832226648391E-6</v>
      </c>
      <c r="W1484" s="24">
        <f t="shared" si="460"/>
        <v>3.884358410065115E-6</v>
      </c>
      <c r="X1484" s="25">
        <f t="shared" si="461"/>
        <v>3.3865491355630348E-6</v>
      </c>
      <c r="Y1484" s="8">
        <f t="shared" si="467"/>
        <v>9.1224626051768544E-3</v>
      </c>
      <c r="Z1484" s="27">
        <f t="shared" si="468"/>
        <v>6.8120144594949487E-4</v>
      </c>
      <c r="AA1484" s="27"/>
      <c r="AB1484" s="27"/>
      <c r="AC1484" s="56">
        <f t="shared" si="469"/>
        <v>4.8660578825764004E-5</v>
      </c>
      <c r="AE1484" s="20" t="e">
        <f>#REF!*1.35</f>
        <v>#REF!</v>
      </c>
      <c r="AF1484" s="20">
        <f t="shared" si="470"/>
        <v>1930068000.0000002</v>
      </c>
      <c r="AG1484">
        <f t="shared" si="471"/>
        <v>585771.52780391567</v>
      </c>
      <c r="AH1484">
        <f t="shared" si="472"/>
        <v>0</v>
      </c>
      <c r="AI1484">
        <f t="shared" si="473"/>
        <v>16695949475.283735</v>
      </c>
    </row>
    <row r="1485" spans="2:35" x14ac:dyDescent="0.25">
      <c r="B1485">
        <v>2024</v>
      </c>
      <c r="C1485" t="s">
        <v>33</v>
      </c>
      <c r="D1485" t="s">
        <v>81</v>
      </c>
      <c r="E1485" t="s">
        <v>696</v>
      </c>
      <c r="F1485" t="s">
        <v>146</v>
      </c>
      <c r="H1485" t="s">
        <v>861</v>
      </c>
      <c r="J1485" s="11" t="s">
        <v>21</v>
      </c>
      <c r="K1485">
        <v>4402.6714538238921</v>
      </c>
      <c r="L1485">
        <v>4891.8571709154348</v>
      </c>
      <c r="M1485">
        <v>109216.66079013723</v>
      </c>
      <c r="N1485" s="8">
        <v>0</v>
      </c>
      <c r="O1485" s="8">
        <f>SUMIFS(EIAwtransport!$J$2:$J$675,EIAwtransport!$E$2:$E$675,Program_data!$E1485,EIAwtransport!$H$2:$H$675,Program_data!$F1485,EIAwtransport!$I$2:$I$675,Program_data!O$2)</f>
        <v>555000000</v>
      </c>
      <c r="P1485" s="5">
        <f>SUMIFS(EIAwtransport!$J$2:$J$675,EIAwtransport!$E$2:$E$675,Program_data!$E1485,EIAwtransport!$H$2:$H$675,Program_data!$F1485,EIAwtransport!$I$2:$I$675,Program_data!P$2)</f>
        <v>75825366.219932109</v>
      </c>
      <c r="Q1485" s="5">
        <f>SUMIFS(EIAwtransport!$J$2:$J$675,EIAwtransport!$E$2:$E$675,Program_data!$E1485,EIAwtransport!$H$2:$H$675,Program_data!$F1485,EIAwtransport!$I$2:$I$675,Program_data!Q$2)</f>
        <v>98444</v>
      </c>
      <c r="R1485" s="8">
        <f>SUMIFS(EIAwtransport!$J$2:$J$675,EIAwtransport!$E$2:$E$675,Program_data!$E1485,EIAwtransport!$I$2:$I$675,Program_data!R$2)</f>
        <v>1429680000</v>
      </c>
      <c r="S1485" s="5">
        <f>SUMIFS(EIAwtransport!$J$2:$J$675,EIAwtransport!$E$2:$E$675,Program_data!$E1485,EIAwtransport!$I$2:$I$675,Program_data!S$2)</f>
        <v>158285451.98410821</v>
      </c>
      <c r="T1485" s="5">
        <f>SUMIFS(EIAwtransport!$J$2:$J$675,EIAwtransport!$E$2:$E$675,Program_data!$E1485,EIAwtransport!$I$2:$I$675,Program_data!T$2)</f>
        <v>1074614</v>
      </c>
      <c r="U1485" s="24">
        <f t="shared" si="458"/>
        <v>2.684822147087181E-6</v>
      </c>
      <c r="V1485" s="24">
        <f t="shared" si="459"/>
        <v>2.9831357189857558E-6</v>
      </c>
      <c r="W1485" s="24">
        <f t="shared" si="460"/>
        <v>7.6392382064613924E-5</v>
      </c>
      <c r="X1485" s="25">
        <f t="shared" si="461"/>
        <v>6.6602132999406339E-5</v>
      </c>
      <c r="Y1485" s="8">
        <f t="shared" si="467"/>
        <v>1.8473117005959501E-2</v>
      </c>
      <c r="Z1485" s="27">
        <f t="shared" si="468"/>
        <v>1.3396961770340067E-2</v>
      </c>
      <c r="AA1485" s="27"/>
      <c r="AB1485" s="27"/>
      <c r="AC1485" s="56">
        <f t="shared" si="469"/>
        <v>9.5699138357335876E-4</v>
      </c>
      <c r="AE1485" s="20" t="e">
        <f>#REF!*1.35</f>
        <v>#REF!</v>
      </c>
      <c r="AF1485" s="20">
        <f t="shared" si="470"/>
        <v>1930068000.0000002</v>
      </c>
      <c r="AG1485">
        <f t="shared" si="471"/>
        <v>11520173.380143676</v>
      </c>
      <c r="AH1485">
        <f t="shared" si="472"/>
        <v>0</v>
      </c>
      <c r="AI1485">
        <f t="shared" si="473"/>
        <v>16695949475.283735</v>
      </c>
    </row>
    <row r="1486" spans="2:35" x14ac:dyDescent="0.25">
      <c r="B1486">
        <v>2024</v>
      </c>
      <c r="C1486" t="s">
        <v>33</v>
      </c>
      <c r="D1486" t="s">
        <v>81</v>
      </c>
      <c r="E1486" t="s">
        <v>696</v>
      </c>
      <c r="F1486" t="s">
        <v>146</v>
      </c>
      <c r="H1486" t="s">
        <v>862</v>
      </c>
      <c r="J1486" s="11" t="s">
        <v>21</v>
      </c>
      <c r="K1486">
        <v>5607.1759081719383</v>
      </c>
      <c r="L1486">
        <v>6230.195453524374</v>
      </c>
      <c r="M1486">
        <v>46278.246097515774</v>
      </c>
      <c r="N1486" s="8">
        <v>0</v>
      </c>
      <c r="O1486" s="8">
        <f>SUMIFS(EIAwtransport!$J$2:$J$675,EIAwtransport!$E$2:$E$675,Program_data!$E1486,EIAwtransport!$H$2:$H$675,Program_data!$F1486,EIAwtransport!$I$2:$I$675,Program_data!O$2)</f>
        <v>555000000</v>
      </c>
      <c r="P1486" s="5">
        <f>SUMIFS(EIAwtransport!$J$2:$J$675,EIAwtransport!$E$2:$E$675,Program_data!$E1486,EIAwtransport!$H$2:$H$675,Program_data!$F1486,EIAwtransport!$I$2:$I$675,Program_data!P$2)</f>
        <v>75825366.219932109</v>
      </c>
      <c r="Q1486" s="5">
        <f>SUMIFS(EIAwtransport!$J$2:$J$675,EIAwtransport!$E$2:$E$675,Program_data!$E1486,EIAwtransport!$H$2:$H$675,Program_data!$F1486,EIAwtransport!$I$2:$I$675,Program_data!Q$2)</f>
        <v>98444</v>
      </c>
      <c r="R1486" s="8">
        <f>SUMIFS(EIAwtransport!$J$2:$J$675,EIAwtransport!$E$2:$E$675,Program_data!$E1486,EIAwtransport!$I$2:$I$675,Program_data!R$2)</f>
        <v>1429680000</v>
      </c>
      <c r="S1486" s="5">
        <f>SUMIFS(EIAwtransport!$J$2:$J$675,EIAwtransport!$E$2:$E$675,Program_data!$E1486,EIAwtransport!$I$2:$I$675,Program_data!S$2)</f>
        <v>158285451.98410821</v>
      </c>
      <c r="T1486" s="5">
        <f>SUMIFS(EIAwtransport!$J$2:$J$675,EIAwtransport!$E$2:$E$675,Program_data!$E1486,EIAwtransport!$I$2:$I$675,Program_data!T$2)</f>
        <v>1074614</v>
      </c>
      <c r="U1486" s="24">
        <f t="shared" si="458"/>
        <v>3.4193489609129187E-6</v>
      </c>
      <c r="V1486" s="24">
        <f t="shared" si="459"/>
        <v>3.7992766232365757E-6</v>
      </c>
      <c r="W1486" s="24">
        <f t="shared" si="460"/>
        <v>3.2369653417209284E-5</v>
      </c>
      <c r="X1486" s="25">
        <f t="shared" si="461"/>
        <v>2.822124279635862E-5</v>
      </c>
      <c r="Y1486" s="8">
        <f t="shared" si="467"/>
        <v>7.827591951677754E-3</v>
      </c>
      <c r="Z1486" s="27">
        <f t="shared" si="468"/>
        <v>5.6766787162457902E-3</v>
      </c>
      <c r="AA1486" s="27"/>
      <c r="AB1486" s="27"/>
      <c r="AC1486" s="56">
        <f t="shared" si="469"/>
        <v>4.0550482354803332E-4</v>
      </c>
      <c r="AE1486" s="20" t="e">
        <f>#REF!*1.35</f>
        <v>#REF!</v>
      </c>
      <c r="AF1486" s="20">
        <f t="shared" si="470"/>
        <v>1930068000.0000002</v>
      </c>
      <c r="AG1486">
        <f t="shared" si="471"/>
        <v>4881429.3983659642</v>
      </c>
      <c r="AH1486">
        <f t="shared" si="472"/>
        <v>0</v>
      </c>
      <c r="AI1486">
        <f t="shared" si="473"/>
        <v>16695949475.283735</v>
      </c>
    </row>
    <row r="1487" spans="2:35" x14ac:dyDescent="0.25">
      <c r="B1487">
        <v>2024</v>
      </c>
      <c r="C1487" t="s">
        <v>33</v>
      </c>
      <c r="D1487" t="s">
        <v>81</v>
      </c>
      <c r="E1487" t="s">
        <v>696</v>
      </c>
      <c r="F1487" s="4" t="s">
        <v>143</v>
      </c>
      <c r="H1487" t="s">
        <v>863</v>
      </c>
      <c r="J1487" s="11" t="s">
        <v>21</v>
      </c>
      <c r="K1487">
        <v>1972.8952269493859</v>
      </c>
      <c r="L1487">
        <v>2192.1058077215393</v>
      </c>
      <c r="M1487">
        <v>74045.193756025241</v>
      </c>
      <c r="N1487" s="8">
        <v>0</v>
      </c>
      <c r="O1487" s="8">
        <f>SUMIFS(EIAwtransport!$J$2:$J$675,EIAwtransport!$E$2:$E$675,Program_data!$E1487,EIAwtransport!$H$2:$H$675,Program_data!$F1487,EIAwtransport!$I$2:$I$675,Program_data!O$2)</f>
        <v>0</v>
      </c>
      <c r="P1487" s="5">
        <f>SUMIFS(EIAwtransport!$J$2:$J$675,EIAwtransport!$E$2:$E$675,Program_data!$E1487,EIAwtransport!$H$2:$H$675,Program_data!$F1487,EIAwtransport!$I$2:$I$675,Program_data!P$2)</f>
        <v>0</v>
      </c>
      <c r="Q1487" s="5">
        <f>SUMIFS(EIAwtransport!$J$2:$J$675,EIAwtransport!$E$2:$E$675,Program_data!$E1487,EIAwtransport!$H$2:$H$675,Program_data!$F1487,EIAwtransport!$I$2:$I$675,Program_data!Q$2)</f>
        <v>0</v>
      </c>
      <c r="R1487" s="8">
        <f>SUMIFS(EIAwtransport!$J$2:$J$675,EIAwtransport!$E$2:$E$675,Program_data!$E1487,EIAwtransport!$I$2:$I$675,Program_data!R$2)</f>
        <v>1429680000</v>
      </c>
      <c r="S1487" s="5">
        <f>SUMIFS(EIAwtransport!$J$2:$J$675,EIAwtransport!$E$2:$E$675,Program_data!$E1487,EIAwtransport!$I$2:$I$675,Program_data!S$2)</f>
        <v>158285451.98410821</v>
      </c>
      <c r="T1487" s="5">
        <f>SUMIFS(EIAwtransport!$J$2:$J$675,EIAwtransport!$E$2:$E$675,Program_data!$E1487,EIAwtransport!$I$2:$I$675,Program_data!T$2)</f>
        <v>1074614</v>
      </c>
      <c r="U1487" s="24">
        <f t="shared" si="458"/>
        <v>1.2031042640249161E-6</v>
      </c>
      <c r="V1487" s="24">
        <f t="shared" si="459"/>
        <v>1.3367825155832398E-6</v>
      </c>
      <c r="W1487" s="24">
        <f t="shared" si="460"/>
        <v>5.1791445467534862E-5</v>
      </c>
      <c r="X1487" s="25">
        <f t="shared" si="461"/>
        <v>4.5153988474173796E-5</v>
      </c>
      <c r="Y1487" s="8">
        <f t="shared" si="467"/>
        <v>0.12163283473569139</v>
      </c>
      <c r="Z1487" s="27">
        <f t="shared" si="468"/>
        <v>9.0826859459932647E-3</v>
      </c>
      <c r="AA1487" s="27"/>
      <c r="AB1487" s="27"/>
      <c r="AC1487" s="56">
        <f t="shared" si="469"/>
        <v>6.4880771767685333E-4</v>
      </c>
      <c r="AE1487" s="20" t="e">
        <f>#REF!*1.35</f>
        <v>#REF!</v>
      </c>
      <c r="AF1487" s="20">
        <f t="shared" si="470"/>
        <v>1930068000.0000002</v>
      </c>
      <c r="AG1487">
        <f t="shared" si="471"/>
        <v>7810287.0373855429</v>
      </c>
      <c r="AH1487">
        <f t="shared" si="472"/>
        <v>0</v>
      </c>
      <c r="AI1487">
        <f t="shared" si="473"/>
        <v>16695949475.283735</v>
      </c>
    </row>
    <row r="1488" spans="2:35" x14ac:dyDescent="0.25">
      <c r="B1488">
        <v>2024</v>
      </c>
      <c r="C1488" t="s">
        <v>33</v>
      </c>
      <c r="D1488" t="s">
        <v>81</v>
      </c>
      <c r="E1488" t="s">
        <v>696</v>
      </c>
      <c r="F1488" s="4" t="s">
        <v>143</v>
      </c>
      <c r="H1488" t="s">
        <v>864</v>
      </c>
      <c r="J1488" s="11" t="s">
        <v>21</v>
      </c>
      <c r="K1488">
        <v>2305.1723178040188</v>
      </c>
      <c r="L1488">
        <v>2561.3025753377983</v>
      </c>
      <c r="M1488">
        <v>74045.193756025241</v>
      </c>
      <c r="N1488" s="8">
        <v>0</v>
      </c>
      <c r="O1488" s="8">
        <f>SUMIFS(EIAwtransport!$J$2:$J$675,EIAwtransport!$E$2:$E$675,Program_data!$E1488,EIAwtransport!$H$2:$H$675,Program_data!$F1488,EIAwtransport!$I$2:$I$675,Program_data!O$2)</f>
        <v>0</v>
      </c>
      <c r="P1488" s="5">
        <f>SUMIFS(EIAwtransport!$J$2:$J$675,EIAwtransport!$E$2:$E$675,Program_data!$E1488,EIAwtransport!$H$2:$H$675,Program_data!$F1488,EIAwtransport!$I$2:$I$675,Program_data!P$2)</f>
        <v>0</v>
      </c>
      <c r="Q1488" s="5">
        <f>SUMIFS(EIAwtransport!$J$2:$J$675,EIAwtransport!$E$2:$E$675,Program_data!$E1488,EIAwtransport!$H$2:$H$675,Program_data!$F1488,EIAwtransport!$I$2:$I$675,Program_data!Q$2)</f>
        <v>0</v>
      </c>
      <c r="R1488" s="8">
        <f>SUMIFS(EIAwtransport!$J$2:$J$675,EIAwtransport!$E$2:$E$675,Program_data!$E1488,EIAwtransport!$I$2:$I$675,Program_data!R$2)</f>
        <v>1429680000</v>
      </c>
      <c r="S1488" s="5">
        <f>SUMIFS(EIAwtransport!$J$2:$J$675,EIAwtransport!$E$2:$E$675,Program_data!$E1488,EIAwtransport!$I$2:$I$675,Program_data!S$2)</f>
        <v>158285451.98410821</v>
      </c>
      <c r="T1488" s="5">
        <f>SUMIFS(EIAwtransport!$J$2:$J$675,EIAwtransport!$E$2:$E$675,Program_data!$E1488,EIAwtransport!$I$2:$I$675,Program_data!T$2)</f>
        <v>1074614</v>
      </c>
      <c r="U1488" s="24">
        <f t="shared" si="458"/>
        <v>1.4057323505975332E-6</v>
      </c>
      <c r="V1488" s="24">
        <f t="shared" si="459"/>
        <v>1.5619248339972589E-6</v>
      </c>
      <c r="W1488" s="24">
        <f t="shared" si="460"/>
        <v>5.1791445467534862E-5</v>
      </c>
      <c r="X1488" s="25">
        <f t="shared" si="461"/>
        <v>4.5153988474173796E-5</v>
      </c>
      <c r="Y1488" s="8">
        <f t="shared" si="467"/>
        <v>0.12163283473569139</v>
      </c>
      <c r="Z1488" s="27">
        <f t="shared" si="468"/>
        <v>9.0826859459932647E-3</v>
      </c>
      <c r="AA1488" s="27"/>
      <c r="AB1488" s="27"/>
      <c r="AC1488" s="56">
        <f t="shared" si="469"/>
        <v>6.4880771767685333E-4</v>
      </c>
      <c r="AE1488" s="20" t="e">
        <f>#REF!*1.35</f>
        <v>#REF!</v>
      </c>
      <c r="AF1488" s="20">
        <f t="shared" si="470"/>
        <v>1930068000.0000002</v>
      </c>
      <c r="AG1488">
        <f t="shared" si="471"/>
        <v>7810287.0373855429</v>
      </c>
      <c r="AH1488">
        <f t="shared" si="472"/>
        <v>0</v>
      </c>
      <c r="AI1488">
        <f t="shared" si="473"/>
        <v>16695949475.283735</v>
      </c>
    </row>
    <row r="1489" spans="2:35" x14ac:dyDescent="0.25">
      <c r="B1489">
        <v>2024</v>
      </c>
      <c r="C1489" t="s">
        <v>33</v>
      </c>
      <c r="D1489" t="s">
        <v>81</v>
      </c>
      <c r="E1489" t="s">
        <v>696</v>
      </c>
      <c r="F1489" s="4" t="s">
        <v>143</v>
      </c>
      <c r="H1489" t="s">
        <v>865</v>
      </c>
      <c r="J1489" s="11" t="s">
        <v>21</v>
      </c>
      <c r="K1489">
        <v>2678.9840450154816</v>
      </c>
      <c r="L1489">
        <v>2976.6489389060898</v>
      </c>
      <c r="M1489">
        <v>92556.492195031547</v>
      </c>
      <c r="N1489" s="8">
        <v>0</v>
      </c>
      <c r="O1489" s="8">
        <f>SUMIFS(EIAwtransport!$J$2:$J$675,EIAwtransport!$E$2:$E$675,Program_data!$E1489,EIAwtransport!$H$2:$H$675,Program_data!$F1489,EIAwtransport!$I$2:$I$675,Program_data!O$2)</f>
        <v>0</v>
      </c>
      <c r="P1489" s="5">
        <f>SUMIFS(EIAwtransport!$J$2:$J$675,EIAwtransport!$E$2:$E$675,Program_data!$E1489,EIAwtransport!$H$2:$H$675,Program_data!$F1489,EIAwtransport!$I$2:$I$675,Program_data!P$2)</f>
        <v>0</v>
      </c>
      <c r="Q1489" s="5">
        <f>SUMIFS(EIAwtransport!$J$2:$J$675,EIAwtransport!$E$2:$E$675,Program_data!$E1489,EIAwtransport!$H$2:$H$675,Program_data!$F1489,EIAwtransport!$I$2:$I$675,Program_data!Q$2)</f>
        <v>0</v>
      </c>
      <c r="R1489" s="8">
        <f>SUMIFS(EIAwtransport!$J$2:$J$675,EIAwtransport!$E$2:$E$675,Program_data!$E1489,EIAwtransport!$I$2:$I$675,Program_data!R$2)</f>
        <v>1429680000</v>
      </c>
      <c r="S1489" s="5">
        <f>SUMIFS(EIAwtransport!$J$2:$J$675,EIAwtransport!$E$2:$E$675,Program_data!$E1489,EIAwtransport!$I$2:$I$675,Program_data!S$2)</f>
        <v>158285451.98410821</v>
      </c>
      <c r="T1489" s="5">
        <f>SUMIFS(EIAwtransport!$J$2:$J$675,EIAwtransport!$E$2:$E$675,Program_data!$E1489,EIAwtransport!$I$2:$I$675,Program_data!T$2)</f>
        <v>1074614</v>
      </c>
      <c r="U1489" s="24">
        <f t="shared" si="458"/>
        <v>1.6336889479917281E-6</v>
      </c>
      <c r="V1489" s="24">
        <f t="shared" si="459"/>
        <v>1.8152099422130305E-6</v>
      </c>
      <c r="W1489" s="24">
        <f t="shared" si="460"/>
        <v>6.4739306834418568E-5</v>
      </c>
      <c r="X1489" s="25">
        <f t="shared" si="461"/>
        <v>5.644248559271724E-5</v>
      </c>
      <c r="Y1489" s="8">
        <f t="shared" si="467"/>
        <v>0.15204104341961425</v>
      </c>
      <c r="Z1489" s="27">
        <f t="shared" si="468"/>
        <v>1.135335743249158E-2</v>
      </c>
      <c r="AA1489" s="27"/>
      <c r="AB1489" s="27"/>
      <c r="AC1489" s="56">
        <f t="shared" si="469"/>
        <v>8.1100964709606663E-4</v>
      </c>
      <c r="AE1489" s="20" t="e">
        <f>#REF!*1.35</f>
        <v>#REF!</v>
      </c>
      <c r="AF1489" s="20">
        <f t="shared" si="470"/>
        <v>1930068000.0000002</v>
      </c>
      <c r="AG1489">
        <f t="shared" si="471"/>
        <v>9762858.7967319284</v>
      </c>
      <c r="AH1489">
        <f t="shared" si="472"/>
        <v>0</v>
      </c>
      <c r="AI1489">
        <f t="shared" si="473"/>
        <v>16695949475.283735</v>
      </c>
    </row>
    <row r="1490" spans="2:35" x14ac:dyDescent="0.25">
      <c r="B1490">
        <v>2024</v>
      </c>
      <c r="C1490" t="s">
        <v>33</v>
      </c>
      <c r="D1490" t="s">
        <v>81</v>
      </c>
      <c r="E1490" t="s">
        <v>696</v>
      </c>
      <c r="F1490" s="4" t="s">
        <v>143</v>
      </c>
      <c r="H1490" t="s">
        <v>866</v>
      </c>
      <c r="J1490" s="11" t="s">
        <v>21</v>
      </c>
      <c r="K1490">
        <v>4361.1368174670633</v>
      </c>
      <c r="L1490">
        <v>4845.7075749634023</v>
      </c>
      <c r="M1490">
        <v>92556.492195031547</v>
      </c>
      <c r="N1490" s="8">
        <v>0</v>
      </c>
      <c r="O1490" s="8">
        <f>SUMIFS(EIAwtransport!$J$2:$J$675,EIAwtransport!$E$2:$E$675,Program_data!$E1490,EIAwtransport!$H$2:$H$675,Program_data!$F1490,EIAwtransport!$I$2:$I$675,Program_data!O$2)</f>
        <v>0</v>
      </c>
      <c r="P1490" s="5">
        <f>SUMIFS(EIAwtransport!$J$2:$J$675,EIAwtransport!$E$2:$E$675,Program_data!$E1490,EIAwtransport!$H$2:$H$675,Program_data!$F1490,EIAwtransport!$I$2:$I$675,Program_data!P$2)</f>
        <v>0</v>
      </c>
      <c r="Q1490" s="5">
        <f>SUMIFS(EIAwtransport!$J$2:$J$675,EIAwtransport!$E$2:$E$675,Program_data!$E1490,EIAwtransport!$H$2:$H$675,Program_data!$F1490,EIAwtransport!$I$2:$I$675,Program_data!Q$2)</f>
        <v>0</v>
      </c>
      <c r="R1490" s="8">
        <f>SUMIFS(EIAwtransport!$J$2:$J$675,EIAwtransport!$E$2:$E$675,Program_data!$E1490,EIAwtransport!$I$2:$I$675,Program_data!R$2)</f>
        <v>1429680000</v>
      </c>
      <c r="S1490" s="5">
        <f>SUMIFS(EIAwtransport!$J$2:$J$675,EIAwtransport!$E$2:$E$675,Program_data!$E1490,EIAwtransport!$I$2:$I$675,Program_data!S$2)</f>
        <v>158285451.98410821</v>
      </c>
      <c r="T1490" s="5">
        <f>SUMIFS(EIAwtransport!$J$2:$J$675,EIAwtransport!$E$2:$E$675,Program_data!$E1490,EIAwtransport!$I$2:$I$675,Program_data!T$2)</f>
        <v>1074614</v>
      </c>
      <c r="U1490" s="24">
        <f t="shared" si="458"/>
        <v>2.659493636265604E-6</v>
      </c>
      <c r="V1490" s="24">
        <f t="shared" si="459"/>
        <v>2.9549929291840032E-6</v>
      </c>
      <c r="W1490" s="24">
        <f t="shared" si="460"/>
        <v>6.4739306834418568E-5</v>
      </c>
      <c r="X1490" s="25">
        <f t="shared" si="461"/>
        <v>5.644248559271724E-5</v>
      </c>
      <c r="Y1490" s="8">
        <f t="shared" si="467"/>
        <v>0.15204104341961425</v>
      </c>
      <c r="Z1490" s="27">
        <f t="shared" si="468"/>
        <v>1.135335743249158E-2</v>
      </c>
      <c r="AA1490" s="27"/>
      <c r="AB1490" s="27"/>
      <c r="AC1490" s="56">
        <f t="shared" si="469"/>
        <v>8.1100964709606663E-4</v>
      </c>
      <c r="AE1490" s="20" t="e">
        <f>#REF!*1.35</f>
        <v>#REF!</v>
      </c>
      <c r="AF1490" s="20">
        <f t="shared" si="470"/>
        <v>1930068000.0000002</v>
      </c>
      <c r="AG1490">
        <f t="shared" si="471"/>
        <v>9762858.7967319284</v>
      </c>
      <c r="AH1490">
        <f t="shared" si="472"/>
        <v>0</v>
      </c>
      <c r="AI1490">
        <f t="shared" si="473"/>
        <v>16695949475.283735</v>
      </c>
    </row>
    <row r="1491" spans="2:35" x14ac:dyDescent="0.25">
      <c r="B1491">
        <v>2024</v>
      </c>
      <c r="C1491" t="s">
        <v>33</v>
      </c>
      <c r="D1491" t="s">
        <v>81</v>
      </c>
      <c r="E1491" t="s">
        <v>696</v>
      </c>
      <c r="F1491" s="4" t="s">
        <v>143</v>
      </c>
      <c r="H1491" t="s">
        <v>867</v>
      </c>
      <c r="J1491" s="11" t="s">
        <v>21</v>
      </c>
      <c r="K1491">
        <v>3447.3748176168219</v>
      </c>
      <c r="L1491">
        <v>3830.4164640186905</v>
      </c>
      <c r="M1491">
        <v>148090.38751205048</v>
      </c>
      <c r="N1491" s="8">
        <v>0</v>
      </c>
      <c r="O1491" s="8">
        <f>SUMIFS(EIAwtransport!$J$2:$J$675,EIAwtransport!$E$2:$E$675,Program_data!$E1491,EIAwtransport!$H$2:$H$675,Program_data!$F1491,EIAwtransport!$I$2:$I$675,Program_data!O$2)</f>
        <v>0</v>
      </c>
      <c r="P1491" s="5">
        <f>SUMIFS(EIAwtransport!$J$2:$J$675,EIAwtransport!$E$2:$E$675,Program_data!$E1491,EIAwtransport!$H$2:$H$675,Program_data!$F1491,EIAwtransport!$I$2:$I$675,Program_data!P$2)</f>
        <v>0</v>
      </c>
      <c r="Q1491" s="5">
        <f>SUMIFS(EIAwtransport!$J$2:$J$675,EIAwtransport!$E$2:$E$675,Program_data!$E1491,EIAwtransport!$H$2:$H$675,Program_data!$F1491,EIAwtransport!$I$2:$I$675,Program_data!Q$2)</f>
        <v>0</v>
      </c>
      <c r="R1491" s="8">
        <f>SUMIFS(EIAwtransport!$J$2:$J$675,EIAwtransport!$E$2:$E$675,Program_data!$E1491,EIAwtransport!$I$2:$I$675,Program_data!R$2)</f>
        <v>1429680000</v>
      </c>
      <c r="S1491" s="5">
        <f>SUMIFS(EIAwtransport!$J$2:$J$675,EIAwtransport!$E$2:$E$675,Program_data!$E1491,EIAwtransport!$I$2:$I$675,Program_data!S$2)</f>
        <v>158285451.98410821</v>
      </c>
      <c r="T1491" s="5">
        <f>SUMIFS(EIAwtransport!$J$2:$J$675,EIAwtransport!$E$2:$E$675,Program_data!$E1491,EIAwtransport!$I$2:$I$675,Program_data!T$2)</f>
        <v>1074614</v>
      </c>
      <c r="U1491" s="24">
        <f t="shared" si="458"/>
        <v>2.1022663981909065E-6</v>
      </c>
      <c r="V1491" s="24">
        <f t="shared" si="459"/>
        <v>2.335851553545451E-6</v>
      </c>
      <c r="W1491" s="24">
        <f t="shared" si="460"/>
        <v>1.0358289093506972E-4</v>
      </c>
      <c r="X1491" s="25">
        <f t="shared" si="461"/>
        <v>9.0307976948347592E-5</v>
      </c>
      <c r="Y1491" s="8">
        <f t="shared" si="467"/>
        <v>0.24326566947138278</v>
      </c>
      <c r="Z1491" s="27">
        <f t="shared" si="468"/>
        <v>1.8165371891986529E-2</v>
      </c>
      <c r="AA1491" s="27"/>
      <c r="AB1491" s="27"/>
      <c r="AC1491" s="56">
        <f t="shared" si="469"/>
        <v>1.2976154353537067E-3</v>
      </c>
      <c r="AE1491" s="20" t="e">
        <f>#REF!*1.35</f>
        <v>#REF!</v>
      </c>
      <c r="AF1491" s="20">
        <f t="shared" si="470"/>
        <v>1930068000.0000002</v>
      </c>
      <c r="AG1491">
        <f t="shared" si="471"/>
        <v>15620574.074771086</v>
      </c>
      <c r="AH1491">
        <f t="shared" si="472"/>
        <v>0</v>
      </c>
      <c r="AI1491">
        <f t="shared" si="473"/>
        <v>16695949475.283735</v>
      </c>
    </row>
    <row r="1492" spans="2:35" x14ac:dyDescent="0.25">
      <c r="B1492">
        <v>2024</v>
      </c>
      <c r="C1492" t="s">
        <v>33</v>
      </c>
      <c r="D1492" t="s">
        <v>81</v>
      </c>
      <c r="E1492" t="s">
        <v>696</v>
      </c>
      <c r="F1492" s="4" t="s">
        <v>143</v>
      </c>
      <c r="H1492" t="s">
        <v>868</v>
      </c>
      <c r="J1492" s="11" t="s">
        <v>21</v>
      </c>
      <c r="K1492">
        <v>8805.3429076477842</v>
      </c>
      <c r="L1492">
        <v>9783.7143418308697</v>
      </c>
      <c r="M1492">
        <v>148090.38751205048</v>
      </c>
      <c r="N1492" s="8">
        <v>0</v>
      </c>
      <c r="O1492" s="8">
        <f>SUMIFS(EIAwtransport!$J$2:$J$675,EIAwtransport!$E$2:$E$675,Program_data!$E1492,EIAwtransport!$H$2:$H$675,Program_data!$F1492,EIAwtransport!$I$2:$I$675,Program_data!O$2)</f>
        <v>0</v>
      </c>
      <c r="P1492" s="5">
        <f>SUMIFS(EIAwtransport!$J$2:$J$675,EIAwtransport!$E$2:$E$675,Program_data!$E1492,EIAwtransport!$H$2:$H$675,Program_data!$F1492,EIAwtransport!$I$2:$I$675,Program_data!P$2)</f>
        <v>0</v>
      </c>
      <c r="Q1492" s="5">
        <f>SUMIFS(EIAwtransport!$J$2:$J$675,EIAwtransport!$E$2:$E$675,Program_data!$E1492,EIAwtransport!$H$2:$H$675,Program_data!$F1492,EIAwtransport!$I$2:$I$675,Program_data!Q$2)</f>
        <v>0</v>
      </c>
      <c r="R1492" s="8">
        <f>SUMIFS(EIAwtransport!$J$2:$J$675,EIAwtransport!$E$2:$E$675,Program_data!$E1492,EIAwtransport!$I$2:$I$675,Program_data!R$2)</f>
        <v>1429680000</v>
      </c>
      <c r="S1492" s="5">
        <f>SUMIFS(EIAwtransport!$J$2:$J$675,EIAwtransport!$E$2:$E$675,Program_data!$E1492,EIAwtransport!$I$2:$I$675,Program_data!S$2)</f>
        <v>158285451.98410821</v>
      </c>
      <c r="T1492" s="5">
        <f>SUMIFS(EIAwtransport!$J$2:$J$675,EIAwtransport!$E$2:$E$675,Program_data!$E1492,EIAwtransport!$I$2:$I$675,Program_data!T$2)</f>
        <v>1074614</v>
      </c>
      <c r="U1492" s="24">
        <f t="shared" si="458"/>
        <v>5.3696442941743619E-6</v>
      </c>
      <c r="V1492" s="24">
        <f t="shared" si="459"/>
        <v>5.9662714379715116E-6</v>
      </c>
      <c r="W1492" s="24">
        <f t="shared" si="460"/>
        <v>1.0358289093506972E-4</v>
      </c>
      <c r="X1492" s="25">
        <f t="shared" si="461"/>
        <v>9.0307976948347592E-5</v>
      </c>
      <c r="Y1492" s="8">
        <f t="shared" si="467"/>
        <v>0.24326566947138278</v>
      </c>
      <c r="Z1492" s="27">
        <f t="shared" si="468"/>
        <v>1.8165371891986529E-2</v>
      </c>
      <c r="AA1492" s="27"/>
      <c r="AB1492" s="27"/>
      <c r="AC1492" s="56">
        <f t="shared" si="469"/>
        <v>1.2976154353537067E-3</v>
      </c>
      <c r="AE1492" s="20" t="e">
        <f>#REF!*1.35</f>
        <v>#REF!</v>
      </c>
      <c r="AF1492" s="20">
        <f t="shared" si="470"/>
        <v>1930068000.0000002</v>
      </c>
      <c r="AG1492">
        <f t="shared" si="471"/>
        <v>15620574.074771086</v>
      </c>
      <c r="AH1492">
        <f t="shared" si="472"/>
        <v>0</v>
      </c>
      <c r="AI1492">
        <f t="shared" si="473"/>
        <v>16695949475.283735</v>
      </c>
    </row>
  </sheetData>
  <autoFilter ref="A2:AK1492" xr:uid="{1C0BE1F2-C292-4371-BAAF-3C0451EF809B}"/>
  <mergeCells count="3">
    <mergeCell ref="O1:Q1"/>
    <mergeCell ref="R1:T1"/>
    <mergeCell ref="AD1:AI1"/>
  </mergeCells>
  <hyperlinks>
    <hyperlink ref="AB383" r:id="rId1" xr:uid="{4B5117B4-2422-4B03-84D5-DBBF5969CC61}"/>
    <hyperlink ref="AA638" r:id="rId2" xr:uid="{574A09C7-2D03-4488-B160-CF62B88CF9AA}"/>
    <hyperlink ref="AA680" r:id="rId3" xr:uid="{3303F5B4-7448-4A04-AE07-18A7F031633F}"/>
    <hyperlink ref="AA688" r:id="rId4" xr:uid="{F64C31B1-28DE-44FC-9B97-F0F7D3B60365}"/>
    <hyperlink ref="AB398" r:id="rId5" xr:uid="{122A4756-1056-49BB-9C87-2E5C6F231388}"/>
    <hyperlink ref="AB418" r:id="rId6" xr:uid="{CE50BE25-ED35-448C-A431-2F8E2B739FD3}"/>
    <hyperlink ref="AB444" r:id="rId7" xr:uid="{A90D0C91-4853-44D4-85D4-17396D41EBCB}"/>
    <hyperlink ref="AB886" r:id="rId8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xr:uid="{21D6D58C-2674-4EA3-8932-C9DDE67C4F76}"/>
    <hyperlink ref="AB906" r:id="rId9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xr:uid="{19053DB7-04C5-4592-BE2E-E151D841465A}"/>
    <hyperlink ref="AB901" r:id="rId10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xr:uid="{2141F639-E3E5-4173-835F-6CC89D4F0DAD}"/>
    <hyperlink ref="AB896" r:id="rId11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xr:uid="{0603A67E-5E7E-43D4-8EDC-AC6F351D7E34}"/>
    <hyperlink ref="AK909" r:id="rId12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xr:uid="{D26389B5-B463-4E2C-8A8A-D5247F4EFD81}"/>
    <hyperlink ref="AB898" r:id="rId13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CPE%202024%2D2026%20Triennial%2Epdf&amp;parent=%2Fsites%2FFirstTracksGasBenchmarking%2FShared%20Documents%2FGeneral%2FTask%201%20Budget%2DSavings%2FUtility%20and%20Plan%20Data" xr:uid="{335B4F9F-C044-44AB-8813-CF27158F306C}"/>
    <hyperlink ref="AB708" r:id="rId14" display="../../Forms/AllItems.aspx?ct=1707257174708&amp;or=OWA%2DNT&amp;cid=cf506258%2D201b%2D6c39%2D04c5%2Dfea32a98cba9&amp;ga=1&amp;WSL=1&amp;id=%2Fsites%2FFirstTracksGasBenchmarking%2FShared%20Documents%2FGeneral%2FTask%201%20Budget%2DSavings%2FUtility%20and%20Plan%20Data%2FMN%20Xcel%2023%2D92%20%2D%202024%2D2026%20MN%20Triennial%20Plan%20062923%2Epdf&amp;parent=%2Fsites%2FFirstTracksGasBenchmarking%2FShared%20Documents%2FGeneral%2FTask%201%20Budget%2DSavings%2FUtility%20and%20Plan%20Data" xr:uid="{42F558FF-8090-4D31-89BA-07EA16EC7EC9}"/>
  </hyperlinks>
  <pageMargins left="0.7" right="0.7" top="0.75" bottom="0.75" header="0.3" footer="0.3"/>
  <pageSetup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93E4-F9DE-45F0-94E5-FA81689EC8BA}">
  <dimension ref="A1:AV353"/>
  <sheetViews>
    <sheetView zoomScale="80" zoomScaleNormal="80" workbookViewId="0"/>
  </sheetViews>
  <sheetFormatPr defaultRowHeight="15" x14ac:dyDescent="0.25"/>
  <cols>
    <col min="1" max="1" width="33.28515625" bestFit="1" customWidth="1"/>
    <col min="2" max="2" width="14.85546875" bestFit="1" customWidth="1"/>
    <col min="3" max="9" width="17" bestFit="1" customWidth="1"/>
    <col min="10" max="10" width="17" style="47" bestFit="1" customWidth="1"/>
    <col min="11" max="11" width="38.85546875" bestFit="1" customWidth="1"/>
    <col min="12" max="19" width="10.7109375" bestFit="1" customWidth="1"/>
    <col min="20" max="20" width="11" style="47" bestFit="1" customWidth="1"/>
    <col min="21" max="21" width="41.42578125" bestFit="1" customWidth="1"/>
    <col min="22" max="22" width="14.85546875" bestFit="1" customWidth="1"/>
    <col min="23" max="29" width="17" bestFit="1" customWidth="1"/>
    <col min="30" max="30" width="11.42578125" bestFit="1" customWidth="1"/>
    <col min="31" max="32" width="11" bestFit="1" customWidth="1"/>
    <col min="34" max="34" width="17.140625" bestFit="1" customWidth="1"/>
    <col min="35" max="35" width="15.28515625" bestFit="1" customWidth="1"/>
    <col min="36" max="41" width="15.140625" bestFit="1" customWidth="1"/>
    <col min="44" max="44" width="38.85546875" bestFit="1" customWidth="1"/>
    <col min="45" max="46" width="10.7109375" bestFit="1" customWidth="1"/>
    <col min="47" max="47" width="11" bestFit="1" customWidth="1"/>
  </cols>
  <sheetData>
    <row r="1" spans="1:47" x14ac:dyDescent="0.25">
      <c r="A1" s="2" t="s">
        <v>869</v>
      </c>
      <c r="B1" t="s">
        <v>870</v>
      </c>
      <c r="K1" s="2" t="s">
        <v>869</v>
      </c>
      <c r="L1" t="s">
        <v>870</v>
      </c>
      <c r="U1" s="2" t="s">
        <v>869</v>
      </c>
      <c r="V1" t="s">
        <v>870</v>
      </c>
      <c r="AH1" s="2" t="s">
        <v>869</v>
      </c>
      <c r="AI1" t="s">
        <v>870</v>
      </c>
      <c r="AR1" s="2" t="s">
        <v>869</v>
      </c>
      <c r="AS1" t="s">
        <v>870</v>
      </c>
    </row>
    <row r="2" spans="1:47" x14ac:dyDescent="0.25">
      <c r="A2" s="2" t="s">
        <v>105</v>
      </c>
      <c r="B2" t="s">
        <v>870</v>
      </c>
      <c r="K2" s="2" t="s">
        <v>105</v>
      </c>
      <c r="L2" t="s">
        <v>870</v>
      </c>
      <c r="U2" s="2" t="s">
        <v>105</v>
      </c>
      <c r="V2" t="s">
        <v>870</v>
      </c>
      <c r="AH2" s="2" t="s">
        <v>105</v>
      </c>
      <c r="AI2" t="s">
        <v>870</v>
      </c>
      <c r="AR2" s="2" t="s">
        <v>105</v>
      </c>
      <c r="AS2" t="s">
        <v>870</v>
      </c>
    </row>
    <row r="3" spans="1:47" x14ac:dyDescent="0.25">
      <c r="A3" s="2" t="s">
        <v>106</v>
      </c>
      <c r="B3" s="3">
        <v>2024</v>
      </c>
      <c r="K3" s="2" t="s">
        <v>106</v>
      </c>
      <c r="L3" s="3">
        <v>2024</v>
      </c>
      <c r="U3" s="2" t="s">
        <v>106</v>
      </c>
      <c r="V3" s="3">
        <v>2024</v>
      </c>
      <c r="AH3" s="2" t="s">
        <v>106</v>
      </c>
      <c r="AI3" s="3">
        <v>2024</v>
      </c>
      <c r="AR3" s="2" t="s">
        <v>106</v>
      </c>
      <c r="AS3" s="3">
        <v>2024</v>
      </c>
    </row>
    <row r="5" spans="1:47" x14ac:dyDescent="0.25">
      <c r="A5" s="2" t="s">
        <v>871</v>
      </c>
      <c r="B5" s="2" t="s">
        <v>5</v>
      </c>
      <c r="K5" s="2" t="s">
        <v>872</v>
      </c>
      <c r="L5" s="2" t="s">
        <v>5</v>
      </c>
      <c r="U5" s="2" t="s">
        <v>873</v>
      </c>
      <c r="V5" s="2" t="s">
        <v>5</v>
      </c>
      <c r="AH5" s="2" t="s">
        <v>874</v>
      </c>
      <c r="AJ5" s="2" t="s">
        <v>5</v>
      </c>
      <c r="AR5" s="2" t="s">
        <v>872</v>
      </c>
      <c r="AS5" s="2" t="s">
        <v>5</v>
      </c>
    </row>
    <row r="6" spans="1:47" x14ac:dyDescent="0.25">
      <c r="A6" s="2" t="s">
        <v>107</v>
      </c>
      <c r="B6" t="s">
        <v>135</v>
      </c>
      <c r="C6" t="s">
        <v>143</v>
      </c>
      <c r="D6" t="s">
        <v>146</v>
      </c>
      <c r="E6" t="s">
        <v>306</v>
      </c>
      <c r="F6" t="s">
        <v>875</v>
      </c>
      <c r="K6" s="2" t="s">
        <v>107</v>
      </c>
      <c r="L6" t="s">
        <v>135</v>
      </c>
      <c r="M6" t="s">
        <v>143</v>
      </c>
      <c r="N6" t="s">
        <v>146</v>
      </c>
      <c r="O6" t="s">
        <v>875</v>
      </c>
      <c r="U6" s="2" t="s">
        <v>107</v>
      </c>
      <c r="V6" t="s">
        <v>135</v>
      </c>
      <c r="W6" t="s">
        <v>143</v>
      </c>
      <c r="X6" t="s">
        <v>146</v>
      </c>
      <c r="Y6" t="s">
        <v>306</v>
      </c>
      <c r="Z6" t="s">
        <v>875</v>
      </c>
      <c r="AH6" s="2" t="s">
        <v>7</v>
      </c>
      <c r="AI6" s="2" t="s">
        <v>107</v>
      </c>
      <c r="AJ6" t="s">
        <v>135</v>
      </c>
      <c r="AK6" t="s">
        <v>143</v>
      </c>
      <c r="AL6" t="s">
        <v>146</v>
      </c>
      <c r="AM6" t="s">
        <v>875</v>
      </c>
      <c r="AR6" s="2" t="s">
        <v>107</v>
      </c>
      <c r="AS6" t="s">
        <v>135</v>
      </c>
      <c r="AT6" t="s">
        <v>146</v>
      </c>
      <c r="AU6" t="s">
        <v>875</v>
      </c>
    </row>
    <row r="7" spans="1:47" x14ac:dyDescent="0.25">
      <c r="A7" t="s">
        <v>876</v>
      </c>
      <c r="B7" s="19">
        <v>0.11231937200506813</v>
      </c>
      <c r="C7" s="19">
        <v>5.8157256882570195E-2</v>
      </c>
      <c r="D7" s="19">
        <v>5.615816285944962E-2</v>
      </c>
      <c r="E7" s="19"/>
      <c r="F7" s="19">
        <v>0.22663479174708795</v>
      </c>
      <c r="K7" t="s">
        <v>877</v>
      </c>
      <c r="L7" s="13">
        <v>11.28155038903126</v>
      </c>
      <c r="M7" s="13">
        <v>152.60876703332787</v>
      </c>
      <c r="N7" s="13">
        <v>5.4361912832882719</v>
      </c>
      <c r="O7" s="13">
        <v>169.3265087056474</v>
      </c>
      <c r="U7" t="s">
        <v>876</v>
      </c>
      <c r="V7" s="20">
        <v>0.11103952491363367</v>
      </c>
      <c r="W7" s="20">
        <v>5.7494571588499951E-2</v>
      </c>
      <c r="X7" s="20">
        <v>5.551825666951183E-2</v>
      </c>
      <c r="Y7" s="20"/>
      <c r="Z7" s="20">
        <v>0.22405235317164546</v>
      </c>
      <c r="AH7" t="s">
        <v>33</v>
      </c>
      <c r="AI7" t="s">
        <v>878</v>
      </c>
      <c r="AJ7" s="20">
        <v>56943458.520990402</v>
      </c>
      <c r="AK7" s="20">
        <v>17002978.567063998</v>
      </c>
      <c r="AL7" s="20">
        <v>30788259.898551352</v>
      </c>
      <c r="AM7" s="20">
        <v>104734696.98660576</v>
      </c>
      <c r="AR7" t="s">
        <v>879</v>
      </c>
      <c r="AS7" s="13">
        <v>21.620260672304887</v>
      </c>
      <c r="AT7" s="13">
        <v>10.890333614277415</v>
      </c>
      <c r="AU7" s="13">
        <v>32.510594286582304</v>
      </c>
    </row>
    <row r="8" spans="1:47" x14ac:dyDescent="0.25">
      <c r="A8" t="s">
        <v>879</v>
      </c>
      <c r="B8" s="19">
        <v>9.6008685004693464E-2</v>
      </c>
      <c r="C8" s="19">
        <v>4.0472980115883024E-2</v>
      </c>
      <c r="D8" s="19">
        <v>5.4010592266985687E-2</v>
      </c>
      <c r="E8" s="19"/>
      <c r="F8" s="19">
        <v>0.19049225738756217</v>
      </c>
      <c r="K8" t="s">
        <v>880</v>
      </c>
      <c r="L8" s="13">
        <v>8.7875439412002159</v>
      </c>
      <c r="M8" s="13">
        <v>75.746274751345922</v>
      </c>
      <c r="N8" s="13">
        <v>5.9358208430424337</v>
      </c>
      <c r="O8" s="13">
        <v>90.46963953558857</v>
      </c>
      <c r="U8" t="s">
        <v>879</v>
      </c>
      <c r="V8" s="20">
        <v>0.10865870254869255</v>
      </c>
      <c r="W8" s="20">
        <v>4.5805663388222576E-2</v>
      </c>
      <c r="X8" s="20">
        <v>6.1126979078301252E-2</v>
      </c>
      <c r="Y8" s="20"/>
      <c r="Z8" s="20">
        <v>0.21559134501521637</v>
      </c>
      <c r="AH8" t="s">
        <v>33</v>
      </c>
      <c r="AI8" t="s">
        <v>696</v>
      </c>
      <c r="AJ8" s="20">
        <v>24544234.101256393</v>
      </c>
      <c r="AK8" s="20">
        <v>7076185.8382324539</v>
      </c>
      <c r="AL8" s="20">
        <v>37565880.060511157</v>
      </c>
      <c r="AM8" s="20">
        <v>69186300</v>
      </c>
      <c r="AR8" t="s">
        <v>876</v>
      </c>
      <c r="AS8" s="13">
        <v>14.649391031750179</v>
      </c>
      <c r="AT8" s="13">
        <v>12.617118783548765</v>
      </c>
      <c r="AU8" s="13">
        <v>27.266509815298946</v>
      </c>
    </row>
    <row r="9" spans="1:47" x14ac:dyDescent="0.25">
      <c r="A9" t="s">
        <v>696</v>
      </c>
      <c r="B9" s="19">
        <v>1.7167641780857532E-2</v>
      </c>
      <c r="C9" s="19">
        <v>4.9494892830790485E-3</v>
      </c>
      <c r="D9" s="19">
        <v>2.6275726078920581E-2</v>
      </c>
      <c r="E9" s="19">
        <v>3.0881469979296066E-2</v>
      </c>
      <c r="F9" s="19">
        <v>7.9274327122153224E-2</v>
      </c>
      <c r="K9" t="s">
        <v>876</v>
      </c>
      <c r="L9" s="13">
        <v>14.649391031750179</v>
      </c>
      <c r="M9" s="13">
        <v>43.89451508613422</v>
      </c>
      <c r="N9" s="13">
        <v>12.617118783548765</v>
      </c>
      <c r="O9" s="13">
        <v>71.161024901433166</v>
      </c>
      <c r="U9" t="s">
        <v>696</v>
      </c>
      <c r="V9" s="20">
        <v>1.496748144609145E-2</v>
      </c>
      <c r="W9" s="20">
        <v>4.315175605231771E-3</v>
      </c>
      <c r="X9" s="20">
        <v>2.290829734153392E-2</v>
      </c>
      <c r="Y9" s="20">
        <v>2.6923781078571421E-2</v>
      </c>
      <c r="Z9" s="20">
        <v>6.9114735471428559E-2</v>
      </c>
      <c r="AH9" t="s">
        <v>534</v>
      </c>
      <c r="AI9" t="s">
        <v>881</v>
      </c>
      <c r="AJ9" s="20">
        <v>10494659</v>
      </c>
      <c r="AK9" s="20">
        <v>8046942</v>
      </c>
      <c r="AL9" s="20">
        <v>1885289</v>
      </c>
      <c r="AM9" s="20">
        <v>20426890</v>
      </c>
      <c r="AR9" t="s">
        <v>696</v>
      </c>
      <c r="AS9" s="13">
        <v>15.04497268757507</v>
      </c>
      <c r="AT9" s="13">
        <v>6.3539655284199252</v>
      </c>
      <c r="AU9" s="13">
        <v>21.398938215994995</v>
      </c>
    </row>
    <row r="10" spans="1:47" x14ac:dyDescent="0.25">
      <c r="A10" t="s">
        <v>882</v>
      </c>
      <c r="B10" s="19">
        <v>3.8924200428686592E-2</v>
      </c>
      <c r="C10" s="19">
        <v>2.5819556192405993E-4</v>
      </c>
      <c r="D10" s="19">
        <v>2.1141911709987728E-2</v>
      </c>
      <c r="E10" s="19"/>
      <c r="F10" s="19">
        <v>6.0324307700598379E-2</v>
      </c>
      <c r="K10" t="s">
        <v>879</v>
      </c>
      <c r="L10" s="13">
        <v>21.620260672304887</v>
      </c>
      <c r="M10" s="13">
        <v>33.631346483451907</v>
      </c>
      <c r="N10" s="13">
        <v>10.890333614277415</v>
      </c>
      <c r="O10" s="13">
        <v>66.141940770034211</v>
      </c>
      <c r="U10" t="s">
        <v>883</v>
      </c>
      <c r="V10" s="20">
        <v>1.4315398294863288E-2</v>
      </c>
      <c r="W10" s="20">
        <v>1.1415068611549142E-2</v>
      </c>
      <c r="X10" s="20">
        <v>1.1971501951458019E-2</v>
      </c>
      <c r="Y10" s="20">
        <v>5.9080298908511034E-3</v>
      </c>
      <c r="Z10" s="20">
        <v>4.3609998748721554E-2</v>
      </c>
      <c r="AH10" t="s">
        <v>17</v>
      </c>
      <c r="AI10" t="s">
        <v>884</v>
      </c>
      <c r="AJ10" s="20">
        <v>6923708</v>
      </c>
      <c r="AK10" s="20">
        <v>5108945</v>
      </c>
      <c r="AL10" s="20">
        <v>9429314</v>
      </c>
      <c r="AM10" s="20">
        <v>21461967</v>
      </c>
      <c r="AR10" t="s">
        <v>877</v>
      </c>
      <c r="AS10" s="13">
        <v>11.28155038903126</v>
      </c>
      <c r="AT10" s="13">
        <v>5.4361912832882719</v>
      </c>
      <c r="AU10" s="13">
        <v>16.717741672319534</v>
      </c>
    </row>
    <row r="11" spans="1:47" x14ac:dyDescent="0.25">
      <c r="A11" t="s">
        <v>885</v>
      </c>
      <c r="B11" s="19">
        <v>2.5348849782068073E-2</v>
      </c>
      <c r="C11" s="19">
        <v>7.9704609310465684E-3</v>
      </c>
      <c r="D11" s="19">
        <v>1.3131320294626207E-2</v>
      </c>
      <c r="E11" s="19">
        <v>8.383213430562959E-3</v>
      </c>
      <c r="F11" s="19">
        <v>5.483384443830381E-2</v>
      </c>
      <c r="K11" t="s">
        <v>882</v>
      </c>
      <c r="L11" s="13">
        <v>9.7384057448641297</v>
      </c>
      <c r="M11" s="13">
        <v>32.705622119815665</v>
      </c>
      <c r="N11" s="13">
        <v>5.0404617198303887</v>
      </c>
      <c r="O11" s="13">
        <v>47.484489584510186</v>
      </c>
      <c r="U11" t="s">
        <v>884</v>
      </c>
      <c r="V11" s="20">
        <v>1.2242369415797278E-2</v>
      </c>
      <c r="W11" s="20">
        <v>9.0335398337119972E-3</v>
      </c>
      <c r="X11" s="20">
        <v>1.6672734512424427E-2</v>
      </c>
      <c r="Y11" s="20">
        <v>4.4310051781742783E-3</v>
      </c>
      <c r="Z11" s="20">
        <v>4.2379648940107977E-2</v>
      </c>
      <c r="AH11" t="s">
        <v>17</v>
      </c>
      <c r="AI11" t="s">
        <v>883</v>
      </c>
      <c r="AJ11" s="20">
        <v>5399880</v>
      </c>
      <c r="AK11" s="20">
        <v>4305853</v>
      </c>
      <c r="AL11" s="20">
        <v>4515744</v>
      </c>
      <c r="AM11" s="20">
        <v>14221477</v>
      </c>
      <c r="AR11" t="s">
        <v>883</v>
      </c>
      <c r="AS11" s="13">
        <v>9.4926256726931673</v>
      </c>
      <c r="AT11" s="13">
        <v>6.7285877658411444</v>
      </c>
      <c r="AU11" s="13">
        <v>16.221213438534313</v>
      </c>
    </row>
    <row r="12" spans="1:47" x14ac:dyDescent="0.25">
      <c r="A12" t="s">
        <v>877</v>
      </c>
      <c r="B12" s="19">
        <v>2.9511702163517839E-2</v>
      </c>
      <c r="C12" s="19">
        <v>5.6240874448609786E-3</v>
      </c>
      <c r="D12" s="19">
        <v>1.6921924005675541E-2</v>
      </c>
      <c r="E12" s="19"/>
      <c r="F12" s="19">
        <v>5.2057713614054361E-2</v>
      </c>
      <c r="K12" t="s">
        <v>883</v>
      </c>
      <c r="L12" s="13">
        <v>9.4926256726931673</v>
      </c>
      <c r="M12" s="13">
        <v>17.752481684593711</v>
      </c>
      <c r="N12" s="13">
        <v>6.7285877658411444</v>
      </c>
      <c r="O12" s="13">
        <v>33.973695123128024</v>
      </c>
      <c r="U12" t="s">
        <v>886</v>
      </c>
      <c r="V12" s="20">
        <v>1.5490042941911801E-2</v>
      </c>
      <c r="W12" s="20">
        <v>9.511000870666449E-3</v>
      </c>
      <c r="X12" s="20">
        <v>1.0105041254961219E-2</v>
      </c>
      <c r="Y12" s="20">
        <v>5.9613746966046908E-3</v>
      </c>
      <c r="Z12" s="20">
        <v>4.1067459764144158E-2</v>
      </c>
      <c r="AH12" t="s">
        <v>17</v>
      </c>
      <c r="AI12" t="s">
        <v>886</v>
      </c>
      <c r="AJ12" s="20">
        <v>5711213</v>
      </c>
      <c r="AK12" s="20">
        <v>3506727</v>
      </c>
      <c r="AL12" s="20">
        <v>3725751</v>
      </c>
      <c r="AM12" s="20">
        <v>12943691</v>
      </c>
      <c r="AR12" t="s">
        <v>886</v>
      </c>
      <c r="AS12" s="13">
        <v>9.6222556862579758</v>
      </c>
      <c r="AT12" s="13">
        <v>5.948214848246109</v>
      </c>
      <c r="AU12" s="13">
        <v>15.570470534504086</v>
      </c>
    </row>
    <row r="13" spans="1:47" x14ac:dyDescent="0.25">
      <c r="A13" t="s">
        <v>887</v>
      </c>
      <c r="B13" s="19">
        <v>1.2789611956587774E-2</v>
      </c>
      <c r="C13" s="19">
        <v>1.5940258394020305E-2</v>
      </c>
      <c r="D13" s="19">
        <v>1.1699981819438784E-2</v>
      </c>
      <c r="E13" s="19">
        <v>3.0579282680809963E-3</v>
      </c>
      <c r="F13" s="19">
        <v>4.3487780438127857E-2</v>
      </c>
      <c r="K13" t="s">
        <v>886</v>
      </c>
      <c r="L13" s="13">
        <v>9.6222556862579758</v>
      </c>
      <c r="M13" s="13">
        <v>18.024674354051161</v>
      </c>
      <c r="N13" s="13">
        <v>5.948214848246109</v>
      </c>
      <c r="O13" s="13">
        <v>33.595144888555247</v>
      </c>
      <c r="U13" t="s">
        <v>882</v>
      </c>
      <c r="V13" s="20">
        <v>2.5347706539764661E-2</v>
      </c>
      <c r="W13" s="20">
        <v>1.6813872247706797E-4</v>
      </c>
      <c r="X13" s="20">
        <v>1.3767758048009456E-2</v>
      </c>
      <c r="Y13" s="20"/>
      <c r="Z13" s="20">
        <v>3.9283603310251186E-2</v>
      </c>
      <c r="AH13" t="s">
        <v>28</v>
      </c>
      <c r="AI13" t="s">
        <v>888</v>
      </c>
      <c r="AJ13" s="20">
        <v>11978000</v>
      </c>
      <c r="AK13" s="20">
        <v>12999999.999999998</v>
      </c>
      <c r="AL13" s="20">
        <v>11021000</v>
      </c>
      <c r="AM13" s="20">
        <v>35999000</v>
      </c>
      <c r="AR13" t="s">
        <v>882</v>
      </c>
      <c r="AS13" s="13">
        <v>9.7384057448641297</v>
      </c>
      <c r="AT13" s="13">
        <v>5.0404617198303887</v>
      </c>
      <c r="AU13" s="13">
        <v>14.778867464694518</v>
      </c>
    </row>
    <row r="14" spans="1:47" x14ac:dyDescent="0.25">
      <c r="A14" t="s">
        <v>883</v>
      </c>
      <c r="B14" s="19">
        <v>1.387383394578679E-2</v>
      </c>
      <c r="C14" s="19">
        <v>1.1062966124611636E-2</v>
      </c>
      <c r="D14" s="19">
        <v>1.1602236049260913E-2</v>
      </c>
      <c r="E14" s="19">
        <v>5.7257942785863538E-3</v>
      </c>
      <c r="F14" s="19">
        <v>4.226483039824569E-2</v>
      </c>
      <c r="K14" t="s">
        <v>696</v>
      </c>
      <c r="L14" s="13">
        <v>15.04497268757507</v>
      </c>
      <c r="M14" s="13">
        <v>11.623935315190272</v>
      </c>
      <c r="N14" s="13">
        <v>6.3539655284199252</v>
      </c>
      <c r="O14" s="13">
        <v>33.022873531185269</v>
      </c>
      <c r="U14" t="s">
        <v>885</v>
      </c>
      <c r="V14" s="20">
        <v>1.6023713098854774E-2</v>
      </c>
      <c r="W14" s="20">
        <v>5.0383500759497366E-3</v>
      </c>
      <c r="X14" s="20">
        <v>8.3006728439057823E-3</v>
      </c>
      <c r="Y14" s="20">
        <v>5.2992624127992157E-3</v>
      </c>
      <c r="Z14" s="20">
        <v>3.4661998431509508E-2</v>
      </c>
      <c r="AH14" t="s">
        <v>28</v>
      </c>
      <c r="AI14" t="s">
        <v>889</v>
      </c>
      <c r="AJ14" s="20">
        <v>4229987</v>
      </c>
      <c r="AK14" s="20">
        <v>12417831</v>
      </c>
      <c r="AL14" s="20">
        <v>7022681</v>
      </c>
      <c r="AM14" s="20">
        <v>23670499</v>
      </c>
      <c r="AR14" t="s">
        <v>880</v>
      </c>
      <c r="AS14" s="13">
        <v>8.7875439412002159</v>
      </c>
      <c r="AT14" s="13">
        <v>5.9358208430424337</v>
      </c>
      <c r="AU14" s="13">
        <v>14.72336478424265</v>
      </c>
    </row>
    <row r="15" spans="1:47" x14ac:dyDescent="0.25">
      <c r="A15" t="s">
        <v>890</v>
      </c>
      <c r="B15" s="19">
        <v>1.7710529001234918E-2</v>
      </c>
      <c r="C15" s="19"/>
      <c r="D15" s="19">
        <v>2.3108924146775057E-2</v>
      </c>
      <c r="E15" s="19"/>
      <c r="F15" s="19">
        <v>4.0819453148009971E-2</v>
      </c>
      <c r="K15" t="s">
        <v>891</v>
      </c>
      <c r="L15" s="13">
        <v>4.0691016376357361</v>
      </c>
      <c r="M15" s="13">
        <v>21.970628538172583</v>
      </c>
      <c r="N15" s="13">
        <v>0.94105293411030155</v>
      </c>
      <c r="O15" s="13">
        <v>26.980783109918622</v>
      </c>
      <c r="U15" t="s">
        <v>877</v>
      </c>
      <c r="V15" s="20">
        <v>1.8551257219320098E-2</v>
      </c>
      <c r="W15" s="20">
        <v>3.5353397183081358E-3</v>
      </c>
      <c r="X15" s="20">
        <v>1.063723682001453E-2</v>
      </c>
      <c r="Y15" s="20"/>
      <c r="Z15" s="20">
        <v>3.2723833757642762E-2</v>
      </c>
      <c r="AH15" t="s">
        <v>28</v>
      </c>
      <c r="AI15" t="s">
        <v>559</v>
      </c>
      <c r="AJ15" s="20">
        <v>2096418</v>
      </c>
      <c r="AK15" s="20">
        <v>7537768</v>
      </c>
      <c r="AL15" s="20">
        <v>4857421</v>
      </c>
      <c r="AM15" s="20">
        <v>14491607</v>
      </c>
      <c r="AR15" t="s">
        <v>890</v>
      </c>
      <c r="AS15" s="13">
        <v>7.9440128482843315</v>
      </c>
      <c r="AT15" s="13">
        <v>5.5169847595576602</v>
      </c>
      <c r="AU15" s="13">
        <v>13.460997607841993</v>
      </c>
    </row>
    <row r="16" spans="1:47" x14ac:dyDescent="0.25">
      <c r="A16" t="s">
        <v>891</v>
      </c>
      <c r="B16" s="19">
        <v>2.365775953849375E-2</v>
      </c>
      <c r="C16" s="19">
        <v>7.4007394511676431E-3</v>
      </c>
      <c r="D16" s="19">
        <v>9.7450568938188143E-3</v>
      </c>
      <c r="E16" s="19">
        <v>0</v>
      </c>
      <c r="F16" s="19">
        <v>4.0803555883480204E-2</v>
      </c>
      <c r="K16" t="s">
        <v>892</v>
      </c>
      <c r="L16" s="13">
        <v>2.3720127363567816</v>
      </c>
      <c r="M16" s="13">
        <v>16.193527367506515</v>
      </c>
      <c r="N16" s="13">
        <v>1.2314910900607761</v>
      </c>
      <c r="O16" s="13">
        <v>19.797031193924074</v>
      </c>
      <c r="U16" t="s">
        <v>887</v>
      </c>
      <c r="V16" s="20">
        <v>8.7208648168311722E-3</v>
      </c>
      <c r="W16" s="20">
        <v>1.0869199086842163E-2</v>
      </c>
      <c r="X16" s="20">
        <v>7.977877683314042E-3</v>
      </c>
      <c r="Y16" s="20">
        <v>2.0851124440694848E-3</v>
      </c>
      <c r="Z16" s="20">
        <v>2.9653054031056864E-2</v>
      </c>
      <c r="AH16" t="s">
        <v>28</v>
      </c>
      <c r="AI16" t="s">
        <v>893</v>
      </c>
      <c r="AJ16" s="20">
        <v>916510</v>
      </c>
      <c r="AK16" s="20">
        <v>773839</v>
      </c>
      <c r="AL16" s="20">
        <v>1507369</v>
      </c>
      <c r="AM16" s="20">
        <v>3197718</v>
      </c>
      <c r="AR16" t="s">
        <v>894</v>
      </c>
      <c r="AS16" s="13">
        <v>4.26097720158781</v>
      </c>
      <c r="AT16" s="13">
        <v>2.8361595476753756</v>
      </c>
      <c r="AU16" s="13">
        <v>7.0971367492631856</v>
      </c>
    </row>
    <row r="17" spans="1:48" x14ac:dyDescent="0.25">
      <c r="A17" t="s">
        <v>884</v>
      </c>
      <c r="B17" s="19">
        <v>1.1683584411084687E-2</v>
      </c>
      <c r="C17" s="19">
        <v>8.6212171511405537E-3</v>
      </c>
      <c r="D17" s="19">
        <v>1.591173198777629E-2</v>
      </c>
      <c r="E17" s="19">
        <v>4.2287584426548711E-3</v>
      </c>
      <c r="F17" s="19">
        <v>4.0445291992656403E-2</v>
      </c>
      <c r="K17" t="s">
        <v>895</v>
      </c>
      <c r="L17" s="13">
        <v>4.2393359936876358</v>
      </c>
      <c r="M17" s="13">
        <v>12.351539842563183</v>
      </c>
      <c r="N17" s="13">
        <v>2.3268592124552803</v>
      </c>
      <c r="O17" s="13">
        <v>18.917735048706096</v>
      </c>
      <c r="U17" t="s">
        <v>891</v>
      </c>
      <c r="V17" s="20">
        <v>1.6260179509188136E-2</v>
      </c>
      <c r="W17" s="20">
        <v>5.0865912209866844E-3</v>
      </c>
      <c r="X17" s="20">
        <v>6.6978605545009225E-3</v>
      </c>
      <c r="Y17" s="20">
        <v>0</v>
      </c>
      <c r="Z17" s="20">
        <v>2.8044631284675742E-2</v>
      </c>
      <c r="AH17" t="s">
        <v>134</v>
      </c>
      <c r="AI17" t="s">
        <v>876</v>
      </c>
      <c r="AJ17" s="20">
        <v>138265948</v>
      </c>
      <c r="AK17" s="20">
        <v>71591998</v>
      </c>
      <c r="AL17" s="20">
        <v>69131099</v>
      </c>
      <c r="AM17" s="20">
        <v>278989045</v>
      </c>
      <c r="AR17" t="s">
        <v>878</v>
      </c>
      <c r="AS17" s="13">
        <v>5.8216066425171036</v>
      </c>
      <c r="AT17" s="13">
        <v>1.0819000097930758</v>
      </c>
      <c r="AU17" s="13">
        <v>6.9035066523101793</v>
      </c>
    </row>
    <row r="18" spans="1:48" x14ac:dyDescent="0.25">
      <c r="A18" t="s">
        <v>892</v>
      </c>
      <c r="B18" s="19">
        <v>1.4024469434133314E-2</v>
      </c>
      <c r="C18" s="19">
        <v>1.5081939824008732E-2</v>
      </c>
      <c r="D18" s="19">
        <v>9.8221047724969309E-3</v>
      </c>
      <c r="E18" s="19"/>
      <c r="F18" s="19">
        <v>3.8928514030638975E-2</v>
      </c>
      <c r="K18" t="s">
        <v>885</v>
      </c>
      <c r="L18" s="13">
        <v>2.9365083209660168</v>
      </c>
      <c r="M18" s="13">
        <v>14.349433665263662</v>
      </c>
      <c r="N18" s="13">
        <v>0.94501999879624199</v>
      </c>
      <c r="O18" s="13">
        <v>18.230961985025921</v>
      </c>
      <c r="U18" t="s">
        <v>880</v>
      </c>
      <c r="V18" s="20">
        <v>1.6234451645455495E-2</v>
      </c>
      <c r="W18" s="20">
        <v>1.3699483523845531E-3</v>
      </c>
      <c r="X18" s="20">
        <v>6.4566057108783681E-3</v>
      </c>
      <c r="Y18" s="20"/>
      <c r="Z18" s="20">
        <v>2.4061005708718414E-2</v>
      </c>
      <c r="AH18" t="s">
        <v>134</v>
      </c>
      <c r="AI18" t="s">
        <v>879</v>
      </c>
      <c r="AJ18" s="20">
        <v>94630000</v>
      </c>
      <c r="AK18" s="20">
        <v>39891788</v>
      </c>
      <c r="AL18" s="20">
        <v>53235000</v>
      </c>
      <c r="AM18" s="20">
        <v>187756788</v>
      </c>
      <c r="AR18" t="s">
        <v>895</v>
      </c>
      <c r="AS18" s="13">
        <v>4.2393359936876358</v>
      </c>
      <c r="AT18" s="13">
        <v>2.3268592124552803</v>
      </c>
      <c r="AU18" s="13">
        <v>6.5661952061429165</v>
      </c>
    </row>
    <row r="19" spans="1:48" x14ac:dyDescent="0.25">
      <c r="A19" t="s">
        <v>886</v>
      </c>
      <c r="B19" s="19">
        <v>1.4538880294216251E-2</v>
      </c>
      <c r="C19" s="19">
        <v>8.9269799738682602E-3</v>
      </c>
      <c r="D19" s="19">
        <v>9.4845434402562965E-3</v>
      </c>
      <c r="E19" s="19">
        <v>5.5953178069245678E-3</v>
      </c>
      <c r="F19" s="19">
        <v>3.8545721515265377E-2</v>
      </c>
      <c r="K19" t="s">
        <v>887</v>
      </c>
      <c r="L19" s="13">
        <v>2.6292065116349268</v>
      </c>
      <c r="M19" s="13">
        <v>11.537427733740031</v>
      </c>
      <c r="N19" s="13">
        <v>1.7401690706614263</v>
      </c>
      <c r="O19" s="13">
        <v>15.906803316036385</v>
      </c>
      <c r="U19" t="s">
        <v>890</v>
      </c>
      <c r="V19" s="20">
        <v>9.1924643125185987E-3</v>
      </c>
      <c r="W19" s="20"/>
      <c r="X19" s="20">
        <v>1.1994444689095222E-2</v>
      </c>
      <c r="Y19" s="20"/>
      <c r="Z19" s="20">
        <v>2.118690900161382E-2</v>
      </c>
      <c r="AH19" t="s">
        <v>199</v>
      </c>
      <c r="AI19" t="s">
        <v>887</v>
      </c>
      <c r="AJ19" s="20">
        <v>25274338.275332786</v>
      </c>
      <c r="AK19" s="20">
        <v>31500524.348525196</v>
      </c>
      <c r="AL19" s="20">
        <v>23121053.18937555</v>
      </c>
      <c r="AM19" s="20">
        <v>79895915.813233525</v>
      </c>
      <c r="AR19" t="s">
        <v>884</v>
      </c>
      <c r="AS19" s="13">
        <v>3.2662321696489505</v>
      </c>
      <c r="AT19" s="13">
        <v>2.6829010052568427</v>
      </c>
      <c r="AU19" s="13">
        <v>5.9491331749057927</v>
      </c>
    </row>
    <row r="20" spans="1:48" x14ac:dyDescent="0.25">
      <c r="A20" t="s">
        <v>878</v>
      </c>
      <c r="B20" s="19">
        <v>1.6625522426811104E-2</v>
      </c>
      <c r="C20" s="19">
        <v>4.9642822693164793E-3</v>
      </c>
      <c r="D20" s="19">
        <v>8.9891081209471958E-3</v>
      </c>
      <c r="E20" s="19">
        <v>4.2364990116381942E-3</v>
      </c>
      <c r="F20" s="19">
        <v>3.4815411828712971E-2</v>
      </c>
      <c r="K20" t="s">
        <v>878</v>
      </c>
      <c r="L20" s="13">
        <v>5.8216066425171036</v>
      </c>
      <c r="M20" s="13">
        <v>6.6612419077592238</v>
      </c>
      <c r="N20" s="13">
        <v>1.0819000097930758</v>
      </c>
      <c r="O20" s="13">
        <v>13.564748560069402</v>
      </c>
      <c r="U20" t="s">
        <v>892</v>
      </c>
      <c r="V20" s="20">
        <v>7.424919411004002E-3</v>
      </c>
      <c r="W20" s="20">
        <v>7.9847717791255608E-3</v>
      </c>
      <c r="X20" s="20">
        <v>5.2000781009748304E-3</v>
      </c>
      <c r="Y20" s="20"/>
      <c r="Z20" s="20">
        <v>2.0609769291104394E-2</v>
      </c>
      <c r="AH20" t="s">
        <v>199</v>
      </c>
      <c r="AI20" t="s">
        <v>892</v>
      </c>
      <c r="AJ20" s="20">
        <v>17955842</v>
      </c>
      <c r="AK20" s="20">
        <v>19309745</v>
      </c>
      <c r="AL20" s="20">
        <v>12575460.5</v>
      </c>
      <c r="AM20" s="20">
        <v>49841047.5</v>
      </c>
      <c r="AR20" t="s">
        <v>896</v>
      </c>
      <c r="AS20" s="13">
        <v>2.7780066865405431</v>
      </c>
      <c r="AT20" s="13">
        <v>2.9024622521704004</v>
      </c>
      <c r="AU20" s="13">
        <v>5.680468938710943</v>
      </c>
    </row>
    <row r="21" spans="1:48" x14ac:dyDescent="0.25">
      <c r="A21" t="s">
        <v>896</v>
      </c>
      <c r="B21" s="19">
        <v>2.4951261382359338E-2</v>
      </c>
      <c r="C21" s="19">
        <v>8.5340400889490141E-4</v>
      </c>
      <c r="D21" s="19">
        <v>3.0220409273438143E-3</v>
      </c>
      <c r="E21" s="19"/>
      <c r="F21" s="19">
        <v>2.8826706318598051E-2</v>
      </c>
      <c r="K21" t="s">
        <v>890</v>
      </c>
      <c r="L21" s="13">
        <v>7.9440128482843315</v>
      </c>
      <c r="M21" s="13"/>
      <c r="N21" s="13">
        <v>5.5169847595576602</v>
      </c>
      <c r="O21" s="13">
        <v>13.460997607841993</v>
      </c>
      <c r="U21" t="s">
        <v>895</v>
      </c>
      <c r="V21" s="20">
        <v>1.0412668735788538E-2</v>
      </c>
      <c r="W21" s="20">
        <v>2.9027368092297639E-3</v>
      </c>
      <c r="X21" s="20">
        <v>5.3647528013201964E-3</v>
      </c>
      <c r="Y21" s="20"/>
      <c r="Z21" s="20">
        <v>1.8680158346338498E-2</v>
      </c>
      <c r="AH21" t="s">
        <v>241</v>
      </c>
      <c r="AI21" t="s">
        <v>891</v>
      </c>
      <c r="AJ21" s="20">
        <v>26549464</v>
      </c>
      <c r="AK21" s="20">
        <v>8305337</v>
      </c>
      <c r="AL21" s="20">
        <v>10936202</v>
      </c>
      <c r="AM21" s="20">
        <v>45791003</v>
      </c>
      <c r="AR21" t="s">
        <v>559</v>
      </c>
      <c r="AS21" s="13">
        <v>2.2278002945720949</v>
      </c>
      <c r="AT21" s="13">
        <v>3.0973966141381317</v>
      </c>
      <c r="AU21" s="13">
        <v>5.3251969087102271</v>
      </c>
    </row>
    <row r="22" spans="1:48" x14ac:dyDescent="0.25">
      <c r="A22" t="s">
        <v>880</v>
      </c>
      <c r="B22" s="19">
        <v>1.8629591693345795E-2</v>
      </c>
      <c r="C22" s="19">
        <v>1.5720628576352492E-3</v>
      </c>
      <c r="D22" s="19">
        <v>7.409177146569022E-3</v>
      </c>
      <c r="E22" s="19"/>
      <c r="F22" s="19">
        <v>2.7610831697550069E-2</v>
      </c>
      <c r="K22" t="s">
        <v>888</v>
      </c>
      <c r="L22" s="13">
        <v>2.2181481481481482</v>
      </c>
      <c r="M22" s="13">
        <v>9.1743119266055047</v>
      </c>
      <c r="N22" s="13">
        <v>1.5216070688941046</v>
      </c>
      <c r="O22" s="13">
        <v>12.914067143647758</v>
      </c>
      <c r="U22" t="s">
        <v>894</v>
      </c>
      <c r="V22" s="20">
        <v>1.0055164987684068E-2</v>
      </c>
      <c r="W22" s="20">
        <v>1.9211427573698041E-4</v>
      </c>
      <c r="X22" s="20">
        <v>8.1020164915412279E-3</v>
      </c>
      <c r="Y22" s="20"/>
      <c r="Z22" s="20">
        <v>1.8349295754962275E-2</v>
      </c>
      <c r="AH22" t="s">
        <v>241</v>
      </c>
      <c r="AI22" t="s">
        <v>885</v>
      </c>
      <c r="AJ22" s="20">
        <v>13336270</v>
      </c>
      <c r="AK22" s="20">
        <v>4193335</v>
      </c>
      <c r="AL22" s="20">
        <v>6908512</v>
      </c>
      <c r="AM22" s="20">
        <v>24438117</v>
      </c>
      <c r="AR22" t="s">
        <v>891</v>
      </c>
      <c r="AS22" s="13">
        <v>4.0691016376357361</v>
      </c>
      <c r="AT22" s="13">
        <v>0.94105293411030155</v>
      </c>
      <c r="AU22" s="13">
        <v>5.0101545717460372</v>
      </c>
    </row>
    <row r="23" spans="1:48" x14ac:dyDescent="0.25">
      <c r="A23" t="s">
        <v>895</v>
      </c>
      <c r="B23" s="19">
        <v>1.28283498595909E-2</v>
      </c>
      <c r="C23" s="19">
        <v>3.5761555739429796E-3</v>
      </c>
      <c r="D23" s="19">
        <v>6.6093455570152742E-3</v>
      </c>
      <c r="E23" s="19"/>
      <c r="F23" s="19">
        <v>2.3013850990549152E-2</v>
      </c>
      <c r="K23" t="s">
        <v>884</v>
      </c>
      <c r="L23" s="13">
        <v>3.2662321696489505</v>
      </c>
      <c r="M23" s="13">
        <v>6.4657539912191355</v>
      </c>
      <c r="N23" s="13">
        <v>2.6829010052568427</v>
      </c>
      <c r="O23" s="13">
        <v>12.414887166124929</v>
      </c>
      <c r="U23" t="s">
        <v>896</v>
      </c>
      <c r="V23" s="20">
        <v>1.4254792375023962E-2</v>
      </c>
      <c r="W23" s="20">
        <v>4.8755438742711037E-4</v>
      </c>
      <c r="X23" s="20">
        <v>1.7265085443162285E-3</v>
      </c>
      <c r="Y23" s="20"/>
      <c r="Z23" s="20">
        <v>1.64688553067673E-2</v>
      </c>
      <c r="AH23" t="s">
        <v>22</v>
      </c>
      <c r="AI23" t="s">
        <v>894</v>
      </c>
      <c r="AJ23" s="20">
        <v>23046390</v>
      </c>
      <c r="AK23" s="20">
        <v>440325</v>
      </c>
      <c r="AL23" s="20">
        <v>18569783</v>
      </c>
      <c r="AM23" s="20">
        <v>42056498</v>
      </c>
      <c r="AR23" t="s">
        <v>887</v>
      </c>
      <c r="AS23" s="13">
        <v>2.6292065116349268</v>
      </c>
      <c r="AT23" s="13">
        <v>1.7401690706614263</v>
      </c>
      <c r="AU23" s="13">
        <v>4.3693755822963531</v>
      </c>
    </row>
    <row r="24" spans="1:48" x14ac:dyDescent="0.25">
      <c r="A24" t="s">
        <v>888</v>
      </c>
      <c r="B24" s="19">
        <v>5.4521973210495097E-3</v>
      </c>
      <c r="C24" s="19">
        <v>5.9173956565072329E-3</v>
      </c>
      <c r="D24" s="19">
        <v>5.0165859638743237E-3</v>
      </c>
      <c r="E24" s="19">
        <v>4.4175634497232831E-3</v>
      </c>
      <c r="F24" s="19">
        <v>2.0803742391154349E-2</v>
      </c>
      <c r="K24" t="s">
        <v>559</v>
      </c>
      <c r="L24" s="13">
        <v>2.2278002945720949</v>
      </c>
      <c r="M24" s="13">
        <v>6.7762527193944511</v>
      </c>
      <c r="N24" s="13">
        <v>3.0973966141381317</v>
      </c>
      <c r="O24" s="13">
        <v>12.101449628104678</v>
      </c>
      <c r="U24" t="s">
        <v>889</v>
      </c>
      <c r="V24" s="20">
        <v>2.7111565377859054E-3</v>
      </c>
      <c r="W24" s="20">
        <v>7.9590513400562418E-3</v>
      </c>
      <c r="X24" s="20">
        <v>4.5010983499322475E-3</v>
      </c>
      <c r="Y24" s="20">
        <v>4.4865612505431653E-4</v>
      </c>
      <c r="Z24" s="20">
        <v>1.5619962352828712E-2</v>
      </c>
      <c r="AH24" t="s">
        <v>22</v>
      </c>
      <c r="AI24" t="s">
        <v>895</v>
      </c>
      <c r="AJ24" s="20">
        <v>22458052</v>
      </c>
      <c r="AK24" s="20">
        <v>6260625</v>
      </c>
      <c r="AL24" s="20">
        <v>11570703</v>
      </c>
      <c r="AM24" s="20">
        <v>40289380</v>
      </c>
      <c r="AR24" t="s">
        <v>885</v>
      </c>
      <c r="AS24" s="13">
        <v>2.9365083209660168</v>
      </c>
      <c r="AT24" s="13">
        <v>0.94501999879624199</v>
      </c>
      <c r="AU24" s="13">
        <v>3.8815283197622588</v>
      </c>
    </row>
    <row r="25" spans="1:48" x14ac:dyDescent="0.25">
      <c r="A25" t="s">
        <v>894</v>
      </c>
      <c r="B25" s="19">
        <v>1.0779035962732853E-2</v>
      </c>
      <c r="C25" s="19">
        <v>2.0594457571404215E-4</v>
      </c>
      <c r="D25" s="19">
        <v>8.6852803748068644E-3</v>
      </c>
      <c r="E25" s="19"/>
      <c r="F25" s="19">
        <v>1.9670260913253759E-2</v>
      </c>
      <c r="K25" t="s">
        <v>893</v>
      </c>
      <c r="L25" s="13">
        <v>1.7244844007834887</v>
      </c>
      <c r="M25" s="13">
        <v>7.435683331571715</v>
      </c>
      <c r="N25" s="13">
        <v>1.7676667702537101</v>
      </c>
      <c r="O25" s="13">
        <v>10.927834502608913</v>
      </c>
      <c r="U25" t="s">
        <v>878</v>
      </c>
      <c r="V25" s="20">
        <v>6.2110322858816933E-3</v>
      </c>
      <c r="W25" s="20">
        <v>1.8545773575951775E-3</v>
      </c>
      <c r="X25" s="20">
        <v>3.3581886527937086E-3</v>
      </c>
      <c r="Y25" s="20">
        <v>1.582689040673818E-3</v>
      </c>
      <c r="Z25" s="20">
        <v>1.3006487336944398E-2</v>
      </c>
      <c r="AH25" t="s">
        <v>324</v>
      </c>
      <c r="AI25" t="s">
        <v>882</v>
      </c>
      <c r="AJ25" s="20">
        <v>26748109</v>
      </c>
      <c r="AK25" s="20">
        <v>177428</v>
      </c>
      <c r="AL25" s="20">
        <v>14528395</v>
      </c>
      <c r="AM25" s="20">
        <v>41453932</v>
      </c>
      <c r="AR25" t="s">
        <v>888</v>
      </c>
      <c r="AS25" s="13">
        <v>2.2181481481481482</v>
      </c>
      <c r="AT25" s="13">
        <v>1.5216070688941046</v>
      </c>
      <c r="AU25" s="13">
        <v>3.7397552170422528</v>
      </c>
    </row>
    <row r="26" spans="1:48" x14ac:dyDescent="0.25">
      <c r="A26" t="s">
        <v>893</v>
      </c>
      <c r="B26" s="19">
        <v>4.2170482832864422E-3</v>
      </c>
      <c r="C26" s="19">
        <v>3.5605900933869759E-3</v>
      </c>
      <c r="D26" s="19">
        <v>6.9357103072843736E-3</v>
      </c>
      <c r="E26" s="19">
        <v>3.4448192323426122E-3</v>
      </c>
      <c r="F26" s="19">
        <v>1.8158167916300403E-2</v>
      </c>
      <c r="K26" t="s">
        <v>889</v>
      </c>
      <c r="L26" s="13">
        <v>1.6553201880418207</v>
      </c>
      <c r="M26" s="13">
        <v>6.951495056410991</v>
      </c>
      <c r="N26" s="13">
        <v>2.0697056540337075</v>
      </c>
      <c r="O26" s="13">
        <v>10.676520898486519</v>
      </c>
      <c r="U26" t="s">
        <v>893</v>
      </c>
      <c r="V26" s="20">
        <v>2.6863754979995023E-3</v>
      </c>
      <c r="W26" s="20">
        <v>2.2681936138137463E-3</v>
      </c>
      <c r="X26" s="20">
        <v>4.4182378239670181E-3</v>
      </c>
      <c r="Y26" s="20">
        <v>2.1944443978693861E-3</v>
      </c>
      <c r="Z26" s="20">
        <v>1.1567251333649654E-2</v>
      </c>
      <c r="AH26" t="s">
        <v>43</v>
      </c>
      <c r="AI26" t="s">
        <v>896</v>
      </c>
      <c r="AJ26" s="20">
        <v>22211284</v>
      </c>
      <c r="AK26" s="20">
        <v>759689</v>
      </c>
      <c r="AL26" s="20">
        <v>2690181</v>
      </c>
      <c r="AM26" s="20">
        <v>25661154</v>
      </c>
      <c r="AR26" t="s">
        <v>889</v>
      </c>
      <c r="AS26" s="13">
        <v>1.6553201880418207</v>
      </c>
      <c r="AT26" s="13">
        <v>2.0697056540337075</v>
      </c>
      <c r="AU26" s="13">
        <v>3.725025842075528</v>
      </c>
    </row>
    <row r="27" spans="1:48" x14ac:dyDescent="0.25">
      <c r="A27" t="s">
        <v>881</v>
      </c>
      <c r="B27" s="19">
        <v>8.567147347222628E-3</v>
      </c>
      <c r="C27" s="19">
        <v>6.5689926474556569E-3</v>
      </c>
      <c r="D27" s="19">
        <v>1.5390255800686809E-3</v>
      </c>
      <c r="E27" s="19">
        <v>1.0545925542290047E-3</v>
      </c>
      <c r="F27" s="19">
        <v>1.7729758128975967E-2</v>
      </c>
      <c r="K27" t="s">
        <v>881</v>
      </c>
      <c r="L27" s="13">
        <v>1.9470429773378726</v>
      </c>
      <c r="M27" s="13">
        <v>6.7932480688869195</v>
      </c>
      <c r="N27" s="13">
        <v>1.1767537809513704</v>
      </c>
      <c r="O27" s="13">
        <v>9.9170448271761629</v>
      </c>
      <c r="U27" t="s">
        <v>881</v>
      </c>
      <c r="V27" s="20">
        <v>5.462080200541744E-3</v>
      </c>
      <c r="W27" s="20">
        <v>4.188134418956135E-3</v>
      </c>
      <c r="X27" s="20">
        <v>9.8122289816173565E-4</v>
      </c>
      <c r="Y27" s="20">
        <v>6.7236722757668048E-4</v>
      </c>
      <c r="Z27" s="20">
        <v>1.1303804745236295E-2</v>
      </c>
      <c r="AH27" t="s">
        <v>49</v>
      </c>
      <c r="AI27" t="s">
        <v>880</v>
      </c>
      <c r="AJ27" s="20">
        <v>19674134.27</v>
      </c>
      <c r="AK27" s="20">
        <v>1660206.85</v>
      </c>
      <c r="AL27" s="20">
        <v>7824602.2999999998</v>
      </c>
      <c r="AM27" s="20">
        <v>29158943.420000002</v>
      </c>
      <c r="AR27" t="s">
        <v>892</v>
      </c>
      <c r="AS27" s="13">
        <v>2.3720127363567816</v>
      </c>
      <c r="AT27" s="13">
        <v>1.2314910900607761</v>
      </c>
      <c r="AU27" s="13">
        <v>3.6035038264175574</v>
      </c>
    </row>
    <row r="28" spans="1:48" x14ac:dyDescent="0.25">
      <c r="A28" t="s">
        <v>889</v>
      </c>
      <c r="B28" s="19">
        <v>2.8149924715789648E-3</v>
      </c>
      <c r="C28" s="19">
        <v>8.2638790091647783E-3</v>
      </c>
      <c r="D28" s="19">
        <v>4.673488156181245E-3</v>
      </c>
      <c r="E28" s="19">
        <v>4.6583942931864222E-4</v>
      </c>
      <c r="F28" s="19">
        <v>1.6218199066243631E-2</v>
      </c>
      <c r="K28" t="s">
        <v>896</v>
      </c>
      <c r="L28" s="13">
        <v>2.7780066865405431</v>
      </c>
      <c r="M28" s="13">
        <v>3.8645618722496313</v>
      </c>
      <c r="N28" s="13">
        <v>2.9024622521704004</v>
      </c>
      <c r="O28" s="13">
        <v>9.5450308109605739</v>
      </c>
      <c r="U28" t="s">
        <v>888</v>
      </c>
      <c r="V28" s="20">
        <v>2.6207506509685961E-3</v>
      </c>
      <c r="W28" s="20">
        <v>2.8443612007506888E-3</v>
      </c>
      <c r="X28" s="20">
        <v>2.4113619071902568E-3</v>
      </c>
      <c r="Y28" s="20">
        <v>2.1234250348681101E-3</v>
      </c>
      <c r="Z28" s="20">
        <v>9.9998987937776514E-3</v>
      </c>
      <c r="AH28" t="s">
        <v>49</v>
      </c>
      <c r="AI28" t="s">
        <v>877</v>
      </c>
      <c r="AJ28" s="20">
        <v>4877646</v>
      </c>
      <c r="AK28" s="20">
        <v>929540</v>
      </c>
      <c r="AL28" s="20">
        <v>2796828</v>
      </c>
      <c r="AM28" s="20">
        <v>8604014</v>
      </c>
      <c r="AR28" t="s">
        <v>893</v>
      </c>
      <c r="AS28" s="13">
        <v>1.7244844007834887</v>
      </c>
      <c r="AT28" s="13">
        <v>1.7676667702537101</v>
      </c>
      <c r="AU28" s="13">
        <v>3.4921511710371989</v>
      </c>
    </row>
    <row r="29" spans="1:48" x14ac:dyDescent="0.25">
      <c r="A29" t="s">
        <v>559</v>
      </c>
      <c r="B29" s="19">
        <v>2.2424419948565751E-3</v>
      </c>
      <c r="C29" s="19">
        <v>8.0628040355912103E-3</v>
      </c>
      <c r="D29" s="19">
        <v>5.1957600235726939E-3</v>
      </c>
      <c r="E29" s="19"/>
      <c r="F29" s="19">
        <v>1.550100605402048E-2</v>
      </c>
      <c r="K29" t="s">
        <v>894</v>
      </c>
      <c r="L29" s="13">
        <v>4.26097720158781</v>
      </c>
      <c r="M29" s="13">
        <v>0.17365506797127342</v>
      </c>
      <c r="N29" s="13">
        <v>2.8361595476753756</v>
      </c>
      <c r="O29" s="13">
        <v>7.2707918172344588</v>
      </c>
      <c r="U29" t="s">
        <v>559</v>
      </c>
      <c r="V29" s="20">
        <v>1.3002396690041465E-3</v>
      </c>
      <c r="W29" s="20">
        <v>4.6750719414496763E-3</v>
      </c>
      <c r="X29" s="20">
        <v>3.0126680238644152E-3</v>
      </c>
      <c r="Y29" s="20"/>
      <c r="Z29" s="20">
        <v>8.9879796343182369E-3</v>
      </c>
      <c r="AH29" t="s">
        <v>322</v>
      </c>
      <c r="AI29" t="s">
        <v>890</v>
      </c>
      <c r="AJ29" s="20">
        <v>35513942.642869711</v>
      </c>
      <c r="AK29" s="20"/>
      <c r="AL29" s="20">
        <v>46339045.357130289</v>
      </c>
      <c r="AM29" s="20">
        <v>81852988</v>
      </c>
      <c r="AR29" t="s">
        <v>881</v>
      </c>
      <c r="AS29" s="13">
        <v>1.9470429773378726</v>
      </c>
      <c r="AT29" s="13">
        <v>1.1767537809513704</v>
      </c>
      <c r="AU29" s="13">
        <v>3.123796758289243</v>
      </c>
    </row>
    <row r="30" spans="1:48" x14ac:dyDescent="0.25">
      <c r="L30" s="13"/>
      <c r="M30" s="13"/>
      <c r="N30" s="13"/>
      <c r="O30" s="13"/>
      <c r="P30" s="13"/>
      <c r="V30" s="20"/>
      <c r="W30" s="20"/>
      <c r="X30" s="20"/>
      <c r="Y30" s="20"/>
      <c r="Z30" s="20"/>
      <c r="AS30" s="13"/>
      <c r="AT30" s="13"/>
      <c r="AU30" s="13"/>
      <c r="AV30" s="13"/>
    </row>
    <row r="31" spans="1:48" x14ac:dyDescent="0.25">
      <c r="V31" s="20"/>
      <c r="W31" s="20"/>
      <c r="X31" s="20"/>
      <c r="Y31" s="20"/>
      <c r="Z31" s="20"/>
    </row>
    <row r="32" spans="1:48" x14ac:dyDescent="0.25">
      <c r="V32" s="20"/>
      <c r="W32" s="20"/>
      <c r="X32" s="20"/>
      <c r="Y32" s="20"/>
      <c r="Z32" s="20"/>
    </row>
    <row r="33" spans="22:26" x14ac:dyDescent="0.25">
      <c r="V33" s="20"/>
      <c r="W33" s="20"/>
      <c r="X33" s="20"/>
      <c r="Y33" s="20"/>
      <c r="Z33" s="20"/>
    </row>
    <row r="34" spans="22:26" x14ac:dyDescent="0.25">
      <c r="V34" s="20"/>
      <c r="W34" s="20"/>
      <c r="X34" s="20"/>
      <c r="Y34" s="20"/>
      <c r="Z34" s="20"/>
    </row>
    <row r="35" spans="22:26" x14ac:dyDescent="0.25">
      <c r="V35" s="20"/>
      <c r="W35" s="20"/>
      <c r="X35" s="20"/>
      <c r="Y35" s="20"/>
      <c r="Z35" s="20"/>
    </row>
    <row r="55" spans="1:22" x14ac:dyDescent="0.25">
      <c r="A55" s="2" t="s">
        <v>869</v>
      </c>
      <c r="B55" t="s">
        <v>870</v>
      </c>
      <c r="K55" s="2" t="s">
        <v>869</v>
      </c>
      <c r="L55" t="s">
        <v>870</v>
      </c>
    </row>
    <row r="56" spans="1:22" x14ac:dyDescent="0.25">
      <c r="A56" s="2" t="s">
        <v>105</v>
      </c>
      <c r="B56" t="s">
        <v>870</v>
      </c>
      <c r="K56" s="2" t="s">
        <v>105</v>
      </c>
      <c r="L56" t="s">
        <v>870</v>
      </c>
    </row>
    <row r="57" spans="1:22" x14ac:dyDescent="0.25">
      <c r="A57" s="2" t="s">
        <v>106</v>
      </c>
      <c r="B57" s="3">
        <v>2024</v>
      </c>
      <c r="K57" s="2" t="s">
        <v>106</v>
      </c>
      <c r="L57" s="3">
        <v>2024</v>
      </c>
      <c r="V57" s="3"/>
    </row>
    <row r="59" spans="1:22" x14ac:dyDescent="0.25">
      <c r="A59" s="2" t="s">
        <v>897</v>
      </c>
      <c r="K59" s="2" t="s">
        <v>898</v>
      </c>
    </row>
    <row r="60" spans="1:22" x14ac:dyDescent="0.25">
      <c r="A60" s="2" t="s">
        <v>107</v>
      </c>
      <c r="B60" t="s">
        <v>103</v>
      </c>
      <c r="K60" s="2" t="s">
        <v>107</v>
      </c>
      <c r="L60" t="s">
        <v>103</v>
      </c>
    </row>
    <row r="61" spans="1:22" x14ac:dyDescent="0.25">
      <c r="A61" t="s">
        <v>876</v>
      </c>
      <c r="B61" s="13">
        <v>278.98904499999998</v>
      </c>
      <c r="K61" t="s">
        <v>878</v>
      </c>
      <c r="L61" s="12">
        <v>40791506.531866409</v>
      </c>
    </row>
    <row r="62" spans="1:22" x14ac:dyDescent="0.25">
      <c r="A62" t="s">
        <v>879</v>
      </c>
      <c r="B62" s="13">
        <v>187.756788</v>
      </c>
      <c r="K62" t="s">
        <v>887</v>
      </c>
      <c r="L62" s="12">
        <v>25629875.47750745</v>
      </c>
    </row>
    <row r="63" spans="1:22" x14ac:dyDescent="0.25">
      <c r="A63" t="s">
        <v>878</v>
      </c>
      <c r="B63" s="13">
        <v>119.2449721858019</v>
      </c>
      <c r="K63" t="s">
        <v>892</v>
      </c>
      <c r="L63" s="12">
        <v>18973884.34</v>
      </c>
    </row>
    <row r="64" spans="1:22" x14ac:dyDescent="0.25">
      <c r="A64" t="s">
        <v>696</v>
      </c>
      <c r="B64" s="13">
        <v>113.33691999999996</v>
      </c>
      <c r="K64" t="s">
        <v>891</v>
      </c>
      <c r="L64" s="12">
        <v>18523910</v>
      </c>
    </row>
    <row r="65" spans="1:12" x14ac:dyDescent="0.25">
      <c r="A65" t="s">
        <v>887</v>
      </c>
      <c r="B65" s="13">
        <v>85.938875813233537</v>
      </c>
      <c r="K65" t="s">
        <v>876</v>
      </c>
      <c r="L65" s="12">
        <v>16548493</v>
      </c>
    </row>
    <row r="66" spans="1:12" x14ac:dyDescent="0.25">
      <c r="A66" t="s">
        <v>890</v>
      </c>
      <c r="B66" s="13">
        <v>81.852987999999996</v>
      </c>
      <c r="K66" t="s">
        <v>888</v>
      </c>
      <c r="L66" s="12">
        <v>14060000.000000004</v>
      </c>
    </row>
    <row r="67" spans="1:12" x14ac:dyDescent="0.25">
      <c r="A67" t="s">
        <v>892</v>
      </c>
      <c r="B67" s="13">
        <v>49.841047500000002</v>
      </c>
      <c r="K67" t="s">
        <v>890</v>
      </c>
      <c r="L67" s="12">
        <v>12869872</v>
      </c>
    </row>
    <row r="68" spans="1:12" x14ac:dyDescent="0.25">
      <c r="A68" t="s">
        <v>891</v>
      </c>
      <c r="B68" s="13">
        <v>45.791003000000003</v>
      </c>
      <c r="K68" t="s">
        <v>885</v>
      </c>
      <c r="L68" s="12">
        <v>12144210</v>
      </c>
    </row>
    <row r="69" spans="1:12" x14ac:dyDescent="0.25">
      <c r="A69" t="s">
        <v>888</v>
      </c>
      <c r="B69" s="13">
        <v>45.704000000000001</v>
      </c>
      <c r="K69" t="s">
        <v>894</v>
      </c>
      <c r="L69" s="12">
        <v>14491850</v>
      </c>
    </row>
    <row r="70" spans="1:12" x14ac:dyDescent="0.25">
      <c r="A70" t="s">
        <v>894</v>
      </c>
      <c r="B70" s="13">
        <v>42.056497999999998</v>
      </c>
      <c r="K70" t="s">
        <v>879</v>
      </c>
      <c r="L70" s="12">
        <v>10451342</v>
      </c>
    </row>
    <row r="71" spans="1:12" x14ac:dyDescent="0.25">
      <c r="A71" t="s">
        <v>882</v>
      </c>
      <c r="B71" s="13">
        <v>41.453932000000002</v>
      </c>
      <c r="K71" t="s">
        <v>895</v>
      </c>
      <c r="L71" s="12">
        <v>10777080</v>
      </c>
    </row>
    <row r="72" spans="1:12" x14ac:dyDescent="0.25">
      <c r="A72" t="s">
        <v>895</v>
      </c>
      <c r="B72" s="13">
        <v>40.289380000000001</v>
      </c>
      <c r="K72" t="s">
        <v>896</v>
      </c>
      <c r="L72" s="12">
        <v>9118843.3272591308</v>
      </c>
    </row>
    <row r="73" spans="1:12" x14ac:dyDescent="0.25">
      <c r="A73" t="s">
        <v>880</v>
      </c>
      <c r="B73" s="13">
        <v>29.158943420000003</v>
      </c>
      <c r="K73" t="s">
        <v>881</v>
      </c>
      <c r="L73" s="12">
        <v>8176710</v>
      </c>
    </row>
    <row r="74" spans="1:12" x14ac:dyDescent="0.25">
      <c r="A74" t="s">
        <v>885</v>
      </c>
      <c r="B74" s="13">
        <v>28.848604999999999</v>
      </c>
      <c r="K74" t="s">
        <v>696</v>
      </c>
      <c r="L74" s="12">
        <v>8152345.4841779983</v>
      </c>
    </row>
    <row r="75" spans="1:12" x14ac:dyDescent="0.25">
      <c r="A75" t="s">
        <v>896</v>
      </c>
      <c r="B75" s="13">
        <v>25.661154</v>
      </c>
      <c r="K75" t="s">
        <v>889</v>
      </c>
      <c r="L75" s="12">
        <v>7734825</v>
      </c>
    </row>
    <row r="76" spans="1:12" x14ac:dyDescent="0.25">
      <c r="A76" t="s">
        <v>889</v>
      </c>
      <c r="B76" s="13">
        <v>24.370498999999999</v>
      </c>
      <c r="K76" t="s">
        <v>884</v>
      </c>
      <c r="L76" s="12">
        <v>6424535.2800000012</v>
      </c>
    </row>
    <row r="77" spans="1:12" x14ac:dyDescent="0.25">
      <c r="A77" t="s">
        <v>884</v>
      </c>
      <c r="B77" s="13">
        <v>23.967935000000001</v>
      </c>
      <c r="K77" t="s">
        <v>882</v>
      </c>
      <c r="L77" s="12">
        <v>5634441</v>
      </c>
    </row>
    <row r="78" spans="1:12" x14ac:dyDescent="0.25">
      <c r="A78" t="s">
        <v>881</v>
      </c>
      <c r="B78" s="13">
        <v>21.718754000000001</v>
      </c>
      <c r="K78" t="s">
        <v>559</v>
      </c>
      <c r="L78" s="12">
        <v>3621633</v>
      </c>
    </row>
    <row r="79" spans="1:12" x14ac:dyDescent="0.25">
      <c r="A79" t="s">
        <v>883</v>
      </c>
      <c r="B79" s="13">
        <v>16.450032</v>
      </c>
      <c r="K79" t="s">
        <v>880</v>
      </c>
      <c r="L79" s="12">
        <v>3578984.6543000001</v>
      </c>
    </row>
    <row r="80" spans="1:12" x14ac:dyDescent="0.25">
      <c r="A80" t="s">
        <v>886</v>
      </c>
      <c r="B80" s="13">
        <v>15.141662999999999</v>
      </c>
      <c r="K80" t="s">
        <v>893</v>
      </c>
      <c r="L80" s="12">
        <v>1488285</v>
      </c>
    </row>
    <row r="81" spans="1:12" x14ac:dyDescent="0.25">
      <c r="A81" t="s">
        <v>559</v>
      </c>
      <c r="B81" s="13">
        <v>14.491607</v>
      </c>
      <c r="K81" t="s">
        <v>883</v>
      </c>
      <c r="L81" s="12">
        <v>1482527.3959999999</v>
      </c>
    </row>
    <row r="82" spans="1:12" x14ac:dyDescent="0.25">
      <c r="A82" t="s">
        <v>877</v>
      </c>
      <c r="B82" s="13">
        <v>8.6040139999999994</v>
      </c>
      <c r="K82" t="s">
        <v>886</v>
      </c>
      <c r="L82" s="12">
        <v>1414458.0519999999</v>
      </c>
    </row>
    <row r="83" spans="1:12" x14ac:dyDescent="0.25">
      <c r="A83" t="s">
        <v>893</v>
      </c>
      <c r="B83" s="13">
        <v>3.946396</v>
      </c>
      <c r="K83" t="s">
        <v>877</v>
      </c>
      <c r="L83" s="12">
        <v>952930</v>
      </c>
    </row>
    <row r="102" spans="1:12" x14ac:dyDescent="0.25">
      <c r="A102" s="2" t="s">
        <v>869</v>
      </c>
      <c r="B102" t="s">
        <v>870</v>
      </c>
      <c r="K102" s="2" t="s">
        <v>869</v>
      </c>
      <c r="L102" t="s">
        <v>870</v>
      </c>
    </row>
    <row r="103" spans="1:12" x14ac:dyDescent="0.25">
      <c r="A103" s="2" t="s">
        <v>105</v>
      </c>
      <c r="B103" t="s">
        <v>870</v>
      </c>
      <c r="K103" s="2" t="s">
        <v>105</v>
      </c>
      <c r="L103" t="s">
        <v>870</v>
      </c>
    </row>
    <row r="104" spans="1:12" x14ac:dyDescent="0.25">
      <c r="A104" s="2" t="s">
        <v>106</v>
      </c>
      <c r="B104" s="3">
        <v>2024</v>
      </c>
      <c r="K104" s="2" t="s">
        <v>106</v>
      </c>
      <c r="L104" s="3">
        <v>2024</v>
      </c>
    </row>
    <row r="106" spans="1:12" x14ac:dyDescent="0.25">
      <c r="A106" s="2" t="s">
        <v>899</v>
      </c>
      <c r="K106" s="2" t="s">
        <v>900</v>
      </c>
    </row>
    <row r="107" spans="1:12" x14ac:dyDescent="0.25">
      <c r="A107" s="2" t="s">
        <v>107</v>
      </c>
      <c r="B107" t="s">
        <v>103</v>
      </c>
      <c r="K107" s="2" t="s">
        <v>107</v>
      </c>
      <c r="L107" t="s">
        <v>103</v>
      </c>
    </row>
    <row r="108" spans="1:12" x14ac:dyDescent="0.25">
      <c r="A108" t="s">
        <v>885</v>
      </c>
      <c r="B108" s="9">
        <v>1.4591436500029104E-2</v>
      </c>
      <c r="K108" t="s">
        <v>876</v>
      </c>
      <c r="L108" s="9">
        <v>1.4872800948609266E-2</v>
      </c>
    </row>
    <row r="109" spans="1:12" x14ac:dyDescent="0.25">
      <c r="A109" t="s">
        <v>876</v>
      </c>
      <c r="B109" s="9">
        <v>1.328987236073912E-2</v>
      </c>
      <c r="K109" t="s">
        <v>885</v>
      </c>
      <c r="L109" s="9">
        <v>1.4591436500029104E-2</v>
      </c>
    </row>
    <row r="110" spans="1:12" x14ac:dyDescent="0.25">
      <c r="A110" t="s">
        <v>879</v>
      </c>
      <c r="B110" s="9">
        <v>1.2000731920243656E-2</v>
      </c>
      <c r="K110" t="s">
        <v>879</v>
      </c>
      <c r="L110" s="9">
        <v>1.3499761567991733E-2</v>
      </c>
    </row>
    <row r="111" spans="1:12" x14ac:dyDescent="0.25">
      <c r="A111" t="s">
        <v>884</v>
      </c>
      <c r="B111" s="9">
        <v>1.1359741661921996E-2</v>
      </c>
      <c r="K111" t="s">
        <v>884</v>
      </c>
      <c r="L111" s="9">
        <v>1.2621935179913325E-2</v>
      </c>
    </row>
    <row r="112" spans="1:12" x14ac:dyDescent="0.25">
      <c r="A112" t="s">
        <v>891</v>
      </c>
      <c r="B112" s="9">
        <v>1.1344940968000152E-2</v>
      </c>
      <c r="K112" t="s">
        <v>891</v>
      </c>
      <c r="L112" s="9">
        <v>1.1344940968000152E-2</v>
      </c>
    </row>
    <row r="113" spans="1:12" x14ac:dyDescent="0.25">
      <c r="A113" t="s">
        <v>887</v>
      </c>
      <c r="B113" s="9">
        <v>8.8435422869094192E-3</v>
      </c>
      <c r="K113" t="s">
        <v>878</v>
      </c>
      <c r="L113" s="9">
        <v>1.0188249054774206E-2</v>
      </c>
    </row>
    <row r="114" spans="1:12" x14ac:dyDescent="0.25">
      <c r="A114" t="s">
        <v>892</v>
      </c>
      <c r="B114" s="9">
        <v>7.845890052842459E-3</v>
      </c>
      <c r="K114" t="s">
        <v>887</v>
      </c>
      <c r="L114" s="9">
        <v>9.530626509665149E-3</v>
      </c>
    </row>
    <row r="115" spans="1:12" x14ac:dyDescent="0.25">
      <c r="A115" t="s">
        <v>894</v>
      </c>
      <c r="B115" s="9">
        <v>6.3228098945982162E-3</v>
      </c>
      <c r="K115" t="s">
        <v>892</v>
      </c>
      <c r="L115" s="9">
        <v>8.5281411819983447E-3</v>
      </c>
    </row>
    <row r="116" spans="1:12" x14ac:dyDescent="0.25">
      <c r="A116" t="s">
        <v>896</v>
      </c>
      <c r="B116" s="9">
        <v>5.852305446657274E-3</v>
      </c>
      <c r="K116" t="s">
        <v>881</v>
      </c>
      <c r="L116" s="9">
        <v>6.5979439424978473E-3</v>
      </c>
    </row>
    <row r="117" spans="1:12" x14ac:dyDescent="0.25">
      <c r="A117" t="s">
        <v>882</v>
      </c>
      <c r="B117" s="9">
        <v>5.3394487432221142E-3</v>
      </c>
      <c r="K117" t="s">
        <v>896</v>
      </c>
      <c r="L117" s="9">
        <v>6.5025616073969708E-3</v>
      </c>
    </row>
    <row r="118" spans="1:12" x14ac:dyDescent="0.25">
      <c r="A118" t="s">
        <v>895</v>
      </c>
      <c r="B118" s="9">
        <v>4.9967897473517254E-3</v>
      </c>
      <c r="K118" t="s">
        <v>894</v>
      </c>
      <c r="L118" s="9">
        <v>5.796124190722762E-3</v>
      </c>
    </row>
    <row r="119" spans="1:12" x14ac:dyDescent="0.25">
      <c r="A119" t="s">
        <v>696</v>
      </c>
      <c r="B119" s="9">
        <v>4.9714356240725243E-3</v>
      </c>
      <c r="K119" t="s">
        <v>696</v>
      </c>
      <c r="L119" s="9">
        <v>5.5238173600805785E-3</v>
      </c>
    </row>
    <row r="120" spans="1:12" x14ac:dyDescent="0.25">
      <c r="A120" t="s">
        <v>889</v>
      </c>
      <c r="B120" s="9">
        <v>4.9575380178189356E-3</v>
      </c>
      <c r="K120" t="s">
        <v>889</v>
      </c>
      <c r="L120" s="9">
        <v>5.508375575354372E-3</v>
      </c>
    </row>
    <row r="121" spans="1:12" x14ac:dyDescent="0.25">
      <c r="A121" t="s">
        <v>878</v>
      </c>
      <c r="B121" s="9">
        <v>4.4492795246320353E-3</v>
      </c>
      <c r="K121" t="s">
        <v>882</v>
      </c>
      <c r="L121" s="9">
        <v>5.3394487432221142E-3</v>
      </c>
    </row>
    <row r="122" spans="1:12" x14ac:dyDescent="0.25">
      <c r="A122" t="s">
        <v>893</v>
      </c>
      <c r="B122" s="9">
        <v>4.3623008565538716E-3</v>
      </c>
      <c r="K122" t="s">
        <v>895</v>
      </c>
      <c r="L122" s="9">
        <v>5.2908662572328565E-3</v>
      </c>
    </row>
    <row r="123" spans="1:12" x14ac:dyDescent="0.25">
      <c r="A123" t="s">
        <v>881</v>
      </c>
      <c r="B123" s="9">
        <v>4.2556738429111122E-3</v>
      </c>
      <c r="K123" t="s">
        <v>893</v>
      </c>
      <c r="L123" s="9">
        <v>4.8470009517265229E-3</v>
      </c>
    </row>
    <row r="124" spans="1:12" x14ac:dyDescent="0.25">
      <c r="A124" t="s">
        <v>883</v>
      </c>
      <c r="B124" s="9">
        <v>3.9302669979307901E-3</v>
      </c>
      <c r="K124" t="s">
        <v>883</v>
      </c>
      <c r="L124" s="9">
        <v>4.3669633310342102E-3</v>
      </c>
    </row>
    <row r="125" spans="1:12" x14ac:dyDescent="0.25">
      <c r="A125" t="s">
        <v>886</v>
      </c>
      <c r="B125" s="9">
        <v>3.8363156767245265E-3</v>
      </c>
      <c r="K125" t="s">
        <v>886</v>
      </c>
      <c r="L125" s="9">
        <v>4.2625729741383629E-3</v>
      </c>
    </row>
    <row r="126" spans="1:12" x14ac:dyDescent="0.25">
      <c r="A126" t="s">
        <v>877</v>
      </c>
      <c r="B126" s="9">
        <v>3.6242994145140304E-3</v>
      </c>
      <c r="K126" t="s">
        <v>877</v>
      </c>
      <c r="L126" s="9">
        <v>3.6242994145140304E-3</v>
      </c>
    </row>
    <row r="127" spans="1:12" x14ac:dyDescent="0.25">
      <c r="A127" t="s">
        <v>890</v>
      </c>
      <c r="B127" s="9">
        <v>3.331250496639385E-3</v>
      </c>
      <c r="K127" t="s">
        <v>888</v>
      </c>
      <c r="L127" s="9">
        <v>3.4611499872827032E-3</v>
      </c>
    </row>
    <row r="128" spans="1:12" x14ac:dyDescent="0.25">
      <c r="A128" t="s">
        <v>888</v>
      </c>
      <c r="B128" s="9">
        <v>3.0762860371195905E-3</v>
      </c>
      <c r="K128" t="s">
        <v>890</v>
      </c>
      <c r="L128" s="9">
        <v>3.331250496639385E-3</v>
      </c>
    </row>
    <row r="129" spans="1:12" x14ac:dyDescent="0.25">
      <c r="A129" t="s">
        <v>880</v>
      </c>
      <c r="B129" s="9">
        <v>2.9532609929707764E-3</v>
      </c>
      <c r="K129" t="s">
        <v>880</v>
      </c>
      <c r="L129" s="9">
        <v>2.9532609929707764E-3</v>
      </c>
    </row>
    <row r="130" spans="1:12" x14ac:dyDescent="0.25">
      <c r="A130" t="s">
        <v>559</v>
      </c>
      <c r="B130" s="9">
        <v>2.2462080048799874E-3</v>
      </c>
      <c r="K130" t="s">
        <v>559</v>
      </c>
      <c r="L130" s="9">
        <v>2.4957866720888753E-3</v>
      </c>
    </row>
    <row r="151" spans="1:22" x14ac:dyDescent="0.25">
      <c r="A151" s="2" t="s">
        <v>869</v>
      </c>
      <c r="B151" t="s">
        <v>870</v>
      </c>
      <c r="K151" s="2" t="s">
        <v>869</v>
      </c>
      <c r="L151" t="s">
        <v>870</v>
      </c>
      <c r="U151" s="2" t="s">
        <v>869</v>
      </c>
      <c r="V151" t="s">
        <v>870</v>
      </c>
    </row>
    <row r="152" spans="1:22" x14ac:dyDescent="0.25">
      <c r="A152" s="2" t="s">
        <v>105</v>
      </c>
      <c r="B152" t="s">
        <v>870</v>
      </c>
      <c r="K152" s="2" t="s">
        <v>105</v>
      </c>
      <c r="L152" t="s">
        <v>870</v>
      </c>
      <c r="U152" s="2" t="s">
        <v>105</v>
      </c>
      <c r="V152" t="s">
        <v>870</v>
      </c>
    </row>
    <row r="153" spans="1:22" x14ac:dyDescent="0.25">
      <c r="A153" s="2" t="s">
        <v>106</v>
      </c>
      <c r="B153" s="3">
        <v>2024</v>
      </c>
      <c r="K153" s="2" t="s">
        <v>106</v>
      </c>
      <c r="L153" s="3">
        <v>2024</v>
      </c>
      <c r="U153" s="2" t="s">
        <v>106</v>
      </c>
      <c r="V153" s="3">
        <v>2024</v>
      </c>
    </row>
    <row r="155" spans="1:22" x14ac:dyDescent="0.25">
      <c r="A155" s="2" t="s">
        <v>871</v>
      </c>
      <c r="K155" s="2" t="s">
        <v>901</v>
      </c>
      <c r="U155" s="2" t="s">
        <v>873</v>
      </c>
    </row>
    <row r="156" spans="1:22" x14ac:dyDescent="0.25">
      <c r="A156" s="2" t="s">
        <v>107</v>
      </c>
      <c r="B156" t="s">
        <v>103</v>
      </c>
      <c r="K156" s="2" t="s">
        <v>107</v>
      </c>
      <c r="L156" t="s">
        <v>103</v>
      </c>
      <c r="U156" s="2" t="s">
        <v>107</v>
      </c>
      <c r="V156" t="s">
        <v>103</v>
      </c>
    </row>
    <row r="157" spans="1:22" x14ac:dyDescent="0.25">
      <c r="A157" t="s">
        <v>876</v>
      </c>
      <c r="B157" s="19">
        <v>0.22663479174708792</v>
      </c>
      <c r="K157" t="s">
        <v>879</v>
      </c>
      <c r="L157" s="20">
        <v>17.964849681505019</v>
      </c>
      <c r="U157" t="s">
        <v>876</v>
      </c>
      <c r="V157" s="48">
        <v>0.22405235317164549</v>
      </c>
    </row>
    <row r="158" spans="1:22" x14ac:dyDescent="0.25">
      <c r="A158" t="s">
        <v>879</v>
      </c>
      <c r="B158" s="19">
        <v>0.19049225738756217</v>
      </c>
      <c r="K158" t="s">
        <v>876</v>
      </c>
      <c r="L158" s="20">
        <v>16.858879234501899</v>
      </c>
      <c r="U158" t="s">
        <v>879</v>
      </c>
      <c r="V158" s="48">
        <v>0.21559134501521637</v>
      </c>
    </row>
    <row r="159" spans="1:22" x14ac:dyDescent="0.25">
      <c r="A159" t="s">
        <v>696</v>
      </c>
      <c r="B159" s="19">
        <v>7.927432712215321E-2</v>
      </c>
      <c r="K159" t="s">
        <v>696</v>
      </c>
      <c r="L159" s="20">
        <v>13.902369596573553</v>
      </c>
      <c r="U159" t="s">
        <v>696</v>
      </c>
      <c r="V159" s="48">
        <v>6.9114735471428559E-2</v>
      </c>
    </row>
    <row r="160" spans="1:22" x14ac:dyDescent="0.25">
      <c r="A160" t="s">
        <v>882</v>
      </c>
      <c r="B160" s="19">
        <v>6.0324307700598379E-2</v>
      </c>
      <c r="K160" t="s">
        <v>883</v>
      </c>
      <c r="L160" s="20">
        <v>11.09593795324373</v>
      </c>
      <c r="U160" t="s">
        <v>883</v>
      </c>
      <c r="V160" s="48">
        <v>4.3609998748721554E-2</v>
      </c>
    </row>
    <row r="161" spans="1:22" x14ac:dyDescent="0.25">
      <c r="A161" t="s">
        <v>885</v>
      </c>
      <c r="B161" s="19">
        <v>5.483384443830381E-2</v>
      </c>
      <c r="K161" t="s">
        <v>886</v>
      </c>
      <c r="L161" s="20">
        <v>10.704921915916954</v>
      </c>
      <c r="U161" t="s">
        <v>884</v>
      </c>
      <c r="V161" s="48">
        <v>4.2379648940107983E-2</v>
      </c>
    </row>
    <row r="162" spans="1:22" x14ac:dyDescent="0.25">
      <c r="A162" t="s">
        <v>877</v>
      </c>
      <c r="B162" s="19">
        <v>5.2057713614054354E-2</v>
      </c>
      <c r="K162" t="s">
        <v>877</v>
      </c>
      <c r="L162" s="20">
        <v>9.0290094760370643</v>
      </c>
      <c r="U162" t="s">
        <v>886</v>
      </c>
      <c r="V162" s="48">
        <v>4.1067459764144151E-2</v>
      </c>
    </row>
    <row r="163" spans="1:22" x14ac:dyDescent="0.25">
      <c r="A163" t="s">
        <v>887</v>
      </c>
      <c r="B163" s="19">
        <v>4.348778043812785E-2</v>
      </c>
      <c r="K163" t="s">
        <v>880</v>
      </c>
      <c r="L163" s="20">
        <v>8.1472669587914393</v>
      </c>
      <c r="U163" t="s">
        <v>882</v>
      </c>
      <c r="V163" s="48">
        <v>3.9283603310251186E-2</v>
      </c>
    </row>
    <row r="164" spans="1:22" x14ac:dyDescent="0.25">
      <c r="A164" t="s">
        <v>883</v>
      </c>
      <c r="B164" s="19">
        <v>4.226483039824569E-2</v>
      </c>
      <c r="K164" t="s">
        <v>882</v>
      </c>
      <c r="L164" s="20">
        <v>7.3572395203002392</v>
      </c>
      <c r="U164" t="s">
        <v>885</v>
      </c>
      <c r="V164" s="48">
        <v>3.4661998431509515E-2</v>
      </c>
    </row>
    <row r="165" spans="1:22" x14ac:dyDescent="0.25">
      <c r="A165" t="s">
        <v>890</v>
      </c>
      <c r="B165" s="19">
        <v>4.0819453148009971E-2</v>
      </c>
      <c r="K165" t="s">
        <v>890</v>
      </c>
      <c r="L165" s="20">
        <v>6.3600467821280589</v>
      </c>
      <c r="U165" t="s">
        <v>877</v>
      </c>
      <c r="V165" s="48">
        <v>3.2723833757642762E-2</v>
      </c>
    </row>
    <row r="166" spans="1:22" x14ac:dyDescent="0.25">
      <c r="A166" t="s">
        <v>891</v>
      </c>
      <c r="B166" s="19">
        <v>4.0803555883480204E-2</v>
      </c>
      <c r="K166" t="s">
        <v>559</v>
      </c>
      <c r="L166" s="20">
        <v>4.0014013015675527</v>
      </c>
      <c r="U166" t="s">
        <v>887</v>
      </c>
      <c r="V166" s="48">
        <v>2.9653054031056857E-2</v>
      </c>
    </row>
    <row r="167" spans="1:22" x14ac:dyDescent="0.25">
      <c r="A167" t="s">
        <v>884</v>
      </c>
      <c r="B167" s="19">
        <v>4.0445291992656389E-2</v>
      </c>
      <c r="K167" t="s">
        <v>895</v>
      </c>
      <c r="L167" s="20">
        <v>3.7384319314693775</v>
      </c>
      <c r="U167" t="s">
        <v>891</v>
      </c>
      <c r="V167" s="48">
        <v>2.8044631284675742E-2</v>
      </c>
    </row>
    <row r="168" spans="1:22" x14ac:dyDescent="0.25">
      <c r="A168" t="s">
        <v>892</v>
      </c>
      <c r="B168" s="19">
        <v>3.8928514030638968E-2</v>
      </c>
      <c r="K168" t="s">
        <v>884</v>
      </c>
      <c r="L168" s="20">
        <v>3.7306877393317066</v>
      </c>
      <c r="U168" t="s">
        <v>880</v>
      </c>
      <c r="V168" s="48">
        <v>2.4061005708718417E-2</v>
      </c>
    </row>
    <row r="169" spans="1:22" x14ac:dyDescent="0.25">
      <c r="A169" t="s">
        <v>886</v>
      </c>
      <c r="B169" s="19">
        <v>3.854572151526537E-2</v>
      </c>
      <c r="K169" t="s">
        <v>887</v>
      </c>
      <c r="L169" s="20">
        <v>3.3530742624423864</v>
      </c>
      <c r="U169" t="s">
        <v>890</v>
      </c>
      <c r="V169" s="48">
        <v>2.118690900161382E-2</v>
      </c>
    </row>
    <row r="170" spans="1:22" x14ac:dyDescent="0.25">
      <c r="A170" t="s">
        <v>878</v>
      </c>
      <c r="B170" s="19">
        <v>3.4815411828712978E-2</v>
      </c>
      <c r="K170" t="s">
        <v>888</v>
      </c>
      <c r="L170" s="20">
        <v>3.2506401137980099</v>
      </c>
      <c r="U170" t="s">
        <v>892</v>
      </c>
      <c r="V170" s="48">
        <v>2.0609769291104387E-2</v>
      </c>
    </row>
    <row r="171" spans="1:22" x14ac:dyDescent="0.25">
      <c r="A171" t="s">
        <v>896</v>
      </c>
      <c r="B171" s="19">
        <v>2.8826706318598055E-2</v>
      </c>
      <c r="K171" t="s">
        <v>889</v>
      </c>
      <c r="L171" s="20">
        <v>3.1507498876833027</v>
      </c>
      <c r="U171" t="s">
        <v>895</v>
      </c>
      <c r="V171" s="48">
        <v>1.8680158346338498E-2</v>
      </c>
    </row>
    <row r="172" spans="1:22" x14ac:dyDescent="0.25">
      <c r="A172" t="s">
        <v>880</v>
      </c>
      <c r="B172" s="19">
        <v>2.7610831697550069E-2</v>
      </c>
      <c r="K172" t="s">
        <v>878</v>
      </c>
      <c r="L172" s="20">
        <v>2.9232794354542282</v>
      </c>
      <c r="U172" t="s">
        <v>894</v>
      </c>
      <c r="V172" s="48">
        <v>1.8349295754962282E-2</v>
      </c>
    </row>
    <row r="173" spans="1:22" x14ac:dyDescent="0.25">
      <c r="A173" t="s">
        <v>895</v>
      </c>
      <c r="B173" s="19">
        <v>2.3013850990549152E-2</v>
      </c>
      <c r="K173" t="s">
        <v>894</v>
      </c>
      <c r="L173" s="20">
        <v>2.9020793066447697</v>
      </c>
      <c r="U173" t="s">
        <v>896</v>
      </c>
      <c r="V173" s="48">
        <v>1.64688553067673E-2</v>
      </c>
    </row>
    <row r="174" spans="1:22" x14ac:dyDescent="0.25">
      <c r="A174" t="s">
        <v>888</v>
      </c>
      <c r="B174" s="19">
        <v>2.0803742391154345E-2</v>
      </c>
      <c r="K174" t="s">
        <v>896</v>
      </c>
      <c r="L174" s="20">
        <v>2.8140799308713444</v>
      </c>
      <c r="U174" t="s">
        <v>889</v>
      </c>
      <c r="V174" s="48">
        <v>1.561996235282871E-2</v>
      </c>
    </row>
    <row r="175" spans="1:22" x14ac:dyDescent="0.25">
      <c r="A175" t="s">
        <v>894</v>
      </c>
      <c r="B175" s="19">
        <v>1.9670260913253759E-2</v>
      </c>
      <c r="K175" t="s">
        <v>881</v>
      </c>
      <c r="L175" s="20">
        <v>2.6561727149428074</v>
      </c>
      <c r="U175" t="s">
        <v>878</v>
      </c>
      <c r="V175" s="48">
        <v>1.3006487336944397E-2</v>
      </c>
    </row>
    <row r="176" spans="1:22" x14ac:dyDescent="0.25">
      <c r="A176" t="s">
        <v>893</v>
      </c>
      <c r="B176" s="19">
        <v>1.8158167916300406E-2</v>
      </c>
      <c r="K176" t="s">
        <v>893</v>
      </c>
      <c r="L176" s="20">
        <v>2.6516399748704047</v>
      </c>
      <c r="U176" t="s">
        <v>893</v>
      </c>
      <c r="V176" s="48">
        <v>1.1567251333649654E-2</v>
      </c>
    </row>
    <row r="177" spans="1:22" x14ac:dyDescent="0.25">
      <c r="A177" t="s">
        <v>881</v>
      </c>
      <c r="B177" s="19">
        <v>1.7729758128975971E-2</v>
      </c>
      <c r="K177" t="s">
        <v>892</v>
      </c>
      <c r="L177" s="20">
        <v>2.6268236174986606</v>
      </c>
      <c r="U177" t="s">
        <v>881</v>
      </c>
      <c r="V177" s="48">
        <v>1.1303804745236299E-2</v>
      </c>
    </row>
    <row r="178" spans="1:22" x14ac:dyDescent="0.25">
      <c r="A178" t="s">
        <v>889</v>
      </c>
      <c r="B178" s="19">
        <v>1.6218199066243631E-2</v>
      </c>
      <c r="K178" t="s">
        <v>891</v>
      </c>
      <c r="L178" s="20">
        <v>2.4719944655313046</v>
      </c>
      <c r="U178" t="s">
        <v>888</v>
      </c>
      <c r="V178" s="48">
        <v>9.9998987937776496E-3</v>
      </c>
    </row>
    <row r="179" spans="1:22" x14ac:dyDescent="0.25">
      <c r="A179" t="s">
        <v>559</v>
      </c>
      <c r="B179" s="19">
        <v>1.550100605402048E-2</v>
      </c>
      <c r="K179" t="s">
        <v>885</v>
      </c>
      <c r="L179" s="20">
        <v>2.3755028116279284</v>
      </c>
      <c r="U179" t="s">
        <v>559</v>
      </c>
      <c r="V179" s="48">
        <v>8.9879796343182387E-3</v>
      </c>
    </row>
    <row r="206" spans="1:2" x14ac:dyDescent="0.25">
      <c r="A206" s="2" t="s">
        <v>869</v>
      </c>
      <c r="B206" t="s">
        <v>870</v>
      </c>
    </row>
    <row r="207" spans="1:2" x14ac:dyDescent="0.25">
      <c r="A207" s="2" t="s">
        <v>105</v>
      </c>
      <c r="B207" t="s">
        <v>870</v>
      </c>
    </row>
    <row r="208" spans="1:2" x14ac:dyDescent="0.25">
      <c r="A208" s="2" t="s">
        <v>106</v>
      </c>
      <c r="B208" s="3">
        <v>2024</v>
      </c>
    </row>
    <row r="210" spans="1:20" x14ac:dyDescent="0.25">
      <c r="A210" s="2" t="s">
        <v>899</v>
      </c>
      <c r="B210" s="2" t="s">
        <v>5</v>
      </c>
      <c r="K210" s="2" t="s">
        <v>869</v>
      </c>
      <c r="L210" t="s">
        <v>870</v>
      </c>
    </row>
    <row r="211" spans="1:20" x14ac:dyDescent="0.25">
      <c r="A211" s="2" t="s">
        <v>107</v>
      </c>
      <c r="B211" t="s">
        <v>135</v>
      </c>
      <c r="C211" t="s">
        <v>143</v>
      </c>
      <c r="D211" t="s">
        <v>146</v>
      </c>
      <c r="E211" t="s">
        <v>875</v>
      </c>
      <c r="K211" s="2" t="s">
        <v>105</v>
      </c>
      <c r="L211" t="s">
        <v>870</v>
      </c>
    </row>
    <row r="212" spans="1:20" x14ac:dyDescent="0.25">
      <c r="A212" t="s">
        <v>885</v>
      </c>
      <c r="B212" s="9">
        <v>5.4567232057369051E-3</v>
      </c>
      <c r="C212" s="9">
        <v>3.5111839209001701E-4</v>
      </c>
      <c r="D212" s="9">
        <v>8.7835949022021815E-3</v>
      </c>
      <c r="E212" s="9">
        <v>1.4591436500029104E-2</v>
      </c>
    </row>
    <row r="213" spans="1:20" x14ac:dyDescent="0.25">
      <c r="A213" t="s">
        <v>876</v>
      </c>
      <c r="B213" s="9">
        <v>7.5798048309976516E-3</v>
      </c>
      <c r="C213" s="9">
        <v>1.3098349868013882E-3</v>
      </c>
      <c r="D213" s="9">
        <v>4.4002325429400805E-3</v>
      </c>
      <c r="E213" s="9">
        <v>1.328987236073912E-2</v>
      </c>
      <c r="K213" s="2" t="s">
        <v>872</v>
      </c>
      <c r="L213" s="2" t="s">
        <v>106</v>
      </c>
      <c r="T213"/>
    </row>
    <row r="214" spans="1:20" x14ac:dyDescent="0.25">
      <c r="A214" t="s">
        <v>879</v>
      </c>
      <c r="B214" s="9">
        <v>5.02578133518446E-3</v>
      </c>
      <c r="C214" s="9">
        <v>1.3619931456137493E-3</v>
      </c>
      <c r="D214" s="9">
        <v>5.6129574394454479E-3</v>
      </c>
      <c r="E214" s="9">
        <v>1.2000731920243656E-2</v>
      </c>
      <c r="K214" s="2" t="s">
        <v>107</v>
      </c>
      <c r="L214">
        <v>2022</v>
      </c>
      <c r="M214">
        <v>2023</v>
      </c>
      <c r="N214">
        <v>2024</v>
      </c>
      <c r="O214">
        <v>2025</v>
      </c>
      <c r="P214">
        <v>2026</v>
      </c>
      <c r="Q214">
        <v>2027</v>
      </c>
      <c r="R214" t="s">
        <v>459</v>
      </c>
      <c r="S214" t="s">
        <v>870</v>
      </c>
      <c r="T214" t="s">
        <v>875</v>
      </c>
    </row>
    <row r="215" spans="1:20" x14ac:dyDescent="0.25">
      <c r="A215" t="s">
        <v>884</v>
      </c>
      <c r="B215" s="9">
        <v>3.7481626473335077E-3</v>
      </c>
      <c r="C215" s="9">
        <v>1.3971363349085137E-3</v>
      </c>
      <c r="D215" s="9">
        <v>6.2144426796799735E-3</v>
      </c>
      <c r="E215" s="9">
        <v>1.1359741661921996E-2</v>
      </c>
      <c r="K215" t="s">
        <v>895</v>
      </c>
      <c r="L215" s="13">
        <v>338.09348405678759</v>
      </c>
      <c r="M215" s="13"/>
      <c r="N215" s="13">
        <v>18.917735048706099</v>
      </c>
      <c r="O215" s="13">
        <v>18.176270062297533</v>
      </c>
      <c r="P215" s="13"/>
      <c r="Q215" s="13"/>
      <c r="R215" s="13"/>
      <c r="S215" s="13"/>
      <c r="T215" s="13">
        <v>375.18748916779123</v>
      </c>
    </row>
    <row r="216" spans="1:20" x14ac:dyDescent="0.25">
      <c r="A216" t="s">
        <v>891</v>
      </c>
      <c r="B216" s="9">
        <v>3.9960121317185295E-3</v>
      </c>
      <c r="C216" s="9">
        <v>2.3151778348757995E-4</v>
      </c>
      <c r="D216" s="9">
        <v>7.1174110527940405E-3</v>
      </c>
      <c r="E216" s="9">
        <v>1.134494096800015E-2</v>
      </c>
      <c r="K216" t="s">
        <v>902</v>
      </c>
      <c r="L216" s="13"/>
      <c r="M216" s="13"/>
      <c r="N216" s="13"/>
      <c r="O216" s="13"/>
      <c r="P216" s="13"/>
      <c r="Q216" s="13"/>
      <c r="R216" s="13">
        <v>351.19956758068628</v>
      </c>
      <c r="S216" s="13"/>
      <c r="T216" s="13">
        <v>351.19956758068628</v>
      </c>
    </row>
    <row r="217" spans="1:20" x14ac:dyDescent="0.25">
      <c r="A217" t="s">
        <v>887</v>
      </c>
      <c r="B217" s="9">
        <v>3.316918917642667E-3</v>
      </c>
      <c r="C217" s="9">
        <v>9.4208166132701279E-4</v>
      </c>
      <c r="D217" s="9">
        <v>4.5845417079397374E-3</v>
      </c>
      <c r="E217" s="9">
        <v>8.8435422869094175E-3</v>
      </c>
      <c r="K217" t="s">
        <v>877</v>
      </c>
      <c r="L217" s="13"/>
      <c r="M217" s="13"/>
      <c r="N217" s="13">
        <v>169.3265087056474</v>
      </c>
      <c r="O217" s="13">
        <v>152.60876703332787</v>
      </c>
      <c r="P217" s="13">
        <v>11.144049187527449</v>
      </c>
      <c r="Q217" s="13">
        <v>0</v>
      </c>
      <c r="R217" s="13"/>
      <c r="S217" s="13"/>
      <c r="T217" s="13">
        <v>333.07932492650275</v>
      </c>
    </row>
    <row r="218" spans="1:20" x14ac:dyDescent="0.25">
      <c r="A218" t="s">
        <v>892</v>
      </c>
      <c r="B218" s="9">
        <v>3.1302190317949443E-3</v>
      </c>
      <c r="C218" s="9">
        <v>4.930841562751537E-4</v>
      </c>
      <c r="D218" s="9">
        <v>4.2225868647723609E-3</v>
      </c>
      <c r="E218" s="9">
        <v>7.845890052842459E-3</v>
      </c>
      <c r="K218" t="s">
        <v>879</v>
      </c>
      <c r="L218" s="13">
        <v>62.96498930984324</v>
      </c>
      <c r="M218" s="13">
        <v>72.857420310700547</v>
      </c>
      <c r="N218" s="13">
        <v>66.141940770034211</v>
      </c>
      <c r="O218" s="13"/>
      <c r="P218" s="13"/>
      <c r="Q218" s="13"/>
      <c r="R218" s="13"/>
      <c r="S218" s="13"/>
      <c r="T218" s="13">
        <v>201.96435039057801</v>
      </c>
    </row>
    <row r="219" spans="1:20" x14ac:dyDescent="0.25">
      <c r="A219" t="s">
        <v>894</v>
      </c>
      <c r="B219" s="9">
        <v>2.3598260473999054E-3</v>
      </c>
      <c r="C219" s="9">
        <v>1.1062981229477309E-3</v>
      </c>
      <c r="D219" s="9">
        <v>2.8566857242505799E-3</v>
      </c>
      <c r="E219" s="9">
        <v>6.3228098945982162E-3</v>
      </c>
      <c r="K219" t="s">
        <v>696</v>
      </c>
      <c r="L219" s="13"/>
      <c r="M219" s="13">
        <v>52.199955381918258</v>
      </c>
      <c r="N219" s="13">
        <v>33.02287353118524</v>
      </c>
      <c r="O219" s="13">
        <v>31.534327251937622</v>
      </c>
      <c r="P219" s="13">
        <v>34.572684091947835</v>
      </c>
      <c r="Q219" s="13">
        <v>36.401798612384752</v>
      </c>
      <c r="R219" s="13"/>
      <c r="S219" s="13"/>
      <c r="T219" s="13">
        <v>187.73163886937374</v>
      </c>
    </row>
    <row r="220" spans="1:20" x14ac:dyDescent="0.25">
      <c r="A220" t="s">
        <v>896</v>
      </c>
      <c r="B220" s="9">
        <v>5.1313023989785567E-3</v>
      </c>
      <c r="C220" s="9">
        <v>1.2616032645980027E-4</v>
      </c>
      <c r="D220" s="9">
        <v>5.9484272121891732E-4</v>
      </c>
      <c r="E220" s="9">
        <v>5.852305446657274E-3</v>
      </c>
      <c r="K220" t="s">
        <v>880</v>
      </c>
      <c r="L220" s="13"/>
      <c r="M220" s="13"/>
      <c r="N220" s="13">
        <v>90.469639535588556</v>
      </c>
      <c r="O220" s="13">
        <v>87.410561434772916</v>
      </c>
      <c r="P220" s="13"/>
      <c r="Q220" s="13"/>
      <c r="R220" s="13"/>
      <c r="S220" s="13"/>
      <c r="T220" s="13">
        <v>177.88020097036147</v>
      </c>
    </row>
    <row r="221" spans="1:20" x14ac:dyDescent="0.25">
      <c r="A221" t="s">
        <v>882</v>
      </c>
      <c r="B221" s="9">
        <v>2.6028599756312896E-3</v>
      </c>
      <c r="C221" s="9">
        <v>5.14097306759978E-6</v>
      </c>
      <c r="D221" s="9">
        <v>2.7314477945232247E-3</v>
      </c>
      <c r="E221" s="9">
        <v>5.3394487432221142E-3</v>
      </c>
      <c r="K221" t="s">
        <v>876</v>
      </c>
      <c r="L221" s="13">
        <v>44.97283305776925</v>
      </c>
      <c r="M221" s="13">
        <v>53.017187194799128</v>
      </c>
      <c r="N221" s="13">
        <v>71.161024901433166</v>
      </c>
      <c r="O221" s="13"/>
      <c r="P221" s="13"/>
      <c r="Q221" s="13"/>
      <c r="R221" s="13"/>
      <c r="S221" s="13"/>
      <c r="T221" s="13">
        <v>169.15104515400154</v>
      </c>
    </row>
    <row r="222" spans="1:20" x14ac:dyDescent="0.25">
      <c r="A222" t="s">
        <v>895</v>
      </c>
      <c r="B222" s="9">
        <v>2.4562027523397493E-3</v>
      </c>
      <c r="C222" s="9">
        <v>2.3501011584215479E-4</v>
      </c>
      <c r="D222" s="9">
        <v>2.3055768791698222E-3</v>
      </c>
      <c r="E222" s="9">
        <v>4.9967897473517263E-3</v>
      </c>
      <c r="K222" t="s">
        <v>891</v>
      </c>
      <c r="L222" s="13"/>
      <c r="M222" s="13"/>
      <c r="N222" s="13">
        <v>26.980783109918619</v>
      </c>
      <c r="O222" s="13">
        <v>26.685762591511597</v>
      </c>
      <c r="P222" s="13">
        <v>29.818408169983847</v>
      </c>
      <c r="Q222" s="13"/>
      <c r="R222" s="13"/>
      <c r="S222" s="13"/>
      <c r="T222" s="13">
        <v>83.484953871414064</v>
      </c>
    </row>
    <row r="223" spans="1:20" x14ac:dyDescent="0.25">
      <c r="A223" t="s">
        <v>696</v>
      </c>
      <c r="B223" s="9">
        <v>9.948493597766628E-4</v>
      </c>
      <c r="C223" s="9">
        <v>3.7123190109227965E-4</v>
      </c>
      <c r="D223" s="9">
        <v>3.6053543632035799E-3</v>
      </c>
      <c r="E223" s="9">
        <v>4.9714356240725226E-3</v>
      </c>
      <c r="K223" t="s">
        <v>885</v>
      </c>
      <c r="L223" s="13"/>
      <c r="M223" s="13">
        <v>16.367101330687998</v>
      </c>
      <c r="N223" s="13">
        <v>18.230961985025921</v>
      </c>
      <c r="O223" s="13">
        <v>18.898919533697974</v>
      </c>
      <c r="P223" s="13">
        <v>20.379681569456473</v>
      </c>
      <c r="Q223" s="13"/>
      <c r="R223" s="13"/>
      <c r="S223" s="13"/>
      <c r="T223" s="13">
        <v>73.876664418868359</v>
      </c>
    </row>
    <row r="224" spans="1:20" x14ac:dyDescent="0.25">
      <c r="A224" t="s">
        <v>889</v>
      </c>
      <c r="B224" s="9">
        <v>1.6378441810663215E-3</v>
      </c>
      <c r="C224" s="9">
        <v>1.1449409480218267E-3</v>
      </c>
      <c r="D224" s="9">
        <v>2.1747528887307863E-3</v>
      </c>
      <c r="E224" s="9">
        <v>4.9575380178189347E-3</v>
      </c>
      <c r="K224" t="s">
        <v>894</v>
      </c>
      <c r="L224" s="13">
        <v>47.980740649977093</v>
      </c>
      <c r="M224" s="13"/>
      <c r="N224" s="13">
        <v>7.2707918172344588</v>
      </c>
      <c r="O224" s="13">
        <v>7.3403394961772417</v>
      </c>
      <c r="P224" s="13"/>
      <c r="Q224" s="13"/>
      <c r="R224" s="13"/>
      <c r="S224" s="13"/>
      <c r="T224" s="13">
        <v>62.591871963388797</v>
      </c>
    </row>
    <row r="225" spans="1:20" x14ac:dyDescent="0.25">
      <c r="A225" t="s">
        <v>878</v>
      </c>
      <c r="B225" s="9">
        <v>1.0668931563531769E-3</v>
      </c>
      <c r="C225" s="9">
        <v>2.784131522734383E-4</v>
      </c>
      <c r="D225" s="9">
        <v>3.10397321600542E-3</v>
      </c>
      <c r="E225" s="9">
        <v>4.4492795246320353E-3</v>
      </c>
      <c r="K225" t="s">
        <v>882</v>
      </c>
      <c r="L225" s="13"/>
      <c r="M225" s="13"/>
      <c r="N225" s="13">
        <v>47.484489584510179</v>
      </c>
      <c r="O225" s="13">
        <v>14.835595388112285</v>
      </c>
      <c r="P225" s="13"/>
      <c r="Q225" s="13"/>
      <c r="R225" s="13"/>
      <c r="S225" s="13"/>
      <c r="T225" s="13">
        <v>62.320084972622467</v>
      </c>
    </row>
    <row r="226" spans="1:20" x14ac:dyDescent="0.25">
      <c r="A226" t="s">
        <v>893</v>
      </c>
      <c r="B226" s="9">
        <v>1.5577847481711028E-3</v>
      </c>
      <c r="C226" s="9">
        <v>3.0504171744149676E-4</v>
      </c>
      <c r="D226" s="9">
        <v>2.4994743909412722E-3</v>
      </c>
      <c r="E226" s="9">
        <v>4.3623008565538716E-3</v>
      </c>
      <c r="K226" t="s">
        <v>892</v>
      </c>
      <c r="L226" s="13"/>
      <c r="M226" s="13">
        <v>13.904916104699421</v>
      </c>
      <c r="N226" s="13">
        <v>19.79703119392407</v>
      </c>
      <c r="O226" s="13">
        <v>19.835680383536594</v>
      </c>
      <c r="P226" s="13"/>
      <c r="Q226" s="13"/>
      <c r="R226" s="13"/>
      <c r="S226" s="13"/>
      <c r="T226" s="13">
        <v>53.537627682160092</v>
      </c>
    </row>
    <row r="227" spans="1:20" x14ac:dyDescent="0.25">
      <c r="A227" t="s">
        <v>881</v>
      </c>
      <c r="B227" s="9">
        <v>2.8053208193739329E-3</v>
      </c>
      <c r="C227" s="9">
        <v>6.1651427660028995E-4</v>
      </c>
      <c r="D227" s="9">
        <v>8.3383874693688793E-4</v>
      </c>
      <c r="E227" s="9">
        <v>4.2556738429111104E-3</v>
      </c>
      <c r="K227" t="s">
        <v>878</v>
      </c>
      <c r="L227" s="13"/>
      <c r="M227" s="13">
        <v>19.820844710660534</v>
      </c>
      <c r="N227" s="13">
        <v>13.564748560069404</v>
      </c>
      <c r="O227" s="13">
        <v>19.183389012559964</v>
      </c>
      <c r="P227" s="13"/>
      <c r="Q227" s="13"/>
      <c r="R227" s="13"/>
      <c r="S227" s="13"/>
      <c r="T227" s="13">
        <v>52.568982283289905</v>
      </c>
    </row>
    <row r="228" spans="1:20" x14ac:dyDescent="0.25">
      <c r="A228" t="s">
        <v>883</v>
      </c>
      <c r="B228" s="9">
        <v>1.5080546508900573E-3</v>
      </c>
      <c r="C228" s="9">
        <v>6.4301255533504248E-4</v>
      </c>
      <c r="D228" s="9">
        <v>1.7791997917056901E-3</v>
      </c>
      <c r="E228" s="9">
        <v>3.9302669979307901E-3</v>
      </c>
      <c r="K228" t="s">
        <v>883</v>
      </c>
      <c r="L228" s="13"/>
      <c r="M228" s="13"/>
      <c r="N228" s="13">
        <v>33.973695123128024</v>
      </c>
      <c r="O228" s="13"/>
      <c r="P228" s="13"/>
      <c r="Q228" s="13"/>
      <c r="R228" s="13"/>
      <c r="S228" s="13"/>
      <c r="T228" s="13">
        <v>33.973695123128024</v>
      </c>
    </row>
    <row r="229" spans="1:20" x14ac:dyDescent="0.25">
      <c r="A229" t="s">
        <v>886</v>
      </c>
      <c r="B229" s="9">
        <v>1.6098141066895472E-3</v>
      </c>
      <c r="C229" s="9">
        <v>5.2766561458175753E-4</v>
      </c>
      <c r="D229" s="9">
        <v>1.6988359554532221E-3</v>
      </c>
      <c r="E229" s="9">
        <v>3.836315676724527E-3</v>
      </c>
      <c r="K229" t="s">
        <v>886</v>
      </c>
      <c r="L229" s="13"/>
      <c r="M229" s="13"/>
      <c r="N229" s="13">
        <v>33.595144888555247</v>
      </c>
      <c r="O229" s="13"/>
      <c r="P229" s="13"/>
      <c r="Q229" s="13"/>
      <c r="R229" s="13"/>
      <c r="S229" s="13"/>
      <c r="T229" s="13">
        <v>33.595144888555247</v>
      </c>
    </row>
    <row r="230" spans="1:20" x14ac:dyDescent="0.25">
      <c r="A230" t="s">
        <v>877</v>
      </c>
      <c r="B230" s="9">
        <v>1.6443889872935348E-3</v>
      </c>
      <c r="C230" s="9">
        <v>2.3166032902526899E-5</v>
      </c>
      <c r="D230" s="9">
        <v>1.9567443943179687E-3</v>
      </c>
      <c r="E230" s="9">
        <v>3.6242994145140304E-3</v>
      </c>
      <c r="K230" t="s">
        <v>887</v>
      </c>
      <c r="L230" s="13"/>
      <c r="M230" s="13"/>
      <c r="N230" s="13">
        <v>15.90680331603639</v>
      </c>
      <c r="O230" s="13">
        <v>16.014440403237852</v>
      </c>
      <c r="P230" s="13"/>
      <c r="Q230" s="13"/>
      <c r="R230" s="13"/>
      <c r="S230" s="13"/>
      <c r="T230" s="13">
        <v>31.921243719274244</v>
      </c>
    </row>
    <row r="231" spans="1:20" x14ac:dyDescent="0.25">
      <c r="A231" t="s">
        <v>890</v>
      </c>
      <c r="B231" s="9">
        <v>1.1571562745525891E-3</v>
      </c>
      <c r="C231" s="9"/>
      <c r="D231" s="9">
        <v>2.1740942220867961E-3</v>
      </c>
      <c r="E231" s="9">
        <v>3.331250496639385E-3</v>
      </c>
      <c r="K231" t="s">
        <v>881</v>
      </c>
      <c r="L231" s="13"/>
      <c r="M231" s="13"/>
      <c r="N231" s="13">
        <v>9.9170448271761629</v>
      </c>
      <c r="O231" s="13">
        <v>9.2061962696922173</v>
      </c>
      <c r="P231" s="13">
        <v>8.9563026219744746</v>
      </c>
      <c r="Q231" s="13"/>
      <c r="R231" s="13"/>
      <c r="S231" s="13"/>
      <c r="T231" s="13">
        <v>28.079543718842856</v>
      </c>
    </row>
    <row r="232" spans="1:20" x14ac:dyDescent="0.25">
      <c r="A232" t="s">
        <v>888</v>
      </c>
      <c r="B232" s="9">
        <v>1.1815038833887475E-3</v>
      </c>
      <c r="C232" s="9">
        <v>3.1003537088182499E-4</v>
      </c>
      <c r="D232" s="9">
        <v>1.584746782849018E-3</v>
      </c>
      <c r="E232" s="9">
        <v>3.0762860371195905E-3</v>
      </c>
      <c r="K232" t="s">
        <v>888</v>
      </c>
      <c r="L232" s="13"/>
      <c r="M232" s="13"/>
      <c r="N232" s="13">
        <v>12.914067143647758</v>
      </c>
      <c r="O232" s="13">
        <v>12.914067143647754</v>
      </c>
      <c r="P232" s="13"/>
      <c r="Q232" s="13"/>
      <c r="R232" s="13"/>
      <c r="S232" s="13"/>
      <c r="T232" s="13">
        <v>25.828134287295512</v>
      </c>
    </row>
    <row r="233" spans="1:20" x14ac:dyDescent="0.25">
      <c r="A233" t="s">
        <v>880</v>
      </c>
      <c r="B233" s="9">
        <v>1.8474390289351041E-3</v>
      </c>
      <c r="C233" s="9">
        <v>1.8086016201875473E-5</v>
      </c>
      <c r="D233" s="9">
        <v>1.0877359478337967E-3</v>
      </c>
      <c r="E233" s="9">
        <v>2.953260992970776E-3</v>
      </c>
      <c r="K233" t="s">
        <v>884</v>
      </c>
      <c r="L233" s="13"/>
      <c r="M233" s="13">
        <v>12.091199017171805</v>
      </c>
      <c r="N233" s="13">
        <v>12.414887166124927</v>
      </c>
      <c r="O233" s="13">
        <v>0</v>
      </c>
      <c r="P233" s="13"/>
      <c r="Q233" s="13"/>
      <c r="R233" s="13"/>
      <c r="S233" s="13"/>
      <c r="T233" s="13">
        <v>24.50608618329673</v>
      </c>
    </row>
    <row r="234" spans="1:20" x14ac:dyDescent="0.25">
      <c r="A234" t="s">
        <v>559</v>
      </c>
      <c r="B234" s="9">
        <v>5.8364283018190835E-4</v>
      </c>
      <c r="C234" s="9">
        <v>6.8991995060471354E-4</v>
      </c>
      <c r="D234" s="9">
        <v>9.7264522409336578E-4</v>
      </c>
      <c r="E234" s="9">
        <v>2.2462080048799874E-3</v>
      </c>
      <c r="K234" t="s">
        <v>889</v>
      </c>
      <c r="L234" s="13"/>
      <c r="M234" s="13"/>
      <c r="N234" s="13">
        <v>10.676520898486519</v>
      </c>
      <c r="O234" s="13">
        <v>10.927181857762783</v>
      </c>
      <c r="P234" s="13"/>
      <c r="Q234" s="13"/>
      <c r="R234" s="13"/>
      <c r="S234" s="13"/>
      <c r="T234" s="13">
        <v>21.603702756249302</v>
      </c>
    </row>
    <row r="235" spans="1:20" x14ac:dyDescent="0.25">
      <c r="K235" t="s">
        <v>559</v>
      </c>
      <c r="L235" s="13">
        <v>8.7475848963631666</v>
      </c>
      <c r="M235" s="13"/>
      <c r="N235" s="13">
        <v>12.101449628104675</v>
      </c>
      <c r="O235" s="13"/>
      <c r="P235" s="13"/>
      <c r="Q235" s="13"/>
      <c r="R235" s="13"/>
      <c r="S235" s="13"/>
      <c r="T235" s="13">
        <v>20.849034524467839</v>
      </c>
    </row>
    <row r="236" spans="1:20" x14ac:dyDescent="0.25">
      <c r="K236" t="s">
        <v>890</v>
      </c>
      <c r="L236" s="13"/>
      <c r="M236" s="13"/>
      <c r="N236" s="13">
        <v>13.460997607841993</v>
      </c>
      <c r="O236" s="13"/>
      <c r="P236" s="13"/>
      <c r="Q236" s="13"/>
      <c r="R236" s="13"/>
      <c r="S236" s="13"/>
      <c r="T236" s="13">
        <v>13.460997607841993</v>
      </c>
    </row>
    <row r="237" spans="1:20" x14ac:dyDescent="0.25">
      <c r="K237" t="s">
        <v>893</v>
      </c>
      <c r="L237" s="13"/>
      <c r="M237" s="13"/>
      <c r="N237" s="13">
        <v>10.927834502608913</v>
      </c>
      <c r="O237" s="13"/>
      <c r="P237" s="13"/>
      <c r="Q237" s="13"/>
      <c r="R237" s="13"/>
      <c r="S237" s="13"/>
      <c r="T237" s="13">
        <v>10.927834502608913</v>
      </c>
    </row>
    <row r="238" spans="1:20" x14ac:dyDescent="0.25">
      <c r="K238" t="s">
        <v>896</v>
      </c>
      <c r="L238" s="13"/>
      <c r="M238" s="13"/>
      <c r="N238" s="13">
        <v>9.5450308109605757</v>
      </c>
      <c r="O238" s="13"/>
      <c r="P238" s="13"/>
      <c r="Q238" s="13"/>
      <c r="R238" s="13"/>
      <c r="S238" s="13"/>
      <c r="T238" s="13">
        <v>9.5450308109605757</v>
      </c>
    </row>
    <row r="239" spans="1:20" x14ac:dyDescent="0.25">
      <c r="K239" t="s">
        <v>870</v>
      </c>
      <c r="L239" s="13"/>
      <c r="M239" s="13"/>
      <c r="N239" s="13"/>
      <c r="O239" s="13"/>
      <c r="P239" s="13"/>
      <c r="Q239" s="13"/>
      <c r="R239" s="13"/>
      <c r="S239" s="13">
        <v>0</v>
      </c>
      <c r="T239" s="13">
        <v>0</v>
      </c>
    </row>
    <row r="258" spans="1:30" x14ac:dyDescent="0.25">
      <c r="A258" s="2" t="s">
        <v>869</v>
      </c>
      <c r="B258" t="s">
        <v>870</v>
      </c>
      <c r="U258" s="2" t="s">
        <v>869</v>
      </c>
      <c r="V258" t="s">
        <v>870</v>
      </c>
    </row>
    <row r="259" spans="1:30" x14ac:dyDescent="0.25">
      <c r="A259" s="2" t="s">
        <v>105</v>
      </c>
      <c r="B259" t="s">
        <v>870</v>
      </c>
      <c r="U259" s="2" t="s">
        <v>105</v>
      </c>
      <c r="V259" t="s">
        <v>870</v>
      </c>
    </row>
    <row r="260" spans="1:30" x14ac:dyDescent="0.25">
      <c r="A260" s="2" t="s">
        <v>106</v>
      </c>
      <c r="B260" s="3">
        <v>2024</v>
      </c>
      <c r="U260" s="2" t="s">
        <v>106</v>
      </c>
      <c r="V260" s="3">
        <v>2024</v>
      </c>
    </row>
    <row r="261" spans="1:30" x14ac:dyDescent="0.25">
      <c r="A261" s="2" t="s">
        <v>5</v>
      </c>
      <c r="B261" t="s">
        <v>135</v>
      </c>
      <c r="U261" s="2" t="s">
        <v>5</v>
      </c>
      <c r="V261" t="s">
        <v>135</v>
      </c>
    </row>
    <row r="263" spans="1:30" x14ac:dyDescent="0.25">
      <c r="A263" s="2" t="s">
        <v>903</v>
      </c>
      <c r="C263" s="2" t="s">
        <v>111</v>
      </c>
      <c r="J263"/>
      <c r="U263" s="2" t="s">
        <v>874</v>
      </c>
      <c r="W263" s="2" t="s">
        <v>111</v>
      </c>
    </row>
    <row r="264" spans="1:30" x14ac:dyDescent="0.25">
      <c r="A264" s="2" t="s">
        <v>7</v>
      </c>
      <c r="B264" s="2" t="s">
        <v>107</v>
      </c>
      <c r="C264" t="s">
        <v>157</v>
      </c>
      <c r="D264" t="s">
        <v>42</v>
      </c>
      <c r="E264" t="s">
        <v>32</v>
      </c>
      <c r="F264" t="s">
        <v>27</v>
      </c>
      <c r="G264" t="s">
        <v>48</v>
      </c>
      <c r="H264" t="s">
        <v>55</v>
      </c>
      <c r="I264" t="s">
        <v>21</v>
      </c>
      <c r="J264" t="s">
        <v>875</v>
      </c>
      <c r="U264" s="2" t="s">
        <v>7</v>
      </c>
      <c r="V264" s="2" t="s">
        <v>107</v>
      </c>
      <c r="W264" t="s">
        <v>157</v>
      </c>
      <c r="X264" t="s">
        <v>42</v>
      </c>
      <c r="Y264" t="s">
        <v>32</v>
      </c>
      <c r="Z264" t="s">
        <v>27</v>
      </c>
      <c r="AA264" t="s">
        <v>48</v>
      </c>
      <c r="AB264" t="s">
        <v>55</v>
      </c>
      <c r="AC264" t="s">
        <v>21</v>
      </c>
      <c r="AD264" t="s">
        <v>875</v>
      </c>
    </row>
    <row r="265" spans="1:30" x14ac:dyDescent="0.25">
      <c r="A265" t="s">
        <v>33</v>
      </c>
      <c r="B265" t="s">
        <v>878</v>
      </c>
      <c r="C265" s="12"/>
      <c r="D265" s="12"/>
      <c r="E265" s="12"/>
      <c r="F265" s="12">
        <v>507375.68725298636</v>
      </c>
      <c r="G265" s="12"/>
      <c r="H265" s="12"/>
      <c r="I265" s="12">
        <v>9887273.2613875493</v>
      </c>
      <c r="J265" s="12">
        <v>10394648.948640537</v>
      </c>
      <c r="U265" t="s">
        <v>33</v>
      </c>
      <c r="V265" t="s">
        <v>878</v>
      </c>
      <c r="W265" s="12"/>
      <c r="X265" s="12"/>
      <c r="Y265" s="12"/>
      <c r="Z265" s="12">
        <v>3649242.1737904004</v>
      </c>
      <c r="AA265" s="12"/>
      <c r="AB265" s="12"/>
      <c r="AC265" s="12">
        <v>53294216.347199999</v>
      </c>
      <c r="AD265" s="12">
        <v>56943458.520990402</v>
      </c>
    </row>
    <row r="266" spans="1:30" x14ac:dyDescent="0.25">
      <c r="A266" t="s">
        <v>33</v>
      </c>
      <c r="B266" t="s">
        <v>696</v>
      </c>
      <c r="C266" s="12"/>
      <c r="D266" s="12"/>
      <c r="E266" s="12">
        <v>143677.98764626629</v>
      </c>
      <c r="F266" s="12">
        <v>322745.07879348146</v>
      </c>
      <c r="G266" s="12">
        <v>1246.039090704875</v>
      </c>
      <c r="H266" s="12"/>
      <c r="I266" s="12">
        <v>1344987.6396785511</v>
      </c>
      <c r="J266" s="12">
        <v>1812656.7452090038</v>
      </c>
      <c r="U266" t="s">
        <v>33</v>
      </c>
      <c r="V266" t="s">
        <v>696</v>
      </c>
      <c r="W266" s="12"/>
      <c r="X266" s="12"/>
      <c r="Y266" s="12">
        <v>3569283.0404713224</v>
      </c>
      <c r="Z266" s="12">
        <v>9833897.2122627236</v>
      </c>
      <c r="AA266" s="12">
        <v>15549.4906887653</v>
      </c>
      <c r="AB266" s="12"/>
      <c r="AC266" s="12">
        <v>11125504.357833579</v>
      </c>
      <c r="AD266" s="12">
        <v>24544234.101256393</v>
      </c>
    </row>
    <row r="267" spans="1:30" x14ac:dyDescent="0.25">
      <c r="A267" t="s">
        <v>28</v>
      </c>
      <c r="B267" t="s">
        <v>559</v>
      </c>
      <c r="C267" s="12"/>
      <c r="D267" s="12">
        <v>57735.555555555555</v>
      </c>
      <c r="E267" s="12"/>
      <c r="F267" s="12">
        <v>42845</v>
      </c>
      <c r="G267" s="12"/>
      <c r="H267" s="12"/>
      <c r="I267" s="12">
        <v>945003.88888888876</v>
      </c>
      <c r="J267" s="12">
        <v>1045584.4444444443</v>
      </c>
      <c r="U267" t="s">
        <v>28</v>
      </c>
      <c r="V267" t="s">
        <v>559</v>
      </c>
      <c r="W267" s="12"/>
      <c r="X267" s="12">
        <v>117206</v>
      </c>
      <c r="Y267" s="12"/>
      <c r="Z267" s="12">
        <v>187396.5</v>
      </c>
      <c r="AA267" s="12"/>
      <c r="AB267" s="12"/>
      <c r="AC267" s="12">
        <v>1791815.5</v>
      </c>
      <c r="AD267" s="12">
        <v>2096418</v>
      </c>
    </row>
    <row r="268" spans="1:30" x14ac:dyDescent="0.25">
      <c r="A268" t="s">
        <v>28</v>
      </c>
      <c r="B268" t="s">
        <v>888</v>
      </c>
      <c r="C268" s="12">
        <v>639821.55377374135</v>
      </c>
      <c r="D268" s="12">
        <v>685102.67852556193</v>
      </c>
      <c r="E268" s="12">
        <v>267000</v>
      </c>
      <c r="F268" s="12">
        <v>378013.13413760433</v>
      </c>
      <c r="G268" s="12">
        <v>1713170.4992750641</v>
      </c>
      <c r="H268" s="12"/>
      <c r="I268" s="12">
        <v>2327892.1342880288</v>
      </c>
      <c r="J268" s="12">
        <v>6011000</v>
      </c>
      <c r="U268" t="s">
        <v>28</v>
      </c>
      <c r="V268" t="s">
        <v>888</v>
      </c>
      <c r="W268" s="12">
        <v>743703.63497231109</v>
      </c>
      <c r="X268" s="12">
        <v>1426415.9610258928</v>
      </c>
      <c r="Y268" s="12">
        <v>856000</v>
      </c>
      <c r="Z268" s="12">
        <v>2916779.3900933014</v>
      </c>
      <c r="AA268" s="12">
        <v>2786357.8754599821</v>
      </c>
      <c r="AB268" s="12"/>
      <c r="AC268" s="12">
        <v>3248743.1384485136</v>
      </c>
      <c r="AD268" s="12">
        <v>11978000.000000002</v>
      </c>
    </row>
    <row r="269" spans="1:30" x14ac:dyDescent="0.25">
      <c r="A269" t="s">
        <v>28</v>
      </c>
      <c r="B269" t="s">
        <v>893</v>
      </c>
      <c r="C269" s="12">
        <v>416644.44444444444</v>
      </c>
      <c r="D269" s="12">
        <v>24871.111111111109</v>
      </c>
      <c r="E269" s="12"/>
      <c r="F269" s="12"/>
      <c r="G269" s="12"/>
      <c r="H269" s="12"/>
      <c r="I269" s="12">
        <v>149005.55555555556</v>
      </c>
      <c r="J269" s="12">
        <v>590521.11111111112</v>
      </c>
      <c r="U269" t="s">
        <v>28</v>
      </c>
      <c r="V269" t="s">
        <v>893</v>
      </c>
      <c r="W269" s="12">
        <v>689409</v>
      </c>
      <c r="X269" s="12">
        <v>27153</v>
      </c>
      <c r="Y269" s="12"/>
      <c r="Z269" s="12"/>
      <c r="AA269" s="12"/>
      <c r="AB269" s="12"/>
      <c r="AC269" s="12">
        <v>199948</v>
      </c>
      <c r="AD269" s="12">
        <v>916510</v>
      </c>
    </row>
    <row r="270" spans="1:30" x14ac:dyDescent="0.25">
      <c r="A270" t="s">
        <v>28</v>
      </c>
      <c r="B270" t="s">
        <v>889</v>
      </c>
      <c r="C270" s="12"/>
      <c r="D270" s="12">
        <v>14726.666666666666</v>
      </c>
      <c r="E270" s="12"/>
      <c r="F270" s="12"/>
      <c r="G270" s="12"/>
      <c r="H270" s="12"/>
      <c r="I270" s="12">
        <v>2824594.4444444445</v>
      </c>
      <c r="J270" s="12">
        <v>2839321.111111111</v>
      </c>
      <c r="U270" t="s">
        <v>28</v>
      </c>
      <c r="V270" t="s">
        <v>889</v>
      </c>
      <c r="W270" s="12"/>
      <c r="X270" s="12">
        <v>17518</v>
      </c>
      <c r="Y270" s="12"/>
      <c r="Z270" s="12"/>
      <c r="AA270" s="12"/>
      <c r="AB270" s="12"/>
      <c r="AC270" s="12">
        <v>4212469</v>
      </c>
      <c r="AD270" s="12">
        <v>4229987</v>
      </c>
    </row>
    <row r="271" spans="1:30" x14ac:dyDescent="0.25">
      <c r="A271" t="s">
        <v>134</v>
      </c>
      <c r="B271" t="s">
        <v>879</v>
      </c>
      <c r="C271" s="12">
        <v>520952</v>
      </c>
      <c r="D271" s="12"/>
      <c r="E271" s="12">
        <v>211550</v>
      </c>
      <c r="F271" s="12">
        <v>2769383</v>
      </c>
      <c r="G271" s="12"/>
      <c r="H271" s="12"/>
      <c r="I271" s="12">
        <v>1258341</v>
      </c>
      <c r="J271" s="12">
        <v>4760226</v>
      </c>
      <c r="U271" t="s">
        <v>134</v>
      </c>
      <c r="V271" t="s">
        <v>879</v>
      </c>
      <c r="W271" s="12">
        <v>0</v>
      </c>
      <c r="X271" s="12"/>
      <c r="Y271" s="12">
        <v>2785000</v>
      </c>
      <c r="Z271" s="12">
        <v>58770000</v>
      </c>
      <c r="AA271" s="12"/>
      <c r="AB271" s="12"/>
      <c r="AC271" s="12">
        <v>16230000</v>
      </c>
      <c r="AD271" s="12">
        <v>77785000</v>
      </c>
    </row>
    <row r="272" spans="1:30" x14ac:dyDescent="0.25">
      <c r="A272" t="s">
        <v>134</v>
      </c>
      <c r="B272" t="s">
        <v>876</v>
      </c>
      <c r="C272" s="12">
        <v>4086995</v>
      </c>
      <c r="D272" s="12"/>
      <c r="E272" s="12">
        <v>521547</v>
      </c>
      <c r="F272" s="12">
        <v>2684688</v>
      </c>
      <c r="G272" s="12">
        <v>576333</v>
      </c>
      <c r="H272" s="12"/>
      <c r="I272" s="12">
        <v>2372863</v>
      </c>
      <c r="J272" s="12">
        <v>10242426</v>
      </c>
      <c r="U272" t="s">
        <v>134</v>
      </c>
      <c r="V272" t="s">
        <v>876</v>
      </c>
      <c r="W272" s="12">
        <v>2536128</v>
      </c>
      <c r="X272" s="12"/>
      <c r="Y272" s="12">
        <v>5232163</v>
      </c>
      <c r="Z272" s="12">
        <v>82340584</v>
      </c>
      <c r="AA272" s="12"/>
      <c r="AB272" s="12"/>
      <c r="AC272" s="12">
        <v>36115882</v>
      </c>
      <c r="AD272" s="12">
        <v>126224757</v>
      </c>
    </row>
    <row r="273" spans="1:30" x14ac:dyDescent="0.25">
      <c r="A273" t="s">
        <v>199</v>
      </c>
      <c r="B273" t="s">
        <v>887</v>
      </c>
      <c r="C273" s="12">
        <v>2508321.0641018404</v>
      </c>
      <c r="D273" s="12">
        <v>2884213.618183163</v>
      </c>
      <c r="E273" s="12">
        <v>758839.27991814003</v>
      </c>
      <c r="F273" s="12">
        <v>794085.64652287983</v>
      </c>
      <c r="G273" s="12">
        <v>1629076.2961920467</v>
      </c>
      <c r="H273" s="12">
        <v>142745.07992129616</v>
      </c>
      <c r="I273" s="12">
        <v>1731541.4860679745</v>
      </c>
      <c r="J273" s="12">
        <v>10448822.47090734</v>
      </c>
      <c r="U273" t="s">
        <v>199</v>
      </c>
      <c r="V273" t="s">
        <v>887</v>
      </c>
      <c r="W273" s="12">
        <v>739230.59210108407</v>
      </c>
      <c r="X273" s="12">
        <v>1760196.4872181106</v>
      </c>
      <c r="Y273" s="12">
        <v>1142088.625</v>
      </c>
      <c r="Z273" s="12">
        <v>2097034.0507930559</v>
      </c>
      <c r="AA273" s="12">
        <v>5441242.3496434474</v>
      </c>
      <c r="AB273" s="12">
        <v>385994.56003564596</v>
      </c>
      <c r="AC273" s="12">
        <v>13708551.610541444</v>
      </c>
      <c r="AD273" s="12">
        <v>25274338.27533279</v>
      </c>
    </row>
    <row r="274" spans="1:30" x14ac:dyDescent="0.25">
      <c r="A274" t="s">
        <v>199</v>
      </c>
      <c r="B274" t="s">
        <v>892</v>
      </c>
      <c r="C274" s="12">
        <v>2288197.4347826084</v>
      </c>
      <c r="D274" s="12">
        <v>1712451.6956521736</v>
      </c>
      <c r="E274" s="12"/>
      <c r="F274" s="12">
        <v>2960733</v>
      </c>
      <c r="G274" s="12">
        <v>568794.5</v>
      </c>
      <c r="H274" s="12"/>
      <c r="I274" s="12">
        <v>697949.1086956521</v>
      </c>
      <c r="J274" s="12">
        <v>8228125.7391304346</v>
      </c>
      <c r="U274" t="s">
        <v>199</v>
      </c>
      <c r="V274" t="s">
        <v>892</v>
      </c>
      <c r="W274" s="12">
        <v>800320</v>
      </c>
      <c r="X274" s="12">
        <v>1090952</v>
      </c>
      <c r="Y274" s="12"/>
      <c r="Z274" s="12">
        <v>8034283.7412476046</v>
      </c>
      <c r="AA274" s="12">
        <v>861298.50875239575</v>
      </c>
      <c r="AB274" s="12"/>
      <c r="AC274" s="12">
        <v>444964.75</v>
      </c>
      <c r="AD274" s="12">
        <v>11231819.000000002</v>
      </c>
    </row>
    <row r="275" spans="1:30" x14ac:dyDescent="0.25">
      <c r="A275" t="s">
        <v>241</v>
      </c>
      <c r="B275" t="s">
        <v>891</v>
      </c>
      <c r="C275" s="12">
        <v>1014810</v>
      </c>
      <c r="D275" s="12">
        <v>217330</v>
      </c>
      <c r="E275" s="12">
        <v>1202130</v>
      </c>
      <c r="F275" s="12">
        <v>317520</v>
      </c>
      <c r="G275" s="12">
        <v>2904280</v>
      </c>
      <c r="H275" s="12"/>
      <c r="I275" s="12">
        <v>868580</v>
      </c>
      <c r="J275" s="12">
        <v>6524650</v>
      </c>
      <c r="U275" t="s">
        <v>241</v>
      </c>
      <c r="V275" t="s">
        <v>891</v>
      </c>
      <c r="W275" s="12">
        <v>1652238</v>
      </c>
      <c r="X275" s="12">
        <v>426313</v>
      </c>
      <c r="Y275" s="12">
        <v>7682370</v>
      </c>
      <c r="Z275" s="12">
        <v>1840375</v>
      </c>
      <c r="AA275" s="12">
        <v>10612750</v>
      </c>
      <c r="AB275" s="12"/>
      <c r="AC275" s="12">
        <v>4184436</v>
      </c>
      <c r="AD275" s="12">
        <v>26398482</v>
      </c>
    </row>
    <row r="276" spans="1:30" x14ac:dyDescent="0.25">
      <c r="A276" t="s">
        <v>241</v>
      </c>
      <c r="B276" t="s">
        <v>885</v>
      </c>
      <c r="C276" s="12">
        <v>635980</v>
      </c>
      <c r="D276" s="12">
        <v>646020</v>
      </c>
      <c r="E276" s="12">
        <v>399050</v>
      </c>
      <c r="F276" s="12">
        <v>341635</v>
      </c>
      <c r="G276" s="12"/>
      <c r="H276" s="12"/>
      <c r="I276" s="12">
        <v>2518855</v>
      </c>
      <c r="J276" s="12">
        <v>4541540</v>
      </c>
      <c r="U276" t="s">
        <v>241</v>
      </c>
      <c r="V276" t="s">
        <v>885</v>
      </c>
      <c r="W276" s="12">
        <v>328553</v>
      </c>
      <c r="X276" s="12">
        <v>643162</v>
      </c>
      <c r="Y276" s="12">
        <v>2299104</v>
      </c>
      <c r="Z276" s="12">
        <v>1304828</v>
      </c>
      <c r="AA276" s="12"/>
      <c r="AB276" s="12"/>
      <c r="AC276" s="12">
        <v>6599909</v>
      </c>
      <c r="AD276" s="12">
        <v>11175556</v>
      </c>
    </row>
    <row r="277" spans="1:30" x14ac:dyDescent="0.25">
      <c r="J277"/>
    </row>
    <row r="278" spans="1:30" x14ac:dyDescent="0.25">
      <c r="J278"/>
    </row>
    <row r="279" spans="1:30" x14ac:dyDescent="0.25">
      <c r="J279"/>
    </row>
    <row r="280" spans="1:30" x14ac:dyDescent="0.25">
      <c r="J280"/>
    </row>
    <row r="281" spans="1:30" x14ac:dyDescent="0.25">
      <c r="J281"/>
    </row>
    <row r="282" spans="1:30" x14ac:dyDescent="0.25">
      <c r="J282"/>
    </row>
    <row r="283" spans="1:30" x14ac:dyDescent="0.25">
      <c r="J283"/>
    </row>
    <row r="284" spans="1:30" x14ac:dyDescent="0.25">
      <c r="J284"/>
    </row>
    <row r="285" spans="1:30" x14ac:dyDescent="0.25">
      <c r="J285"/>
    </row>
    <row r="286" spans="1:30" x14ac:dyDescent="0.25">
      <c r="J286"/>
    </row>
    <row r="287" spans="1:30" x14ac:dyDescent="0.25">
      <c r="J287"/>
    </row>
    <row r="290" spans="1:31" x14ac:dyDescent="0.25">
      <c r="A290" s="2" t="s">
        <v>869</v>
      </c>
      <c r="B290" t="s">
        <v>870</v>
      </c>
      <c r="R290" s="2" t="s">
        <v>869</v>
      </c>
      <c r="S290" t="s">
        <v>870</v>
      </c>
      <c r="T290"/>
      <c r="AA290" s="47"/>
    </row>
    <row r="291" spans="1:31" x14ac:dyDescent="0.25">
      <c r="A291" s="2" t="s">
        <v>105</v>
      </c>
      <c r="B291" t="s">
        <v>870</v>
      </c>
      <c r="R291" s="2" t="s">
        <v>105</v>
      </c>
      <c r="S291" t="s">
        <v>870</v>
      </c>
      <c r="T291"/>
      <c r="AA291" s="47"/>
    </row>
    <row r="292" spans="1:31" x14ac:dyDescent="0.25">
      <c r="A292" s="2" t="s">
        <v>106</v>
      </c>
      <c r="B292" s="3">
        <v>2024</v>
      </c>
      <c r="R292" s="2" t="s">
        <v>106</v>
      </c>
      <c r="S292" s="3">
        <v>2024</v>
      </c>
      <c r="T292"/>
      <c r="AA292" s="47"/>
    </row>
    <row r="293" spans="1:31" x14ac:dyDescent="0.25">
      <c r="A293" s="2" t="s">
        <v>5</v>
      </c>
      <c r="B293" t="s">
        <v>146</v>
      </c>
      <c r="R293" s="2" t="s">
        <v>5</v>
      </c>
      <c r="S293" t="s">
        <v>146</v>
      </c>
      <c r="T293"/>
      <c r="AA293" s="47"/>
    </row>
    <row r="294" spans="1:31" x14ac:dyDescent="0.25">
      <c r="T294"/>
      <c r="AA294" s="47"/>
    </row>
    <row r="295" spans="1:31" x14ac:dyDescent="0.25">
      <c r="A295" s="2" t="s">
        <v>903</v>
      </c>
      <c r="C295" s="2" t="s">
        <v>111</v>
      </c>
      <c r="J295"/>
      <c r="R295" s="2" t="s">
        <v>874</v>
      </c>
      <c r="T295" s="2" t="s">
        <v>111</v>
      </c>
    </row>
    <row r="296" spans="1:31" x14ac:dyDescent="0.25">
      <c r="A296" s="2" t="s">
        <v>7</v>
      </c>
      <c r="B296" s="2" t="s">
        <v>107</v>
      </c>
      <c r="C296" t="s">
        <v>157</v>
      </c>
      <c r="D296" t="s">
        <v>61</v>
      </c>
      <c r="E296" t="s">
        <v>42</v>
      </c>
      <c r="F296" t="s">
        <v>32</v>
      </c>
      <c r="G296" t="s">
        <v>71</v>
      </c>
      <c r="H296" t="s">
        <v>68</v>
      </c>
      <c r="I296" t="s">
        <v>75</v>
      </c>
      <c r="J296" t="s">
        <v>27</v>
      </c>
      <c r="K296" t="s">
        <v>48</v>
      </c>
      <c r="L296" t="s">
        <v>55</v>
      </c>
      <c r="M296" t="s">
        <v>21</v>
      </c>
      <c r="N296" t="s">
        <v>875</v>
      </c>
      <c r="R296" s="2" t="s">
        <v>7</v>
      </c>
      <c r="S296" s="2" t="s">
        <v>107</v>
      </c>
      <c r="T296" t="s">
        <v>157</v>
      </c>
      <c r="U296" t="s">
        <v>61</v>
      </c>
      <c r="V296" t="s">
        <v>42</v>
      </c>
      <c r="W296" t="s">
        <v>32</v>
      </c>
      <c r="X296" t="s">
        <v>71</v>
      </c>
      <c r="Y296" t="s">
        <v>68</v>
      </c>
      <c r="Z296" t="s">
        <v>75</v>
      </c>
      <c r="AA296" t="s">
        <v>27</v>
      </c>
      <c r="AB296" t="s">
        <v>48</v>
      </c>
      <c r="AC296" t="s">
        <v>55</v>
      </c>
      <c r="AD296" t="s">
        <v>21</v>
      </c>
      <c r="AE296" t="s">
        <v>875</v>
      </c>
    </row>
    <row r="297" spans="1:31" x14ac:dyDescent="0.25">
      <c r="A297" t="s">
        <v>33</v>
      </c>
      <c r="B297" t="s">
        <v>878</v>
      </c>
      <c r="C297" s="12"/>
      <c r="D297" s="12">
        <v>77192176.477933764</v>
      </c>
      <c r="E297" s="12"/>
      <c r="F297" s="12"/>
      <c r="G297" s="12">
        <v>51370.883810328669</v>
      </c>
      <c r="H297" s="12"/>
      <c r="I297" s="12"/>
      <c r="J297" s="12"/>
      <c r="K297" s="12"/>
      <c r="L297" s="12"/>
      <c r="M297" s="12">
        <v>3216319.282230427</v>
      </c>
      <c r="N297" s="12">
        <v>80459866.643974513</v>
      </c>
      <c r="R297" t="s">
        <v>33</v>
      </c>
      <c r="S297" t="s">
        <v>878</v>
      </c>
      <c r="T297" s="12"/>
      <c r="U297" s="12">
        <v>22316100.4056</v>
      </c>
      <c r="V297" s="12"/>
      <c r="W297" s="12"/>
      <c r="X297" s="12">
        <v>63734.671231273242</v>
      </c>
      <c r="Y297" s="12"/>
      <c r="Z297" s="12"/>
      <c r="AA297" s="12"/>
      <c r="AB297" s="12"/>
      <c r="AC297" s="12"/>
      <c r="AD297" s="12">
        <v>7541781.2217200883</v>
      </c>
      <c r="AE297" s="12">
        <v>29921616.298551362</v>
      </c>
    </row>
    <row r="298" spans="1:31" x14ac:dyDescent="0.25">
      <c r="A298" t="s">
        <v>33</v>
      </c>
      <c r="B298" t="s">
        <v>696</v>
      </c>
      <c r="C298" s="12"/>
      <c r="D298" s="12"/>
      <c r="E298" s="12"/>
      <c r="F298" s="12">
        <v>479955.79790113703</v>
      </c>
      <c r="G298" s="12">
        <v>103314.3700243309</v>
      </c>
      <c r="H298" s="12">
        <v>2141243.0517728608</v>
      </c>
      <c r="I298" s="12"/>
      <c r="J298" s="12"/>
      <c r="K298" s="12"/>
      <c r="L298" s="12">
        <v>153555.48585692982</v>
      </c>
      <c r="M298" s="12">
        <v>3691036.2962279329</v>
      </c>
      <c r="N298" s="12">
        <v>6569105.0017831912</v>
      </c>
      <c r="R298" t="s">
        <v>33</v>
      </c>
      <c r="S298" t="s">
        <v>696</v>
      </c>
      <c r="T298" s="12"/>
      <c r="U298" s="12"/>
      <c r="V298" s="12"/>
      <c r="W298" s="12">
        <v>14877404.783415884</v>
      </c>
      <c r="X298" s="12">
        <v>287097.74436090223</v>
      </c>
      <c r="Y298" s="12">
        <v>1544936.3549941098</v>
      </c>
      <c r="Z298" s="12"/>
      <c r="AA298" s="12"/>
      <c r="AB298" s="12"/>
      <c r="AC298" s="12">
        <v>692485.16101994028</v>
      </c>
      <c r="AD298" s="12">
        <v>20163956.016720325</v>
      </c>
      <c r="AE298" s="12">
        <v>37565880.060511157</v>
      </c>
    </row>
    <row r="299" spans="1:31" x14ac:dyDescent="0.25">
      <c r="A299" t="s">
        <v>28</v>
      </c>
      <c r="B299" t="s">
        <v>559</v>
      </c>
      <c r="C299" s="12"/>
      <c r="D299" s="12">
        <v>1080350</v>
      </c>
      <c r="E299" s="12"/>
      <c r="F299" s="12"/>
      <c r="G299" s="12">
        <v>57777.777777777774</v>
      </c>
      <c r="H299" s="12"/>
      <c r="I299" s="12">
        <v>98141.111111111109</v>
      </c>
      <c r="J299" s="12"/>
      <c r="K299" s="12"/>
      <c r="L299" s="12"/>
      <c r="M299" s="12">
        <v>506205.5555555555</v>
      </c>
      <c r="N299" s="12">
        <v>1742474.4444444443</v>
      </c>
      <c r="R299" t="s">
        <v>28</v>
      </c>
      <c r="S299" t="s">
        <v>559</v>
      </c>
      <c r="T299" s="12"/>
      <c r="U299" s="12">
        <v>2311497</v>
      </c>
      <c r="V299" s="12"/>
      <c r="W299" s="12"/>
      <c r="X299" s="12">
        <v>553695</v>
      </c>
      <c r="Y299" s="12"/>
      <c r="Z299" s="12">
        <v>307931</v>
      </c>
      <c r="AA299" s="12"/>
      <c r="AB299" s="12"/>
      <c r="AC299" s="12"/>
      <c r="AD299" s="12">
        <v>1673798</v>
      </c>
      <c r="AE299" s="12">
        <v>4846921</v>
      </c>
    </row>
    <row r="300" spans="1:31" x14ac:dyDescent="0.25">
      <c r="A300" t="s">
        <v>28</v>
      </c>
      <c r="B300" t="s">
        <v>888</v>
      </c>
      <c r="C300" s="12"/>
      <c r="D300" s="12">
        <v>6341375.5854834793</v>
      </c>
      <c r="E300" s="12">
        <v>59866.623288445349</v>
      </c>
      <c r="F300" s="12">
        <v>215500</v>
      </c>
      <c r="G300" s="12"/>
      <c r="H300" s="12">
        <v>789500</v>
      </c>
      <c r="I300" s="12">
        <v>0</v>
      </c>
      <c r="J300" s="12">
        <v>343403.42088702915</v>
      </c>
      <c r="K300" s="12">
        <v>91529.636318254197</v>
      </c>
      <c r="L300" s="12">
        <v>222688.71249772221</v>
      </c>
      <c r="M300" s="12">
        <v>327636.02152506931</v>
      </c>
      <c r="N300" s="12">
        <v>8391500</v>
      </c>
      <c r="R300" t="s">
        <v>28</v>
      </c>
      <c r="S300" t="s">
        <v>888</v>
      </c>
      <c r="T300" s="12"/>
      <c r="U300" s="12">
        <v>6143492.3737615487</v>
      </c>
      <c r="V300" s="12">
        <v>111297.76629193229</v>
      </c>
      <c r="W300" s="12">
        <v>507641.40842441667</v>
      </c>
      <c r="X300" s="12"/>
      <c r="Y300" s="12">
        <v>935000</v>
      </c>
      <c r="Z300" s="12">
        <v>47839.991604994866</v>
      </c>
      <c r="AA300" s="12">
        <v>748708.81380297919</v>
      </c>
      <c r="AB300" s="12">
        <v>183183.51263906341</v>
      </c>
      <c r="AC300" s="12">
        <v>643329.16942319879</v>
      </c>
      <c r="AD300" s="12">
        <v>1700506.9640518669</v>
      </c>
      <c r="AE300" s="12">
        <v>11021000</v>
      </c>
    </row>
    <row r="301" spans="1:31" x14ac:dyDescent="0.25">
      <c r="A301" t="s">
        <v>28</v>
      </c>
      <c r="B301" t="s">
        <v>893</v>
      </c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>
        <v>947494.4444444445</v>
      </c>
      <c r="N301" s="12">
        <v>947494.4444444445</v>
      </c>
      <c r="R301" t="s">
        <v>28</v>
      </c>
      <c r="S301" t="s">
        <v>893</v>
      </c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>
        <v>1507369</v>
      </c>
      <c r="AE301" s="12">
        <v>1507369</v>
      </c>
    </row>
    <row r="302" spans="1:31" x14ac:dyDescent="0.25">
      <c r="A302" t="s">
        <v>28</v>
      </c>
      <c r="B302" t="s">
        <v>889</v>
      </c>
      <c r="C302" s="12"/>
      <c r="D302" s="12"/>
      <c r="E302" s="12"/>
      <c r="F302" s="12"/>
      <c r="G302" s="12"/>
      <c r="H302" s="12"/>
      <c r="I302" s="12">
        <v>1362488.8888888888</v>
      </c>
      <c r="J302" s="12"/>
      <c r="K302" s="12"/>
      <c r="L302" s="12"/>
      <c r="M302" s="12">
        <v>2407602.222222222</v>
      </c>
      <c r="N302" s="12">
        <v>3770091.111111111</v>
      </c>
      <c r="R302" t="s">
        <v>28</v>
      </c>
      <c r="S302" t="s">
        <v>889</v>
      </c>
      <c r="T302" s="12"/>
      <c r="U302" s="12"/>
      <c r="V302" s="12"/>
      <c r="W302" s="12"/>
      <c r="X302" s="12"/>
      <c r="Y302" s="12"/>
      <c r="Z302" s="12">
        <v>2013450</v>
      </c>
      <c r="AA302" s="12"/>
      <c r="AB302" s="12"/>
      <c r="AC302" s="12"/>
      <c r="AD302" s="12">
        <v>5009231</v>
      </c>
      <c r="AE302" s="12">
        <v>7022681</v>
      </c>
    </row>
    <row r="303" spans="1:31" x14ac:dyDescent="0.25">
      <c r="A303" t="s">
        <v>134</v>
      </c>
      <c r="B303" t="s">
        <v>879</v>
      </c>
      <c r="C303" s="12"/>
      <c r="D303" s="12"/>
      <c r="E303" s="12"/>
      <c r="F303" s="12">
        <v>2037726</v>
      </c>
      <c r="G303" s="12"/>
      <c r="H303" s="12"/>
      <c r="I303" s="12"/>
      <c r="J303" s="12"/>
      <c r="K303" s="12"/>
      <c r="L303" s="12"/>
      <c r="M303" s="12">
        <v>3772734</v>
      </c>
      <c r="N303" s="12">
        <v>5810460</v>
      </c>
      <c r="R303" t="s">
        <v>134</v>
      </c>
      <c r="S303" t="s">
        <v>879</v>
      </c>
      <c r="T303" s="12"/>
      <c r="U303" s="12"/>
      <c r="V303" s="12"/>
      <c r="W303" s="12">
        <v>14955000</v>
      </c>
      <c r="X303" s="12"/>
      <c r="Y303" s="12"/>
      <c r="Z303" s="12"/>
      <c r="AA303" s="12"/>
      <c r="AB303" s="12"/>
      <c r="AC303" s="12"/>
      <c r="AD303" s="12">
        <v>35400000</v>
      </c>
      <c r="AE303" s="12">
        <v>50355000</v>
      </c>
    </row>
    <row r="304" spans="1:31" x14ac:dyDescent="0.25">
      <c r="A304" t="s">
        <v>134</v>
      </c>
      <c r="B304" t="s">
        <v>876</v>
      </c>
      <c r="C304" s="12"/>
      <c r="D304" s="12"/>
      <c r="E304" s="12"/>
      <c r="F304" s="12">
        <v>2229861</v>
      </c>
      <c r="G304" s="12"/>
      <c r="H304" s="12"/>
      <c r="I304" s="12"/>
      <c r="J304" s="12"/>
      <c r="K304" s="12">
        <v>1370</v>
      </c>
      <c r="L304" s="12"/>
      <c r="M304" s="12">
        <v>4414891</v>
      </c>
      <c r="N304" s="12">
        <v>6646122</v>
      </c>
      <c r="R304" t="s">
        <v>134</v>
      </c>
      <c r="S304" t="s">
        <v>876</v>
      </c>
      <c r="T304" s="12"/>
      <c r="U304" s="12"/>
      <c r="V304" s="12"/>
      <c r="W304" s="12">
        <v>12467036</v>
      </c>
      <c r="X304" s="12"/>
      <c r="Y304" s="12"/>
      <c r="Z304" s="12"/>
      <c r="AA304" s="12"/>
      <c r="AB304" s="12"/>
      <c r="AC304" s="12"/>
      <c r="AD304" s="12">
        <v>44445447</v>
      </c>
      <c r="AE304" s="12">
        <v>56912483</v>
      </c>
    </row>
    <row r="305" spans="1:31" x14ac:dyDescent="0.25">
      <c r="A305" t="s">
        <v>199</v>
      </c>
      <c r="B305" t="s">
        <v>887</v>
      </c>
      <c r="C305" s="12"/>
      <c r="D305" s="12">
        <v>3366669.9600000004</v>
      </c>
      <c r="E305" s="12">
        <v>1127519.077336201</v>
      </c>
      <c r="F305" s="12"/>
      <c r="G305" s="12"/>
      <c r="H305" s="12"/>
      <c r="I305" s="12"/>
      <c r="J305" s="12">
        <v>184709.92660030792</v>
      </c>
      <c r="K305" s="12">
        <v>282712.80146888155</v>
      </c>
      <c r="L305" s="12">
        <v>2740039.0513679627</v>
      </c>
      <c r="M305" s="12">
        <v>6740382.4186045928</v>
      </c>
      <c r="N305" s="12">
        <v>14442033.235377947</v>
      </c>
      <c r="R305" t="s">
        <v>199</v>
      </c>
      <c r="S305" t="s">
        <v>887</v>
      </c>
      <c r="T305" s="12"/>
      <c r="U305" s="12">
        <v>3690440.0929362322</v>
      </c>
      <c r="V305" s="12">
        <v>544008.83168399346</v>
      </c>
      <c r="W305" s="12"/>
      <c r="X305" s="12"/>
      <c r="Y305" s="12"/>
      <c r="Z305" s="12"/>
      <c r="AA305" s="12">
        <v>224847.28476129082</v>
      </c>
      <c r="AB305" s="12">
        <v>369786.53685957694</v>
      </c>
      <c r="AC305" s="12">
        <v>2936076.1023504045</v>
      </c>
      <c r="AD305" s="12">
        <v>15355894.340784051</v>
      </c>
      <c r="AE305" s="12">
        <v>23121053.18937555</v>
      </c>
    </row>
    <row r="306" spans="1:31" x14ac:dyDescent="0.25">
      <c r="A306" t="s">
        <v>199</v>
      </c>
      <c r="B306" t="s">
        <v>892</v>
      </c>
      <c r="C306" s="12"/>
      <c r="D306" s="12"/>
      <c r="E306" s="12"/>
      <c r="F306" s="12"/>
      <c r="G306" s="12">
        <v>190218.60869565216</v>
      </c>
      <c r="H306" s="12">
        <v>855308.08695652173</v>
      </c>
      <c r="I306" s="12">
        <v>423318.60869565216</v>
      </c>
      <c r="J306" s="12">
        <v>29976.5</v>
      </c>
      <c r="K306" s="12"/>
      <c r="L306" s="12"/>
      <c r="M306" s="12">
        <v>9600713.347826086</v>
      </c>
      <c r="N306" s="12">
        <v>11099535.152173912</v>
      </c>
      <c r="R306" t="s">
        <v>199</v>
      </c>
      <c r="S306" t="s">
        <v>892</v>
      </c>
      <c r="T306" s="12"/>
      <c r="U306" s="12"/>
      <c r="V306" s="12"/>
      <c r="W306" s="12"/>
      <c r="X306" s="12">
        <v>331427</v>
      </c>
      <c r="Y306" s="12">
        <v>538338</v>
      </c>
      <c r="Z306" s="12">
        <v>910560</v>
      </c>
      <c r="AA306" s="12">
        <v>51544.5</v>
      </c>
      <c r="AB306" s="12"/>
      <c r="AC306" s="12"/>
      <c r="AD306" s="12">
        <v>8666121</v>
      </c>
      <c r="AE306" s="12">
        <v>10497990.5</v>
      </c>
    </row>
    <row r="307" spans="1:31" x14ac:dyDescent="0.25">
      <c r="A307" t="s">
        <v>241</v>
      </c>
      <c r="B307" t="s">
        <v>891</v>
      </c>
      <c r="C307" s="12"/>
      <c r="D307" s="12">
        <v>1350050</v>
      </c>
      <c r="E307" s="12"/>
      <c r="F307" s="12"/>
      <c r="G307" s="12">
        <v>157300</v>
      </c>
      <c r="H307" s="12"/>
      <c r="I307" s="12"/>
      <c r="J307" s="12"/>
      <c r="K307" s="12"/>
      <c r="L307" s="12">
        <v>3590405</v>
      </c>
      <c r="M307" s="12">
        <v>6523485</v>
      </c>
      <c r="N307" s="12">
        <v>11621240</v>
      </c>
      <c r="R307" t="s">
        <v>241</v>
      </c>
      <c r="S307" t="s">
        <v>891</v>
      </c>
      <c r="T307" s="12"/>
      <c r="U307" s="12">
        <v>1915416</v>
      </c>
      <c r="V307" s="12"/>
      <c r="W307" s="12"/>
      <c r="X307" s="12">
        <v>237057</v>
      </c>
      <c r="Y307" s="12"/>
      <c r="Z307" s="12"/>
      <c r="AA307" s="12"/>
      <c r="AB307" s="12"/>
      <c r="AC307" s="12">
        <v>1680106</v>
      </c>
      <c r="AD307" s="12">
        <v>6889391</v>
      </c>
      <c r="AE307" s="12">
        <v>10721970</v>
      </c>
    </row>
    <row r="308" spans="1:31" x14ac:dyDescent="0.25">
      <c r="A308" t="s">
        <v>241</v>
      </c>
      <c r="B308" t="s">
        <v>885</v>
      </c>
      <c r="C308" s="12">
        <v>610</v>
      </c>
      <c r="D308" s="12">
        <v>205180</v>
      </c>
      <c r="E308" s="12"/>
      <c r="F308" s="12">
        <v>500090</v>
      </c>
      <c r="G308" s="12"/>
      <c r="H308" s="12">
        <v>1983630</v>
      </c>
      <c r="I308" s="12"/>
      <c r="J308" s="12"/>
      <c r="K308" s="12"/>
      <c r="L308" s="12"/>
      <c r="M308" s="12">
        <v>4620930</v>
      </c>
      <c r="N308" s="12">
        <v>7310440</v>
      </c>
      <c r="R308" t="s">
        <v>241</v>
      </c>
      <c r="S308" t="s">
        <v>885</v>
      </c>
      <c r="T308" s="12">
        <v>53947</v>
      </c>
      <c r="U308" s="12">
        <v>202236</v>
      </c>
      <c r="V308" s="12"/>
      <c r="W308" s="12">
        <v>557897</v>
      </c>
      <c r="X308" s="12"/>
      <c r="Y308" s="12">
        <v>1865267</v>
      </c>
      <c r="Z308" s="12"/>
      <c r="AA308" s="12"/>
      <c r="AB308" s="12"/>
      <c r="AC308" s="12"/>
      <c r="AD308" s="12">
        <v>3572902</v>
      </c>
      <c r="AE308" s="12">
        <v>6252249</v>
      </c>
    </row>
    <row r="309" spans="1:31" x14ac:dyDescent="0.25">
      <c r="J309"/>
      <c r="T309"/>
    </row>
    <row r="310" spans="1:31" x14ac:dyDescent="0.25">
      <c r="J310"/>
      <c r="T310"/>
    </row>
    <row r="311" spans="1:31" x14ac:dyDescent="0.25">
      <c r="J311"/>
      <c r="T311"/>
    </row>
    <row r="312" spans="1:31" x14ac:dyDescent="0.25">
      <c r="J312"/>
      <c r="T312"/>
    </row>
    <row r="313" spans="1:31" x14ac:dyDescent="0.25">
      <c r="J313"/>
      <c r="T313"/>
    </row>
    <row r="314" spans="1:31" x14ac:dyDescent="0.25">
      <c r="J314"/>
      <c r="T314"/>
    </row>
    <row r="315" spans="1:31" x14ac:dyDescent="0.25">
      <c r="J315"/>
      <c r="T315"/>
    </row>
    <row r="316" spans="1:31" x14ac:dyDescent="0.25">
      <c r="J316"/>
      <c r="T316"/>
    </row>
    <row r="317" spans="1:31" x14ac:dyDescent="0.25">
      <c r="J317"/>
      <c r="T317"/>
    </row>
    <row r="318" spans="1:31" x14ac:dyDescent="0.25">
      <c r="J318"/>
      <c r="T318"/>
    </row>
    <row r="319" spans="1:31" x14ac:dyDescent="0.25">
      <c r="J319"/>
      <c r="T319"/>
    </row>
    <row r="320" spans="1:31" x14ac:dyDescent="0.25">
      <c r="J320"/>
      <c r="T320"/>
    </row>
    <row r="321" spans="1:27" x14ac:dyDescent="0.25">
      <c r="J321"/>
      <c r="T321"/>
    </row>
    <row r="322" spans="1:27" x14ac:dyDescent="0.25">
      <c r="J322"/>
      <c r="T322"/>
    </row>
    <row r="323" spans="1:27" x14ac:dyDescent="0.25">
      <c r="J323"/>
      <c r="T323"/>
    </row>
    <row r="324" spans="1:27" x14ac:dyDescent="0.25">
      <c r="J324"/>
      <c r="T324"/>
    </row>
    <row r="325" spans="1:27" x14ac:dyDescent="0.25">
      <c r="J325"/>
      <c r="T325"/>
    </row>
    <row r="326" spans="1:27" x14ac:dyDescent="0.25">
      <c r="J326"/>
      <c r="T326"/>
    </row>
    <row r="327" spans="1:27" x14ac:dyDescent="0.25">
      <c r="J327"/>
      <c r="T327"/>
    </row>
    <row r="328" spans="1:27" x14ac:dyDescent="0.25">
      <c r="J328"/>
      <c r="T328"/>
    </row>
    <row r="329" spans="1:27" x14ac:dyDescent="0.25">
      <c r="J329"/>
      <c r="T329"/>
    </row>
    <row r="330" spans="1:27" x14ac:dyDescent="0.25">
      <c r="J330"/>
      <c r="T330"/>
    </row>
    <row r="331" spans="1:27" x14ac:dyDescent="0.25">
      <c r="J331"/>
      <c r="T331"/>
    </row>
    <row r="332" spans="1:27" x14ac:dyDescent="0.25">
      <c r="J332"/>
      <c r="T332"/>
    </row>
    <row r="333" spans="1:27" x14ac:dyDescent="0.25">
      <c r="J333"/>
      <c r="T333"/>
    </row>
    <row r="334" spans="1:27" x14ac:dyDescent="0.25">
      <c r="J334"/>
      <c r="T334"/>
    </row>
    <row r="335" spans="1:27" x14ac:dyDescent="0.25">
      <c r="A335" s="2" t="s">
        <v>869</v>
      </c>
      <c r="B335" t="s">
        <v>870</v>
      </c>
      <c r="R335" s="2" t="s">
        <v>869</v>
      </c>
      <c r="S335" t="s">
        <v>870</v>
      </c>
      <c r="T335"/>
    </row>
    <row r="336" spans="1:27" x14ac:dyDescent="0.25">
      <c r="A336" s="2" t="s">
        <v>105</v>
      </c>
      <c r="B336" t="s">
        <v>870</v>
      </c>
      <c r="R336" s="2" t="s">
        <v>105</v>
      </c>
      <c r="S336" t="s">
        <v>870</v>
      </c>
      <c r="T336"/>
      <c r="AA336" s="47"/>
    </row>
    <row r="337" spans="1:27" x14ac:dyDescent="0.25">
      <c r="A337" s="2" t="s">
        <v>106</v>
      </c>
      <c r="B337" s="3">
        <v>2024</v>
      </c>
      <c r="R337" s="2" t="s">
        <v>106</v>
      </c>
      <c r="S337" s="3">
        <v>2024</v>
      </c>
      <c r="T337"/>
      <c r="AA337" s="47"/>
    </row>
    <row r="338" spans="1:27" x14ac:dyDescent="0.25">
      <c r="A338" s="2" t="s">
        <v>5</v>
      </c>
      <c r="B338" t="s">
        <v>143</v>
      </c>
      <c r="R338" s="2" t="s">
        <v>5</v>
      </c>
      <c r="S338" t="s">
        <v>143</v>
      </c>
      <c r="T338"/>
      <c r="AA338" s="47"/>
    </row>
    <row r="339" spans="1:27" x14ac:dyDescent="0.25">
      <c r="T339"/>
      <c r="AA339" s="47"/>
    </row>
    <row r="340" spans="1:27" x14ac:dyDescent="0.25">
      <c r="A340" s="2" t="s">
        <v>903</v>
      </c>
      <c r="C340" s="2" t="s">
        <v>111</v>
      </c>
      <c r="J340"/>
      <c r="R340" s="2" t="s">
        <v>874</v>
      </c>
      <c r="T340" s="2" t="s">
        <v>111</v>
      </c>
    </row>
    <row r="341" spans="1:27" x14ac:dyDescent="0.25">
      <c r="A341" s="2" t="s">
        <v>7</v>
      </c>
      <c r="B341" s="2" t="s">
        <v>107</v>
      </c>
      <c r="C341" t="s">
        <v>157</v>
      </c>
      <c r="D341" t="s">
        <v>42</v>
      </c>
      <c r="E341" t="s">
        <v>32</v>
      </c>
      <c r="F341" t="s">
        <v>27</v>
      </c>
      <c r="G341" t="s">
        <v>48</v>
      </c>
      <c r="H341" t="s">
        <v>55</v>
      </c>
      <c r="I341" t="s">
        <v>21</v>
      </c>
      <c r="J341" t="s">
        <v>875</v>
      </c>
      <c r="R341" s="2" t="s">
        <v>7</v>
      </c>
      <c r="S341" s="2" t="s">
        <v>107</v>
      </c>
      <c r="T341" t="s">
        <v>157</v>
      </c>
      <c r="U341" t="s">
        <v>42</v>
      </c>
      <c r="V341" t="s">
        <v>32</v>
      </c>
      <c r="W341" t="s">
        <v>27</v>
      </c>
      <c r="X341" t="s">
        <v>48</v>
      </c>
      <c r="Y341" t="s">
        <v>55</v>
      </c>
      <c r="Z341" t="s">
        <v>21</v>
      </c>
      <c r="AA341" t="s">
        <v>875</v>
      </c>
    </row>
    <row r="342" spans="1:27" x14ac:dyDescent="0.25">
      <c r="A342" t="s">
        <v>33</v>
      </c>
      <c r="B342" t="s">
        <v>878</v>
      </c>
      <c r="C342" s="12"/>
      <c r="D342" s="12"/>
      <c r="E342" s="12"/>
      <c r="F342" s="12">
        <v>978538.951</v>
      </c>
      <c r="G342" s="12"/>
      <c r="H342" s="12"/>
      <c r="I342" s="12">
        <v>1573984.858</v>
      </c>
      <c r="J342" s="12">
        <v>2552523.8089999999</v>
      </c>
      <c r="R342" t="s">
        <v>33</v>
      </c>
      <c r="S342" t="s">
        <v>878</v>
      </c>
      <c r="T342" s="12"/>
      <c r="U342" s="12"/>
      <c r="V342" s="12"/>
      <c r="W342" s="12">
        <v>11360940.664799999</v>
      </c>
      <c r="X342" s="12"/>
      <c r="Y342" s="12"/>
      <c r="Z342" s="12">
        <v>5642037.9022639999</v>
      </c>
      <c r="AA342" s="12">
        <v>17002978.567063998</v>
      </c>
    </row>
    <row r="343" spans="1:27" x14ac:dyDescent="0.25">
      <c r="A343" t="s">
        <v>33</v>
      </c>
      <c r="B343" t="s">
        <v>696</v>
      </c>
      <c r="C343" s="12"/>
      <c r="D343" s="12">
        <v>443907.14714296872</v>
      </c>
      <c r="E343" s="12">
        <v>0</v>
      </c>
      <c r="F343" s="12">
        <v>4600.074342180018</v>
      </c>
      <c r="G343" s="12">
        <v>3576.593686282512</v>
      </c>
      <c r="H343" s="12">
        <v>94270.713854451344</v>
      </c>
      <c r="I343" s="12">
        <v>130045.37306858883</v>
      </c>
      <c r="J343" s="12">
        <v>676399.90209447138</v>
      </c>
      <c r="R343" t="s">
        <v>33</v>
      </c>
      <c r="S343" t="s">
        <v>696</v>
      </c>
      <c r="T343" s="12"/>
      <c r="U343" s="12">
        <v>4386439.2576681497</v>
      </c>
      <c r="V343" s="12">
        <v>5469.2825768667644</v>
      </c>
      <c r="W343" s="12">
        <v>69882.867110647916</v>
      </c>
      <c r="X343" s="12">
        <v>144091.94704922513</v>
      </c>
      <c r="Y343" s="12">
        <v>432506.72353886341</v>
      </c>
      <c r="Z343" s="12">
        <v>2037795.7602887005</v>
      </c>
      <c r="AA343" s="12">
        <v>7076185.838232453</v>
      </c>
    </row>
    <row r="344" spans="1:27" x14ac:dyDescent="0.25">
      <c r="A344" t="s">
        <v>28</v>
      </c>
      <c r="B344" t="s">
        <v>559</v>
      </c>
      <c r="C344" s="12"/>
      <c r="D344" s="12">
        <v>294612.22222222219</v>
      </c>
      <c r="E344" s="12"/>
      <c r="F344" s="12">
        <v>526814.4444444445</v>
      </c>
      <c r="G344" s="12"/>
      <c r="H344" s="12"/>
      <c r="I344" s="12">
        <v>414551.11111111112</v>
      </c>
      <c r="J344" s="12">
        <v>1235977.777777778</v>
      </c>
      <c r="R344" t="s">
        <v>28</v>
      </c>
      <c r="S344" t="s">
        <v>559</v>
      </c>
      <c r="T344" s="12"/>
      <c r="U344" s="12">
        <v>2026089</v>
      </c>
      <c r="V344" s="12"/>
      <c r="W344" s="12">
        <v>4326894</v>
      </c>
      <c r="X344" s="12"/>
      <c r="Y344" s="12"/>
      <c r="Z344" s="12">
        <v>1184785</v>
      </c>
      <c r="AA344" s="12">
        <v>7537768</v>
      </c>
    </row>
    <row r="345" spans="1:27" x14ac:dyDescent="0.25">
      <c r="A345" t="s">
        <v>28</v>
      </c>
      <c r="B345" t="s">
        <v>888</v>
      </c>
      <c r="C345" s="12"/>
      <c r="D345" s="12">
        <v>565509.57085688226</v>
      </c>
      <c r="E345" s="12">
        <v>50250</v>
      </c>
      <c r="F345" s="12">
        <v>391238.48141663149</v>
      </c>
      <c r="G345" s="12">
        <v>89491.701257421286</v>
      </c>
      <c r="H345" s="12"/>
      <c r="I345" s="12">
        <v>320010.24646906496</v>
      </c>
      <c r="J345" s="12">
        <v>1416500</v>
      </c>
      <c r="R345" t="s">
        <v>28</v>
      </c>
      <c r="S345" t="s">
        <v>888</v>
      </c>
      <c r="T345" s="12"/>
      <c r="U345" s="12">
        <v>1187268.0022470963</v>
      </c>
      <c r="V345" s="12">
        <v>301000</v>
      </c>
      <c r="W345" s="12">
        <v>5057696.5988800032</v>
      </c>
      <c r="X345" s="12">
        <v>1744290.6219884255</v>
      </c>
      <c r="Y345" s="12"/>
      <c r="Z345" s="12">
        <v>4709744.7768844757</v>
      </c>
      <c r="AA345" s="12">
        <v>13000000</v>
      </c>
    </row>
    <row r="346" spans="1:27" x14ac:dyDescent="0.25">
      <c r="A346" t="s">
        <v>28</v>
      </c>
      <c r="B346" t="s">
        <v>893</v>
      </c>
      <c r="C346" s="12"/>
      <c r="D346" s="12"/>
      <c r="E346" s="12"/>
      <c r="F346" s="12"/>
      <c r="G346" s="12"/>
      <c r="H346" s="12"/>
      <c r="I346" s="12">
        <v>115634.44444444444</v>
      </c>
      <c r="J346" s="12">
        <v>115634.44444444444</v>
      </c>
      <c r="R346" t="s">
        <v>28</v>
      </c>
      <c r="S346" t="s">
        <v>893</v>
      </c>
      <c r="T346" s="12"/>
      <c r="U346" s="12"/>
      <c r="V346" s="12"/>
      <c r="W346" s="12"/>
      <c r="X346" s="12"/>
      <c r="Y346" s="12"/>
      <c r="Z346" s="12">
        <v>773839</v>
      </c>
      <c r="AA346" s="12">
        <v>773839</v>
      </c>
    </row>
    <row r="347" spans="1:27" x14ac:dyDescent="0.25">
      <c r="A347" t="s">
        <v>28</v>
      </c>
      <c r="B347" t="s">
        <v>889</v>
      </c>
      <c r="C347" s="12"/>
      <c r="D347" s="12"/>
      <c r="E347" s="12"/>
      <c r="F347" s="12"/>
      <c r="G347" s="12"/>
      <c r="H347" s="12"/>
      <c r="I347" s="12">
        <v>1984837.7777777778</v>
      </c>
      <c r="J347" s="12">
        <v>1984837.7777777778</v>
      </c>
      <c r="R347" t="s">
        <v>28</v>
      </c>
      <c r="S347" t="s">
        <v>889</v>
      </c>
      <c r="T347" s="12"/>
      <c r="U347" s="12"/>
      <c r="V347" s="12"/>
      <c r="W347" s="12"/>
      <c r="X347" s="12"/>
      <c r="Y347" s="12"/>
      <c r="Z347" s="12">
        <v>12417831</v>
      </c>
      <c r="AA347" s="12">
        <v>12417831</v>
      </c>
    </row>
    <row r="348" spans="1:27" x14ac:dyDescent="0.25">
      <c r="A348" t="s">
        <v>134</v>
      </c>
      <c r="B348" t="s">
        <v>879</v>
      </c>
      <c r="C348" s="12"/>
      <c r="D348" s="12"/>
      <c r="E348" s="12"/>
      <c r="F348" s="12">
        <v>376500.41518724244</v>
      </c>
      <c r="G348" s="12"/>
      <c r="H348" s="12"/>
      <c r="I348" s="12">
        <v>809648.58481275756</v>
      </c>
      <c r="J348" s="12">
        <v>1186149</v>
      </c>
      <c r="R348" t="s">
        <v>134</v>
      </c>
      <c r="S348" t="s">
        <v>879</v>
      </c>
      <c r="T348" s="12"/>
      <c r="U348" s="12"/>
      <c r="V348" s="12"/>
      <c r="W348" s="12">
        <v>9136769.9874556847</v>
      </c>
      <c r="X348" s="12"/>
      <c r="Y348" s="12"/>
      <c r="Z348" s="12">
        <v>26903230.012544315</v>
      </c>
      <c r="AA348" s="12">
        <v>36040000</v>
      </c>
    </row>
    <row r="349" spans="1:27" x14ac:dyDescent="0.25">
      <c r="A349" t="s">
        <v>134</v>
      </c>
      <c r="B349" t="s">
        <v>876</v>
      </c>
      <c r="C349" s="12"/>
      <c r="D349" s="12"/>
      <c r="E349" s="12"/>
      <c r="F349" s="12">
        <v>440181.52200000006</v>
      </c>
      <c r="G349" s="12">
        <v>50503.16</v>
      </c>
      <c r="H349" s="12"/>
      <c r="I349" s="12">
        <v>1140316.318</v>
      </c>
      <c r="J349" s="12">
        <v>1631001</v>
      </c>
      <c r="R349" t="s">
        <v>134</v>
      </c>
      <c r="S349" t="s">
        <v>876</v>
      </c>
      <c r="T349" s="12"/>
      <c r="U349" s="12"/>
      <c r="V349" s="12"/>
      <c r="W349" s="12">
        <v>10254217</v>
      </c>
      <c r="X349" s="12"/>
      <c r="Y349" s="12"/>
      <c r="Z349" s="12">
        <v>48726521</v>
      </c>
      <c r="AA349" s="12">
        <v>58980738</v>
      </c>
    </row>
    <row r="350" spans="1:27" x14ac:dyDescent="0.25">
      <c r="A350" t="s">
        <v>199</v>
      </c>
      <c r="B350" t="s">
        <v>887</v>
      </c>
      <c r="C350" s="12">
        <v>0</v>
      </c>
      <c r="D350" s="12">
        <v>1156946.7765998952</v>
      </c>
      <c r="E350" s="12"/>
      <c r="F350" s="12">
        <v>508505.62579415052</v>
      </c>
      <c r="G350" s="12">
        <v>359678.58900675148</v>
      </c>
      <c r="H350" s="12">
        <v>46658.0960390377</v>
      </c>
      <c r="I350" s="12">
        <v>658500.98028515012</v>
      </c>
      <c r="J350" s="12">
        <v>2730290.0677249851</v>
      </c>
      <c r="R350" t="s">
        <v>199</v>
      </c>
      <c r="S350" t="s">
        <v>887</v>
      </c>
      <c r="T350" s="12">
        <v>0</v>
      </c>
      <c r="U350" s="12">
        <v>1225655.892521712</v>
      </c>
      <c r="V350" s="12"/>
      <c r="W350" s="12">
        <v>7467354.7756346148</v>
      </c>
      <c r="X350" s="12">
        <v>4231748.8418846745</v>
      </c>
      <c r="Y350" s="12">
        <v>403658.6996019592</v>
      </c>
      <c r="Z350" s="12">
        <v>18172106.138882235</v>
      </c>
      <c r="AA350" s="12">
        <v>31500524.348525196</v>
      </c>
    </row>
    <row r="351" spans="1:27" x14ac:dyDescent="0.25">
      <c r="A351" t="s">
        <v>199</v>
      </c>
      <c r="B351" t="s">
        <v>892</v>
      </c>
      <c r="C351" s="12"/>
      <c r="D351" s="12"/>
      <c r="E351" s="12"/>
      <c r="F351" s="12">
        <v>648063</v>
      </c>
      <c r="G351" s="12">
        <v>57068.183999999994</v>
      </c>
      <c r="H351" s="12"/>
      <c r="I351" s="12">
        <v>590994.81599999999</v>
      </c>
      <c r="J351" s="12">
        <v>1296126</v>
      </c>
      <c r="R351" t="s">
        <v>199</v>
      </c>
      <c r="S351" t="s">
        <v>892</v>
      </c>
      <c r="T351" s="12"/>
      <c r="U351" s="12"/>
      <c r="V351" s="12"/>
      <c r="W351" s="12">
        <v>9570859.5</v>
      </c>
      <c r="X351" s="12">
        <v>1139338.3938568812</v>
      </c>
      <c r="Y351" s="12"/>
      <c r="Z351" s="12">
        <v>8431521.1061431188</v>
      </c>
      <c r="AA351" s="12">
        <v>19141719</v>
      </c>
    </row>
    <row r="352" spans="1:27" x14ac:dyDescent="0.25">
      <c r="A352" t="s">
        <v>241</v>
      </c>
      <c r="B352" t="s">
        <v>891</v>
      </c>
      <c r="C352" s="12"/>
      <c r="D352" s="12"/>
      <c r="E352" s="12"/>
      <c r="F352" s="12">
        <v>241215</v>
      </c>
      <c r="G352" s="12">
        <v>62915</v>
      </c>
      <c r="H352" s="12"/>
      <c r="I352" s="12">
        <v>73890</v>
      </c>
      <c r="J352" s="12">
        <v>378020</v>
      </c>
      <c r="R352" t="s">
        <v>241</v>
      </c>
      <c r="S352" t="s">
        <v>891</v>
      </c>
      <c r="T352" s="12"/>
      <c r="U352" s="12"/>
      <c r="V352" s="12"/>
      <c r="W352" s="12">
        <v>5800818.833333333</v>
      </c>
      <c r="X352" s="12">
        <v>1531159.1666666665</v>
      </c>
      <c r="Y352" s="12"/>
      <c r="Z352" s="12">
        <v>650234</v>
      </c>
      <c r="AA352" s="12">
        <v>7982212</v>
      </c>
    </row>
    <row r="353" spans="1:27" x14ac:dyDescent="0.25">
      <c r="A353" t="s">
        <v>241</v>
      </c>
      <c r="B353" t="s">
        <v>885</v>
      </c>
      <c r="C353" s="12"/>
      <c r="D353" s="12"/>
      <c r="E353" s="12">
        <v>4600</v>
      </c>
      <c r="F353" s="12"/>
      <c r="G353" s="12"/>
      <c r="H353" s="12"/>
      <c r="I353" s="12">
        <v>287630</v>
      </c>
      <c r="J353" s="12">
        <v>292230</v>
      </c>
      <c r="R353" t="s">
        <v>241</v>
      </c>
      <c r="S353" t="s">
        <v>885</v>
      </c>
      <c r="T353" s="12"/>
      <c r="U353" s="12"/>
      <c r="V353" s="12">
        <v>198213</v>
      </c>
      <c r="W353" s="12"/>
      <c r="X353" s="12"/>
      <c r="Y353" s="12"/>
      <c r="Z353" s="12">
        <v>3546489</v>
      </c>
      <c r="AA353" s="12">
        <v>3744702</v>
      </c>
    </row>
  </sheetData>
  <pageMargins left="0.7" right="0.7" top="0.75" bottom="0.75" header="0.3" footer="0.3"/>
  <pageSetup orientation="portrait" r:id="rId21"/>
  <drawing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DA63-93F0-4F4A-B208-14BE8589DA1E}">
  <dimension ref="A1:J675"/>
  <sheetViews>
    <sheetView workbookViewId="0"/>
  </sheetViews>
  <sheetFormatPr defaultColWidth="8.7109375" defaultRowHeight="12.75" x14ac:dyDescent="0.2"/>
  <cols>
    <col min="1" max="2" width="8.7109375" style="15"/>
    <col min="3" max="3" width="11.85546875" style="15" customWidth="1"/>
    <col min="4" max="4" width="13.42578125" style="15" bestFit="1" customWidth="1"/>
    <col min="5" max="5" width="13.42578125" style="15" customWidth="1"/>
    <col min="6" max="6" width="25.42578125" style="15" customWidth="1"/>
    <col min="7" max="7" width="10.5703125" style="15" bestFit="1" customWidth="1"/>
    <col min="8" max="8" width="8" style="15" bestFit="1" customWidth="1"/>
    <col min="9" max="9" width="8" style="15" customWidth="1"/>
    <col min="10" max="10" width="15.28515625" style="15" bestFit="1" customWidth="1"/>
    <col min="11" max="16384" width="8.7109375" style="15"/>
  </cols>
  <sheetData>
    <row r="1" spans="1:10" ht="26.25" thickBot="1" x14ac:dyDescent="0.25">
      <c r="A1" s="14" t="s">
        <v>904</v>
      </c>
      <c r="B1" s="14" t="s">
        <v>905</v>
      </c>
      <c r="C1" s="14" t="s">
        <v>906</v>
      </c>
      <c r="D1" s="14" t="s">
        <v>907</v>
      </c>
      <c r="E1" s="14" t="s">
        <v>908</v>
      </c>
      <c r="F1" s="14" t="s">
        <v>909</v>
      </c>
      <c r="G1" s="14" t="s">
        <v>910</v>
      </c>
      <c r="H1" s="14" t="s">
        <v>5</v>
      </c>
      <c r="I1" s="14" t="s">
        <v>911</v>
      </c>
      <c r="J1" s="14" t="s">
        <v>912</v>
      </c>
    </row>
    <row r="2" spans="1:10" x14ac:dyDescent="0.2">
      <c r="A2" s="114" t="str">
        <f>_xlfn.XLOOKUP(E2,Program_data!$E$3:$E$1234,Program_data!$E$3:$E$1234,"",0,1)</f>
        <v>Ameren-IL</v>
      </c>
      <c r="B2" s="114" t="str">
        <f>UPPER(LEFT(C2,2))</f>
        <v>IL</v>
      </c>
      <c r="C2" s="114" t="s">
        <v>58</v>
      </c>
      <c r="D2" s="114" t="s">
        <v>169</v>
      </c>
      <c r="E2" s="114" t="str">
        <f>D2&amp;"-"&amp;B2</f>
        <v>Ameren-IL</v>
      </c>
      <c r="F2" s="114" t="s">
        <v>913</v>
      </c>
      <c r="G2" s="114">
        <v>1</v>
      </c>
      <c r="H2" s="115" t="s">
        <v>146</v>
      </c>
      <c r="I2" s="114" t="s">
        <v>116</v>
      </c>
      <c r="J2" s="114">
        <v>45318198</v>
      </c>
    </row>
    <row r="3" spans="1:10" x14ac:dyDescent="0.2">
      <c r="A3" s="15" t="str">
        <f>_xlfn.XLOOKUP(E3,Program_data!$E$3:$E$1234,Program_data!$E$3:$E$1234,"",0,1)</f>
        <v>Ameren-IL</v>
      </c>
      <c r="B3" s="15" t="str">
        <f t="shared" ref="B3:B51" si="0">UPPER(LEFT(C3,2))</f>
        <v>IL</v>
      </c>
      <c r="C3" s="15" t="s">
        <v>58</v>
      </c>
      <c r="D3" s="15" t="s">
        <v>169</v>
      </c>
      <c r="E3" s="15" t="str">
        <f t="shared" ref="E3:E51" si="1">D3&amp;"-"&amp;B3</f>
        <v>Ameren-IL</v>
      </c>
      <c r="F3" s="15" t="s">
        <v>914</v>
      </c>
      <c r="G3" s="15">
        <v>1</v>
      </c>
      <c r="H3" s="116" t="s">
        <v>146</v>
      </c>
      <c r="I3" s="15" t="s">
        <v>117</v>
      </c>
      <c r="J3" s="15">
        <v>30049707</v>
      </c>
    </row>
    <row r="4" spans="1:10" x14ac:dyDescent="0.2">
      <c r="A4" s="15" t="str">
        <f>_xlfn.XLOOKUP(E4,Program_data!$E$3:$E$1234,Program_data!$E$3:$E$1234,"",0,1)</f>
        <v>Ameren-IL</v>
      </c>
      <c r="B4" s="15" t="str">
        <f t="shared" si="0"/>
        <v>IL</v>
      </c>
      <c r="C4" s="15" t="s">
        <v>58</v>
      </c>
      <c r="D4" s="15" t="s">
        <v>169</v>
      </c>
      <c r="E4" s="15" t="str">
        <f t="shared" si="1"/>
        <v>Ameren-IL</v>
      </c>
      <c r="F4" s="15" t="s">
        <v>915</v>
      </c>
      <c r="G4" s="15">
        <v>1</v>
      </c>
      <c r="H4" s="116" t="s">
        <v>146</v>
      </c>
      <c r="I4" s="15" t="s">
        <v>118</v>
      </c>
      <c r="J4" s="15">
        <v>8038</v>
      </c>
    </row>
    <row r="5" spans="1:10" x14ac:dyDescent="0.2">
      <c r="A5" s="15" t="str">
        <f>_xlfn.XLOOKUP(E5,Program_data!$E$3:$E$1234,Program_data!$E$3:$E$1234,"",0,1)</f>
        <v>Ameren-IL</v>
      </c>
      <c r="B5" s="15" t="str">
        <f t="shared" si="0"/>
        <v>IL</v>
      </c>
      <c r="C5" s="15" t="s">
        <v>58</v>
      </c>
      <c r="D5" s="15" t="s">
        <v>169</v>
      </c>
      <c r="E5" s="15" t="str">
        <f t="shared" si="1"/>
        <v>Ameren-IL</v>
      </c>
      <c r="F5" s="15" t="s">
        <v>916</v>
      </c>
      <c r="G5" s="15">
        <v>1</v>
      </c>
      <c r="H5" s="116" t="s">
        <v>146</v>
      </c>
      <c r="I5" s="15" t="s">
        <v>118</v>
      </c>
      <c r="J5" s="15">
        <v>796</v>
      </c>
    </row>
    <row r="6" spans="1:10" x14ac:dyDescent="0.2">
      <c r="A6" s="15" t="str">
        <f>_xlfn.XLOOKUP(E6,Program_data!$E$3:$E$1234,Program_data!$E$3:$E$1234,"",0,1)</f>
        <v>Ameren-IL</v>
      </c>
      <c r="B6" s="15" t="str">
        <f t="shared" si="0"/>
        <v>IL</v>
      </c>
      <c r="C6" s="15" t="s">
        <v>58</v>
      </c>
      <c r="D6" s="15" t="s">
        <v>169</v>
      </c>
      <c r="E6" s="15" t="str">
        <f t="shared" si="1"/>
        <v>Ameren-IL</v>
      </c>
      <c r="F6" s="15" t="s">
        <v>917</v>
      </c>
      <c r="G6" s="15">
        <v>1</v>
      </c>
      <c r="H6" s="116" t="s">
        <v>146</v>
      </c>
      <c r="I6" s="15" t="s">
        <v>116</v>
      </c>
      <c r="J6" s="15">
        <v>28425180</v>
      </c>
    </row>
    <row r="7" spans="1:10" x14ac:dyDescent="0.2">
      <c r="A7" s="15" t="str">
        <f>_xlfn.XLOOKUP(E7,Program_data!$E$3:$E$1234,Program_data!$E$3:$E$1234,"",0,1)</f>
        <v>Ameren-IL</v>
      </c>
      <c r="B7" s="15" t="str">
        <f t="shared" si="0"/>
        <v>IL</v>
      </c>
      <c r="C7" s="15" t="s">
        <v>58</v>
      </c>
      <c r="D7" s="15" t="s">
        <v>169</v>
      </c>
      <c r="E7" s="15" t="str">
        <f t="shared" si="1"/>
        <v>Ameren-IL</v>
      </c>
      <c r="F7" s="15" t="s">
        <v>918</v>
      </c>
      <c r="G7" s="15">
        <v>1</v>
      </c>
      <c r="H7" s="116" t="s">
        <v>146</v>
      </c>
      <c r="I7" s="15" t="s">
        <v>117</v>
      </c>
      <c r="J7" s="15">
        <v>54252757</v>
      </c>
    </row>
    <row r="8" spans="1:10" x14ac:dyDescent="0.2">
      <c r="A8" s="15" t="str">
        <f>_xlfn.XLOOKUP(E8,Program_data!$E$3:$E$1234,Program_data!$E$3:$E$1234,"",0,1)</f>
        <v/>
      </c>
      <c r="B8" s="15" t="str">
        <f t="shared" si="0"/>
        <v>CO</v>
      </c>
      <c r="C8" s="15" t="s">
        <v>72</v>
      </c>
      <c r="D8" s="15" t="s">
        <v>919</v>
      </c>
      <c r="E8" s="15" t="str">
        <f t="shared" si="1"/>
        <v>Atmos-CO</v>
      </c>
      <c r="F8" s="15" t="s">
        <v>918</v>
      </c>
      <c r="G8" s="15">
        <v>1</v>
      </c>
      <c r="H8" s="116" t="s">
        <v>146</v>
      </c>
      <c r="I8" s="15" t="s">
        <v>117</v>
      </c>
      <c r="J8" s="15">
        <v>6068715</v>
      </c>
    </row>
    <row r="9" spans="1:10" x14ac:dyDescent="0.2">
      <c r="A9" s="15" t="str">
        <f>_xlfn.XLOOKUP(E9,Program_data!$E$3:$E$1234,Program_data!$E$3:$E$1234,"",0,1)</f>
        <v/>
      </c>
      <c r="B9" s="15" t="str">
        <f t="shared" si="0"/>
        <v>CO</v>
      </c>
      <c r="C9" s="15" t="s">
        <v>72</v>
      </c>
      <c r="D9" s="15" t="s">
        <v>919</v>
      </c>
      <c r="E9" s="15" t="str">
        <f t="shared" si="1"/>
        <v>Atmos-CO</v>
      </c>
      <c r="F9" s="15" t="s">
        <v>916</v>
      </c>
      <c r="G9" s="15">
        <v>1</v>
      </c>
      <c r="H9" s="116" t="s">
        <v>146</v>
      </c>
      <c r="I9" s="15" t="s">
        <v>118</v>
      </c>
      <c r="J9" s="15">
        <v>357</v>
      </c>
    </row>
    <row r="10" spans="1:10" x14ac:dyDescent="0.2">
      <c r="A10" s="15" t="str">
        <f>_xlfn.XLOOKUP(E10,Program_data!$E$3:$E$1234,Program_data!$E$3:$E$1234,"",0,1)</f>
        <v/>
      </c>
      <c r="B10" s="15" t="str">
        <f t="shared" si="0"/>
        <v>CO</v>
      </c>
      <c r="C10" s="15" t="s">
        <v>72</v>
      </c>
      <c r="D10" s="15" t="s">
        <v>919</v>
      </c>
      <c r="E10" s="15" t="str">
        <f t="shared" si="1"/>
        <v>Atmos-CO</v>
      </c>
      <c r="F10" s="15" t="s">
        <v>917</v>
      </c>
      <c r="G10" s="15">
        <v>1</v>
      </c>
      <c r="H10" s="116" t="s">
        <v>146</v>
      </c>
      <c r="I10" s="15" t="s">
        <v>116</v>
      </c>
      <c r="J10" s="15">
        <v>3230733</v>
      </c>
    </row>
    <row r="11" spans="1:10" x14ac:dyDescent="0.2">
      <c r="A11" s="15" t="str">
        <f>_xlfn.XLOOKUP(E11,Program_data!$E$3:$E$1234,Program_data!$E$3:$E$1234,"",0,1)</f>
        <v/>
      </c>
      <c r="B11" s="15" t="str">
        <f t="shared" si="0"/>
        <v>OR</v>
      </c>
      <c r="C11" s="15" t="s">
        <v>92</v>
      </c>
      <c r="D11" s="15" t="s">
        <v>86</v>
      </c>
      <c r="E11" s="15" t="str">
        <f t="shared" si="1"/>
        <v>Avista-OR</v>
      </c>
      <c r="F11" s="15" t="s">
        <v>914</v>
      </c>
      <c r="G11" s="15">
        <v>1</v>
      </c>
      <c r="H11" s="116" t="s">
        <v>146</v>
      </c>
      <c r="I11" s="15" t="s">
        <v>117</v>
      </c>
      <c r="J11" s="15">
        <v>476902</v>
      </c>
    </row>
    <row r="12" spans="1:10" x14ac:dyDescent="0.2">
      <c r="A12" s="15" t="str">
        <f>_xlfn.XLOOKUP(E12,Program_data!$E$3:$E$1234,Program_data!$E$3:$E$1234,"",0,1)</f>
        <v/>
      </c>
      <c r="B12" s="15" t="str">
        <f t="shared" si="0"/>
        <v>OR</v>
      </c>
      <c r="C12" s="15" t="s">
        <v>92</v>
      </c>
      <c r="D12" s="15" t="s">
        <v>86</v>
      </c>
      <c r="E12" s="15" t="str">
        <f t="shared" si="1"/>
        <v>Avista-OR</v>
      </c>
      <c r="F12" s="15" t="s">
        <v>913</v>
      </c>
      <c r="G12" s="15">
        <v>1</v>
      </c>
      <c r="H12" s="116" t="s">
        <v>146</v>
      </c>
      <c r="I12" s="15" t="s">
        <v>116</v>
      </c>
      <c r="J12" s="15">
        <v>530966</v>
      </c>
    </row>
    <row r="13" spans="1:10" x14ac:dyDescent="0.2">
      <c r="A13" s="15" t="str">
        <f>_xlfn.XLOOKUP(E13,Program_data!$E$3:$E$1234,Program_data!$E$3:$E$1234,"",0,1)</f>
        <v/>
      </c>
      <c r="B13" s="15" t="str">
        <f t="shared" si="0"/>
        <v>OR</v>
      </c>
      <c r="C13" s="15" t="s">
        <v>92</v>
      </c>
      <c r="D13" s="15" t="s">
        <v>86</v>
      </c>
      <c r="E13" s="15" t="str">
        <f t="shared" si="1"/>
        <v>Avista-OR</v>
      </c>
      <c r="F13" s="15" t="s">
        <v>915</v>
      </c>
      <c r="G13" s="15">
        <v>1</v>
      </c>
      <c r="H13" s="116" t="s">
        <v>146</v>
      </c>
      <c r="I13" s="15" t="s">
        <v>118</v>
      </c>
      <c r="J13" s="15">
        <v>9</v>
      </c>
    </row>
    <row r="14" spans="1:10" x14ac:dyDescent="0.2">
      <c r="A14" s="15" t="str">
        <f>_xlfn.XLOOKUP(E14,Program_data!$E$3:$E$1234,Program_data!$E$3:$E$1234,"",0,1)</f>
        <v/>
      </c>
      <c r="B14" s="15" t="str">
        <f t="shared" si="0"/>
        <v>OR</v>
      </c>
      <c r="C14" s="15" t="s">
        <v>92</v>
      </c>
      <c r="D14" s="15" t="s">
        <v>86</v>
      </c>
      <c r="E14" s="15" t="str">
        <f t="shared" si="1"/>
        <v>Avista-OR</v>
      </c>
      <c r="F14" s="15" t="s">
        <v>916</v>
      </c>
      <c r="G14" s="15">
        <v>1</v>
      </c>
      <c r="H14" s="116" t="s">
        <v>146</v>
      </c>
      <c r="I14" s="15" t="s">
        <v>118</v>
      </c>
      <c r="J14" s="15">
        <v>24</v>
      </c>
    </row>
    <row r="15" spans="1:10" x14ac:dyDescent="0.2">
      <c r="A15" s="15" t="str">
        <f>_xlfn.XLOOKUP(E15,Program_data!$E$3:$E$1234,Program_data!$E$3:$E$1234,"",0,1)</f>
        <v/>
      </c>
      <c r="B15" s="15" t="str">
        <f t="shared" si="0"/>
        <v>OR</v>
      </c>
      <c r="C15" s="15" t="s">
        <v>92</v>
      </c>
      <c r="D15" s="15" t="s">
        <v>86</v>
      </c>
      <c r="E15" s="15" t="str">
        <f t="shared" si="1"/>
        <v>Avista-OR</v>
      </c>
      <c r="F15" s="15" t="s">
        <v>917</v>
      </c>
      <c r="G15" s="15">
        <v>1</v>
      </c>
      <c r="H15" s="116" t="s">
        <v>146</v>
      </c>
      <c r="I15" s="15" t="s">
        <v>116</v>
      </c>
      <c r="J15" s="15">
        <v>2454021</v>
      </c>
    </row>
    <row r="16" spans="1:10" x14ac:dyDescent="0.2">
      <c r="A16" s="15" t="str">
        <f>_xlfn.XLOOKUP(E16,Program_data!$E$3:$E$1234,Program_data!$E$3:$E$1234,"",0,1)</f>
        <v/>
      </c>
      <c r="B16" s="15" t="str">
        <f t="shared" si="0"/>
        <v>OR</v>
      </c>
      <c r="C16" s="15" t="s">
        <v>92</v>
      </c>
      <c r="D16" s="15" t="s">
        <v>86</v>
      </c>
      <c r="E16" s="15" t="str">
        <f t="shared" si="1"/>
        <v>Avista-OR</v>
      </c>
      <c r="F16" s="15" t="s">
        <v>918</v>
      </c>
      <c r="G16" s="15">
        <v>1</v>
      </c>
      <c r="H16" s="116" t="s">
        <v>146</v>
      </c>
      <c r="I16" s="15" t="s">
        <v>117</v>
      </c>
      <c r="J16" s="15">
        <v>3337687</v>
      </c>
    </row>
    <row r="17" spans="1:10" x14ac:dyDescent="0.2">
      <c r="A17" s="15" t="str">
        <f>_xlfn.XLOOKUP(E17,Program_data!$E$3:$E$1234,Program_data!$E$3:$E$1234,"",0,1)</f>
        <v/>
      </c>
      <c r="B17" s="15" t="s">
        <v>920</v>
      </c>
      <c r="C17" s="15" t="s">
        <v>921</v>
      </c>
      <c r="D17" s="15" t="s">
        <v>922</v>
      </c>
      <c r="E17" s="15" t="str">
        <f t="shared" si="1"/>
        <v>BGE-MD</v>
      </c>
      <c r="F17" s="15" t="s">
        <v>923</v>
      </c>
      <c r="G17" s="15">
        <v>1</v>
      </c>
      <c r="H17" s="116" t="s">
        <v>135</v>
      </c>
      <c r="I17" s="15" t="s">
        <v>116</v>
      </c>
      <c r="J17" s="15">
        <v>77311175</v>
      </c>
    </row>
    <row r="18" spans="1:10" x14ac:dyDescent="0.2">
      <c r="A18" s="15" t="str">
        <f>_xlfn.XLOOKUP(E18,Program_data!$E$3:$E$1234,Program_data!$E$3:$E$1234,"",0,1)</f>
        <v/>
      </c>
      <c r="B18" s="15" t="s">
        <v>920</v>
      </c>
      <c r="C18" s="15" t="s">
        <v>921</v>
      </c>
      <c r="D18" s="15" t="s">
        <v>922</v>
      </c>
      <c r="E18" s="15" t="str">
        <f t="shared" si="1"/>
        <v>BGE-MD</v>
      </c>
      <c r="F18" s="15" t="s">
        <v>924</v>
      </c>
      <c r="G18" s="15">
        <v>1</v>
      </c>
      <c r="H18" s="116" t="s">
        <v>135</v>
      </c>
      <c r="I18" s="15" t="s">
        <v>117</v>
      </c>
      <c r="J18" s="15">
        <v>7036628</v>
      </c>
    </row>
    <row r="19" spans="1:10" x14ac:dyDescent="0.2">
      <c r="A19" s="15" t="str">
        <f>_xlfn.XLOOKUP(E19,Program_data!$E$3:$E$1234,Program_data!$E$3:$E$1234,"",0,1)</f>
        <v/>
      </c>
      <c r="B19" s="15" t="s">
        <v>920</v>
      </c>
      <c r="C19" s="15" t="s">
        <v>921</v>
      </c>
      <c r="D19" s="15" t="s">
        <v>922</v>
      </c>
      <c r="E19" s="15" t="str">
        <f t="shared" si="1"/>
        <v>BGE-MD</v>
      </c>
      <c r="F19" s="15" t="s">
        <v>925</v>
      </c>
      <c r="G19" s="15">
        <v>1</v>
      </c>
      <c r="H19" s="116" t="s">
        <v>135</v>
      </c>
      <c r="I19" s="15" t="s">
        <v>118</v>
      </c>
      <c r="J19" s="15">
        <v>124562</v>
      </c>
    </row>
    <row r="20" spans="1:10" x14ac:dyDescent="0.2">
      <c r="A20" s="15" t="str">
        <f>_xlfn.XLOOKUP(E20,Program_data!$E$3:$E$1234,Program_data!$E$3:$E$1234,"",0,1)</f>
        <v/>
      </c>
      <c r="B20" s="15" t="s">
        <v>920</v>
      </c>
      <c r="C20" s="15" t="s">
        <v>921</v>
      </c>
      <c r="D20" s="15" t="s">
        <v>922</v>
      </c>
      <c r="E20" s="15" t="str">
        <f t="shared" si="1"/>
        <v>BGE-MD</v>
      </c>
      <c r="F20" s="15" t="s">
        <v>915</v>
      </c>
      <c r="G20" s="15">
        <v>1</v>
      </c>
      <c r="H20" s="116" t="s">
        <v>146</v>
      </c>
      <c r="I20" s="15" t="s">
        <v>118</v>
      </c>
      <c r="J20" s="15">
        <v>13840</v>
      </c>
    </row>
    <row r="21" spans="1:10" x14ac:dyDescent="0.2">
      <c r="A21" s="15" t="str">
        <f>_xlfn.XLOOKUP(E21,Program_data!$E$3:$E$1234,Program_data!$E$3:$E$1234,"",0,1)</f>
        <v/>
      </c>
      <c r="B21" s="15" t="s">
        <v>920</v>
      </c>
      <c r="C21" s="15" t="s">
        <v>921</v>
      </c>
      <c r="D21" s="15" t="s">
        <v>922</v>
      </c>
      <c r="E21" s="15" t="str">
        <f t="shared" si="1"/>
        <v>BGE-MD</v>
      </c>
      <c r="F21" s="15" t="s">
        <v>913</v>
      </c>
      <c r="G21" s="15">
        <v>1</v>
      </c>
      <c r="H21" s="116" t="s">
        <v>146</v>
      </c>
      <c r="I21" s="15" t="s">
        <v>116</v>
      </c>
      <c r="J21" s="15">
        <v>86400631</v>
      </c>
    </row>
    <row r="22" spans="1:10" x14ac:dyDescent="0.2">
      <c r="A22" s="15" t="str">
        <f>_xlfn.XLOOKUP(E22,Program_data!$E$3:$E$1234,Program_data!$E$3:$E$1234,"",0,1)</f>
        <v/>
      </c>
      <c r="B22" s="15" t="s">
        <v>920</v>
      </c>
      <c r="C22" s="15" t="s">
        <v>921</v>
      </c>
      <c r="D22" s="15" t="s">
        <v>922</v>
      </c>
      <c r="E22" s="15" t="str">
        <f t="shared" si="1"/>
        <v>BGE-MD</v>
      </c>
      <c r="F22" s="15" t="s">
        <v>914</v>
      </c>
      <c r="G22" s="15">
        <v>1</v>
      </c>
      <c r="H22" s="116" t="s">
        <v>146</v>
      </c>
      <c r="I22" s="15" t="s">
        <v>117</v>
      </c>
      <c r="J22" s="15">
        <v>21910316</v>
      </c>
    </row>
    <row r="23" spans="1:10" x14ac:dyDescent="0.2">
      <c r="A23" s="15" t="str">
        <f>_xlfn.XLOOKUP(E23,Program_data!$E$3:$E$1234,Program_data!$E$3:$E$1234,"",0,1)</f>
        <v/>
      </c>
      <c r="B23" s="15" t="s">
        <v>920</v>
      </c>
      <c r="C23" s="15" t="s">
        <v>921</v>
      </c>
      <c r="D23" s="15" t="s">
        <v>922</v>
      </c>
      <c r="E23" s="15" t="str">
        <f t="shared" si="1"/>
        <v>BGE-MD</v>
      </c>
      <c r="F23" s="15" t="s">
        <v>917</v>
      </c>
      <c r="G23" s="15">
        <v>1</v>
      </c>
      <c r="H23" s="116" t="s">
        <v>146</v>
      </c>
      <c r="I23" s="15" t="s">
        <v>116</v>
      </c>
      <c r="J23" s="15">
        <v>24552991</v>
      </c>
    </row>
    <row r="24" spans="1:10" x14ac:dyDescent="0.2">
      <c r="A24" s="15" t="str">
        <f>_xlfn.XLOOKUP(E24,Program_data!$E$3:$E$1234,Program_data!$E$3:$E$1234,"",0,1)</f>
        <v/>
      </c>
      <c r="B24" s="15" t="s">
        <v>920</v>
      </c>
      <c r="C24" s="15" t="s">
        <v>921</v>
      </c>
      <c r="D24" s="15" t="s">
        <v>922</v>
      </c>
      <c r="E24" s="15" t="str">
        <f t="shared" si="1"/>
        <v>BGE-MD</v>
      </c>
      <c r="F24" s="15" t="s">
        <v>916</v>
      </c>
      <c r="G24" s="15">
        <v>1</v>
      </c>
      <c r="H24" s="116" t="s">
        <v>146</v>
      </c>
      <c r="I24" s="15" t="s">
        <v>118</v>
      </c>
      <c r="J24" s="15">
        <v>341</v>
      </c>
    </row>
    <row r="25" spans="1:10" x14ac:dyDescent="0.2">
      <c r="A25" s="15" t="str">
        <f>_xlfn.XLOOKUP(E25,Program_data!$E$3:$E$1234,Program_data!$E$3:$E$1234,"",0,1)</f>
        <v/>
      </c>
      <c r="B25" s="15" t="s">
        <v>920</v>
      </c>
      <c r="C25" s="15" t="s">
        <v>921</v>
      </c>
      <c r="D25" s="15" t="s">
        <v>922</v>
      </c>
      <c r="E25" s="15" t="str">
        <f t="shared" si="1"/>
        <v>BGE-MD</v>
      </c>
      <c r="F25" s="15" t="s">
        <v>918</v>
      </c>
      <c r="G25" s="15">
        <v>1</v>
      </c>
      <c r="H25" s="116" t="s">
        <v>146</v>
      </c>
      <c r="I25" s="15" t="s">
        <v>117</v>
      </c>
      <c r="J25" s="15">
        <v>13193520</v>
      </c>
    </row>
    <row r="26" spans="1:10" x14ac:dyDescent="0.2">
      <c r="A26" s="15" t="str">
        <f>_xlfn.XLOOKUP(E26,Program_data!$E$3:$E$1234,Program_data!$E$3:$E$1234,"",0,1)</f>
        <v/>
      </c>
      <c r="B26" s="15" t="str">
        <f t="shared" si="0"/>
        <v>CO</v>
      </c>
      <c r="C26" s="15" t="s">
        <v>72</v>
      </c>
      <c r="D26" s="15" t="s">
        <v>926</v>
      </c>
      <c r="E26" s="15" t="str">
        <f t="shared" si="1"/>
        <v>Black Hills-CO</v>
      </c>
      <c r="F26" s="15" t="s">
        <v>925</v>
      </c>
      <c r="G26" s="15">
        <v>1</v>
      </c>
      <c r="H26" s="116" t="s">
        <v>135</v>
      </c>
      <c r="I26" s="15" t="s">
        <v>118</v>
      </c>
      <c r="J26" s="15">
        <v>1</v>
      </c>
    </row>
    <row r="27" spans="1:10" x14ac:dyDescent="0.2">
      <c r="A27" s="15" t="str">
        <f>_xlfn.XLOOKUP(E27,Program_data!$E$3:$E$1234,Program_data!$E$3:$E$1234,"",0,1)</f>
        <v/>
      </c>
      <c r="B27" s="15" t="str">
        <f t="shared" si="0"/>
        <v>CO</v>
      </c>
      <c r="C27" s="15" t="s">
        <v>72</v>
      </c>
      <c r="D27" s="15" t="s">
        <v>926</v>
      </c>
      <c r="E27" s="15" t="str">
        <f t="shared" si="1"/>
        <v>Black Hills-CO</v>
      </c>
      <c r="F27" s="15" t="s">
        <v>923</v>
      </c>
      <c r="G27" s="15">
        <v>1</v>
      </c>
      <c r="H27" s="116" t="s">
        <v>135</v>
      </c>
      <c r="I27" s="15" t="s">
        <v>116</v>
      </c>
      <c r="J27" s="15">
        <v>8550</v>
      </c>
    </row>
    <row r="28" spans="1:10" x14ac:dyDescent="0.2">
      <c r="A28" s="15" t="str">
        <f>_xlfn.XLOOKUP(E28,Program_data!$E$3:$E$1234,Program_data!$E$3:$E$1234,"",0,1)</f>
        <v/>
      </c>
      <c r="B28" s="15" t="str">
        <f t="shared" si="0"/>
        <v>CO</v>
      </c>
      <c r="C28" s="15" t="s">
        <v>72</v>
      </c>
      <c r="D28" s="15" t="s">
        <v>926</v>
      </c>
      <c r="E28" s="15" t="str">
        <f t="shared" si="1"/>
        <v>Black Hills-CO</v>
      </c>
      <c r="F28" s="15" t="s">
        <v>924</v>
      </c>
      <c r="G28" s="15">
        <v>1</v>
      </c>
      <c r="H28" s="116" t="s">
        <v>135</v>
      </c>
      <c r="I28" s="15" t="s">
        <v>117</v>
      </c>
      <c r="J28" s="15">
        <v>3046</v>
      </c>
    </row>
    <row r="29" spans="1:10" x14ac:dyDescent="0.2">
      <c r="A29" s="15" t="str">
        <f>_xlfn.XLOOKUP(E29,Program_data!$E$3:$E$1234,Program_data!$E$3:$E$1234,"",0,1)</f>
        <v/>
      </c>
      <c r="B29" s="15" t="str">
        <f t="shared" si="0"/>
        <v>CO</v>
      </c>
      <c r="C29" s="15" t="s">
        <v>72</v>
      </c>
      <c r="D29" s="15" t="s">
        <v>926</v>
      </c>
      <c r="E29" s="15" t="str">
        <f t="shared" si="1"/>
        <v>Black Hills-CO</v>
      </c>
      <c r="F29" s="15" t="s">
        <v>915</v>
      </c>
      <c r="G29" s="15">
        <v>1</v>
      </c>
      <c r="H29" s="116" t="s">
        <v>146</v>
      </c>
      <c r="I29" s="15" t="s">
        <v>118</v>
      </c>
      <c r="J29" s="15">
        <v>189</v>
      </c>
    </row>
    <row r="30" spans="1:10" x14ac:dyDescent="0.2">
      <c r="A30" s="15" t="str">
        <f>_xlfn.XLOOKUP(E30,Program_data!$E$3:$E$1234,Program_data!$E$3:$E$1234,"",0,1)</f>
        <v/>
      </c>
      <c r="B30" s="15" t="str">
        <f t="shared" si="0"/>
        <v>CO</v>
      </c>
      <c r="C30" s="15" t="s">
        <v>72</v>
      </c>
      <c r="D30" s="15" t="s">
        <v>926</v>
      </c>
      <c r="E30" s="15" t="str">
        <f t="shared" si="1"/>
        <v>Black Hills-CO</v>
      </c>
      <c r="F30" s="15" t="s">
        <v>914</v>
      </c>
      <c r="G30" s="15">
        <v>1</v>
      </c>
      <c r="H30" s="116" t="s">
        <v>146</v>
      </c>
      <c r="I30" s="15" t="s">
        <v>117</v>
      </c>
      <c r="J30" s="15">
        <v>2150654</v>
      </c>
    </row>
    <row r="31" spans="1:10" x14ac:dyDescent="0.2">
      <c r="A31" s="15" t="str">
        <f>_xlfn.XLOOKUP(E31,Program_data!$E$3:$E$1234,Program_data!$E$3:$E$1234,"",0,1)</f>
        <v/>
      </c>
      <c r="B31" s="15" t="str">
        <f t="shared" si="0"/>
        <v>CO</v>
      </c>
      <c r="C31" s="15" t="s">
        <v>72</v>
      </c>
      <c r="D31" s="15" t="s">
        <v>926</v>
      </c>
      <c r="E31" s="15" t="str">
        <f t="shared" si="1"/>
        <v>Black Hills-CO</v>
      </c>
      <c r="F31" s="15" t="s">
        <v>913</v>
      </c>
      <c r="G31" s="15">
        <v>1</v>
      </c>
      <c r="H31" s="116" t="s">
        <v>146</v>
      </c>
      <c r="I31" s="15" t="s">
        <v>116</v>
      </c>
      <c r="J31" s="15">
        <v>3659721</v>
      </c>
    </row>
    <row r="32" spans="1:10" x14ac:dyDescent="0.2">
      <c r="A32" s="15" t="str">
        <f>_xlfn.XLOOKUP(E32,Program_data!$E$3:$E$1234,Program_data!$E$3:$E$1234,"",0,1)</f>
        <v/>
      </c>
      <c r="B32" s="15" t="str">
        <f t="shared" si="0"/>
        <v>CO</v>
      </c>
      <c r="C32" s="15" t="s">
        <v>72</v>
      </c>
      <c r="D32" s="15" t="s">
        <v>926</v>
      </c>
      <c r="E32" s="15" t="str">
        <f t="shared" si="1"/>
        <v>Black Hills-CO</v>
      </c>
      <c r="F32" s="15" t="s">
        <v>916</v>
      </c>
      <c r="G32" s="15">
        <v>1</v>
      </c>
      <c r="H32" s="116" t="s">
        <v>146</v>
      </c>
      <c r="I32" s="15" t="s">
        <v>118</v>
      </c>
      <c r="J32" s="15">
        <v>12</v>
      </c>
    </row>
    <row r="33" spans="1:10" x14ac:dyDescent="0.2">
      <c r="A33" s="15" t="str">
        <f>_xlfn.XLOOKUP(E33,Program_data!$E$3:$E$1234,Program_data!$E$3:$E$1234,"",0,1)</f>
        <v/>
      </c>
      <c r="B33" s="15" t="str">
        <f t="shared" si="0"/>
        <v>CO</v>
      </c>
      <c r="C33" s="15" t="s">
        <v>72</v>
      </c>
      <c r="D33" s="15" t="s">
        <v>926</v>
      </c>
      <c r="E33" s="15" t="str">
        <f t="shared" si="1"/>
        <v>Black Hills-CO</v>
      </c>
      <c r="F33" s="15" t="s">
        <v>918</v>
      </c>
      <c r="G33" s="15">
        <v>1</v>
      </c>
      <c r="H33" s="116" t="s">
        <v>146</v>
      </c>
      <c r="I33" s="15" t="s">
        <v>117</v>
      </c>
      <c r="J33" s="15">
        <v>1721598</v>
      </c>
    </row>
    <row r="34" spans="1:10" x14ac:dyDescent="0.2">
      <c r="A34" s="15" t="str">
        <f>_xlfn.XLOOKUP(E34,Program_data!$E$3:$E$1234,Program_data!$E$3:$E$1234,"",0,1)</f>
        <v/>
      </c>
      <c r="B34" s="15" t="str">
        <f t="shared" si="0"/>
        <v>CO</v>
      </c>
      <c r="C34" s="15" t="s">
        <v>72</v>
      </c>
      <c r="D34" s="15" t="s">
        <v>926</v>
      </c>
      <c r="E34" s="15" t="str">
        <f t="shared" si="1"/>
        <v>Black Hills-CO</v>
      </c>
      <c r="F34" s="15" t="s">
        <v>917</v>
      </c>
      <c r="G34" s="15">
        <v>1</v>
      </c>
      <c r="H34" s="116" t="s">
        <v>146</v>
      </c>
      <c r="I34" s="15" t="s">
        <v>116</v>
      </c>
      <c r="J34" s="15">
        <v>950134</v>
      </c>
    </row>
    <row r="35" spans="1:10" x14ac:dyDescent="0.2">
      <c r="A35" s="15" t="str">
        <f>_xlfn.XLOOKUP(E35,Program_data!$E$3:$E$1234,Program_data!$E$3:$E$1234,"",0,1)</f>
        <v>Ngrid-MA</v>
      </c>
      <c r="B35" s="15" t="str">
        <f t="shared" si="0"/>
        <v>MA</v>
      </c>
      <c r="C35" s="15" t="s">
        <v>10</v>
      </c>
      <c r="D35" s="15" t="s">
        <v>159</v>
      </c>
      <c r="E35" s="15" t="str">
        <f t="shared" si="1"/>
        <v>Ngrid-MA</v>
      </c>
      <c r="F35" s="15" t="s">
        <v>924</v>
      </c>
      <c r="G35" s="15">
        <v>1</v>
      </c>
      <c r="H35" s="116" t="s">
        <v>135</v>
      </c>
      <c r="I35" s="15" t="s">
        <v>117</v>
      </c>
      <c r="J35" s="15">
        <v>1326659</v>
      </c>
    </row>
    <row r="36" spans="1:10" x14ac:dyDescent="0.2">
      <c r="A36" s="15" t="str">
        <f>_xlfn.XLOOKUP(E36,Program_data!$E$3:$E$1234,Program_data!$E$3:$E$1234,"",0,1)</f>
        <v>Ngrid-MA</v>
      </c>
      <c r="B36" s="15" t="str">
        <f t="shared" si="0"/>
        <v>MA</v>
      </c>
      <c r="C36" s="15" t="s">
        <v>10</v>
      </c>
      <c r="D36" s="15" t="s">
        <v>159</v>
      </c>
      <c r="E36" s="15" t="str">
        <f t="shared" si="1"/>
        <v>Ngrid-MA</v>
      </c>
      <c r="F36" s="15" t="s">
        <v>925</v>
      </c>
      <c r="G36" s="15">
        <v>1</v>
      </c>
      <c r="H36" s="116" t="s">
        <v>135</v>
      </c>
      <c r="I36" s="15" t="s">
        <v>118</v>
      </c>
      <c r="J36" s="15">
        <v>16086</v>
      </c>
    </row>
    <row r="37" spans="1:10" x14ac:dyDescent="0.2">
      <c r="A37" s="15" t="str">
        <f>_xlfn.XLOOKUP(E37,Program_data!$E$3:$E$1234,Program_data!$E$3:$E$1234,"",0,1)</f>
        <v>Ngrid-MA</v>
      </c>
      <c r="B37" s="15" t="str">
        <f t="shared" si="0"/>
        <v>MA</v>
      </c>
      <c r="C37" s="15" t="s">
        <v>10</v>
      </c>
      <c r="D37" s="15" t="s">
        <v>159</v>
      </c>
      <c r="E37" s="15" t="str">
        <f t="shared" si="1"/>
        <v>Ngrid-MA</v>
      </c>
      <c r="F37" s="15" t="s">
        <v>923</v>
      </c>
      <c r="G37" s="15">
        <v>1</v>
      </c>
      <c r="H37" s="116" t="s">
        <v>135</v>
      </c>
      <c r="I37" s="15" t="s">
        <v>116</v>
      </c>
      <c r="J37" s="15">
        <v>13503438</v>
      </c>
    </row>
    <row r="38" spans="1:10" x14ac:dyDescent="0.2">
      <c r="A38" s="15" t="str">
        <f>_xlfn.XLOOKUP(E38,Program_data!$E$3:$E$1234,Program_data!$E$3:$E$1234,"",0,1)</f>
        <v>Ngrid-MA</v>
      </c>
      <c r="B38" s="15" t="str">
        <f t="shared" si="0"/>
        <v>MA</v>
      </c>
      <c r="C38" s="15" t="s">
        <v>10</v>
      </c>
      <c r="D38" s="15" t="s">
        <v>159</v>
      </c>
      <c r="E38" s="15" t="str">
        <f t="shared" si="1"/>
        <v>Ngrid-MA</v>
      </c>
      <c r="F38" s="15" t="s">
        <v>914</v>
      </c>
      <c r="G38" s="15">
        <v>1</v>
      </c>
      <c r="H38" s="116" t="s">
        <v>146</v>
      </c>
      <c r="I38" s="15" t="s">
        <v>117</v>
      </c>
      <c r="J38" s="15">
        <v>39633504</v>
      </c>
    </row>
    <row r="39" spans="1:10" x14ac:dyDescent="0.2">
      <c r="A39" s="15" t="str">
        <f>_xlfn.XLOOKUP(E39,Program_data!$E$3:$E$1234,Program_data!$E$3:$E$1234,"",0,1)</f>
        <v>Ngrid-MA</v>
      </c>
      <c r="B39" s="15" t="str">
        <f t="shared" si="0"/>
        <v>MA</v>
      </c>
      <c r="C39" s="15" t="s">
        <v>10</v>
      </c>
      <c r="D39" s="15" t="s">
        <v>159</v>
      </c>
      <c r="E39" s="15" t="str">
        <f t="shared" si="1"/>
        <v>Ngrid-MA</v>
      </c>
      <c r="F39" s="15" t="s">
        <v>913</v>
      </c>
      <c r="G39" s="15">
        <v>1</v>
      </c>
      <c r="H39" s="116" t="s">
        <v>146</v>
      </c>
      <c r="I39" s="15" t="s">
        <v>116</v>
      </c>
      <c r="J39" s="15">
        <v>135289842</v>
      </c>
    </row>
    <row r="40" spans="1:10" x14ac:dyDescent="0.2">
      <c r="A40" s="15" t="str">
        <f>_xlfn.XLOOKUP(E40,Program_data!$E$3:$E$1234,Program_data!$E$3:$E$1234,"",0,1)</f>
        <v>Ngrid-MA</v>
      </c>
      <c r="B40" s="15" t="str">
        <f t="shared" si="0"/>
        <v>MA</v>
      </c>
      <c r="C40" s="15" t="s">
        <v>10</v>
      </c>
      <c r="D40" s="15" t="s">
        <v>159</v>
      </c>
      <c r="E40" s="15" t="str">
        <f t="shared" si="1"/>
        <v>Ngrid-MA</v>
      </c>
      <c r="F40" s="15" t="s">
        <v>915</v>
      </c>
      <c r="G40" s="15">
        <v>1</v>
      </c>
      <c r="H40" s="116" t="s">
        <v>146</v>
      </c>
      <c r="I40" s="15" t="s">
        <v>118</v>
      </c>
      <c r="J40" s="15">
        <v>9544</v>
      </c>
    </row>
    <row r="41" spans="1:10" x14ac:dyDescent="0.2">
      <c r="A41" s="15" t="str">
        <f>_xlfn.XLOOKUP(E41,Program_data!$E$3:$E$1234,Program_data!$E$3:$E$1234,"",0,1)</f>
        <v>Ngrid-MA</v>
      </c>
      <c r="B41" s="15" t="str">
        <f t="shared" si="0"/>
        <v>MA</v>
      </c>
      <c r="C41" s="15" t="s">
        <v>10</v>
      </c>
      <c r="D41" s="15" t="s">
        <v>159</v>
      </c>
      <c r="E41" s="15" t="str">
        <f t="shared" si="1"/>
        <v>Ngrid-MA</v>
      </c>
      <c r="F41" s="15" t="s">
        <v>918</v>
      </c>
      <c r="G41" s="15">
        <v>1</v>
      </c>
      <c r="H41" s="116" t="s">
        <v>146</v>
      </c>
      <c r="I41" s="15" t="s">
        <v>117</v>
      </c>
      <c r="J41" s="15">
        <v>11528556</v>
      </c>
    </row>
    <row r="42" spans="1:10" x14ac:dyDescent="0.2">
      <c r="A42" s="15" t="str">
        <f>_xlfn.XLOOKUP(E42,Program_data!$E$3:$E$1234,Program_data!$E$3:$E$1234,"",0,1)</f>
        <v>Ngrid-MA</v>
      </c>
      <c r="B42" s="15" t="str">
        <f t="shared" si="0"/>
        <v>MA</v>
      </c>
      <c r="C42" s="15" t="s">
        <v>10</v>
      </c>
      <c r="D42" s="15" t="s">
        <v>159</v>
      </c>
      <c r="E42" s="15" t="str">
        <f t="shared" si="1"/>
        <v>Ngrid-MA</v>
      </c>
      <c r="F42" s="15" t="s">
        <v>917</v>
      </c>
      <c r="G42" s="15">
        <v>1</v>
      </c>
      <c r="H42" s="116" t="s">
        <v>146</v>
      </c>
      <c r="I42" s="15" t="s">
        <v>116</v>
      </c>
      <c r="J42" s="15">
        <v>39937480</v>
      </c>
    </row>
    <row r="43" spans="1:10" x14ac:dyDescent="0.2">
      <c r="A43" s="15" t="str">
        <f>_xlfn.XLOOKUP(E43,Program_data!$E$3:$E$1234,Program_data!$E$3:$E$1234,"",0,1)</f>
        <v>Ngrid-MA</v>
      </c>
      <c r="B43" s="15" t="str">
        <f t="shared" si="0"/>
        <v>MA</v>
      </c>
      <c r="C43" s="15" t="s">
        <v>10</v>
      </c>
      <c r="D43" s="15" t="s">
        <v>159</v>
      </c>
      <c r="E43" s="15" t="str">
        <f t="shared" si="1"/>
        <v>Ngrid-MA</v>
      </c>
      <c r="F43" s="15" t="s">
        <v>916</v>
      </c>
      <c r="G43" s="15">
        <v>1</v>
      </c>
      <c r="H43" s="116" t="s">
        <v>146</v>
      </c>
      <c r="I43" s="15" t="s">
        <v>118</v>
      </c>
      <c r="J43" s="15">
        <v>2488</v>
      </c>
    </row>
    <row r="44" spans="1:10" x14ac:dyDescent="0.2">
      <c r="A44" s="15" t="str">
        <f>_xlfn.XLOOKUP(E44,Program_data!$E$3:$E$1234,Program_data!$E$3:$E$1234,"",0,1)</f>
        <v>CtPt-MN</v>
      </c>
      <c r="B44" s="15" t="s">
        <v>241</v>
      </c>
      <c r="C44" s="15" t="s">
        <v>50</v>
      </c>
      <c r="D44" s="15" t="s">
        <v>570</v>
      </c>
      <c r="E44" s="15" t="str">
        <f t="shared" si="1"/>
        <v>CtPt-MN</v>
      </c>
      <c r="F44" s="15" t="s">
        <v>915</v>
      </c>
      <c r="G44" s="15">
        <v>1</v>
      </c>
      <c r="H44" s="116" t="s">
        <v>146</v>
      </c>
      <c r="I44" s="15" t="s">
        <v>118</v>
      </c>
      <c r="J44" s="15">
        <v>477</v>
      </c>
    </row>
    <row r="45" spans="1:10" x14ac:dyDescent="0.2">
      <c r="A45" s="15" t="str">
        <f>_xlfn.XLOOKUP(E45,Program_data!$E$3:$E$1234,Program_data!$E$3:$E$1234,"",0,1)</f>
        <v>CtPt-MN</v>
      </c>
      <c r="B45" s="15" t="s">
        <v>241</v>
      </c>
      <c r="C45" s="15" t="s">
        <v>50</v>
      </c>
      <c r="D45" s="15" t="s">
        <v>570</v>
      </c>
      <c r="E45" s="15" t="str">
        <f t="shared" si="1"/>
        <v>CtPt-MN</v>
      </c>
      <c r="F45" s="15" t="s">
        <v>913</v>
      </c>
      <c r="G45" s="15">
        <v>1</v>
      </c>
      <c r="H45" s="116" t="s">
        <v>146</v>
      </c>
      <c r="I45" s="15" t="s">
        <v>116</v>
      </c>
      <c r="J45" s="15">
        <v>14467802</v>
      </c>
    </row>
    <row r="46" spans="1:10" x14ac:dyDescent="0.2">
      <c r="A46" s="15" t="str">
        <f>_xlfn.XLOOKUP(E46,Program_data!$E$3:$E$1234,Program_data!$E$3:$E$1234,"",0,1)</f>
        <v>CtPt-MN</v>
      </c>
      <c r="B46" s="15" t="s">
        <v>241</v>
      </c>
      <c r="C46" s="15" t="s">
        <v>50</v>
      </c>
      <c r="D46" s="15" t="s">
        <v>570</v>
      </c>
      <c r="E46" s="15" t="str">
        <f t="shared" si="1"/>
        <v>CtPt-MN</v>
      </c>
      <c r="F46" s="15" t="s">
        <v>914</v>
      </c>
      <c r="G46" s="15">
        <v>1</v>
      </c>
      <c r="H46" s="116" t="s">
        <v>146</v>
      </c>
      <c r="I46" s="15" t="s">
        <v>117</v>
      </c>
      <c r="J46" s="15">
        <v>9695950</v>
      </c>
    </row>
    <row r="47" spans="1:10" x14ac:dyDescent="0.2">
      <c r="A47" s="15" t="str">
        <f>_xlfn.XLOOKUP(E47,Program_data!$E$3:$E$1234,Program_data!$E$3:$E$1234,"",0,1)</f>
        <v>CtPt-MN</v>
      </c>
      <c r="B47" s="15" t="s">
        <v>241</v>
      </c>
      <c r="C47" s="15" t="s">
        <v>50</v>
      </c>
      <c r="D47" s="15" t="s">
        <v>570</v>
      </c>
      <c r="E47" s="15" t="str">
        <f t="shared" si="1"/>
        <v>CtPt-MN</v>
      </c>
      <c r="F47" s="15" t="s">
        <v>918</v>
      </c>
      <c r="G47" s="15">
        <v>1</v>
      </c>
      <c r="H47" s="116" t="s">
        <v>146</v>
      </c>
      <c r="I47" s="15" t="s">
        <v>117</v>
      </c>
      <c r="J47" s="15">
        <v>23932275</v>
      </c>
    </row>
    <row r="48" spans="1:10" x14ac:dyDescent="0.2">
      <c r="A48" s="15" t="str">
        <f>_xlfn.XLOOKUP(E48,Program_data!$E$3:$E$1234,Program_data!$E$3:$E$1234,"",0,1)</f>
        <v>CtPt-MN</v>
      </c>
      <c r="B48" s="15" t="s">
        <v>241</v>
      </c>
      <c r="C48" s="15" t="s">
        <v>50</v>
      </c>
      <c r="D48" s="15" t="s">
        <v>570</v>
      </c>
      <c r="E48" s="15" t="str">
        <f t="shared" si="1"/>
        <v>CtPt-MN</v>
      </c>
      <c r="F48" s="15" t="s">
        <v>917</v>
      </c>
      <c r="G48" s="15">
        <v>1</v>
      </c>
      <c r="H48" s="116" t="s">
        <v>146</v>
      </c>
      <c r="I48" s="15" t="s">
        <v>116</v>
      </c>
      <c r="J48" s="15">
        <v>10608382</v>
      </c>
    </row>
    <row r="49" spans="1:10" x14ac:dyDescent="0.2">
      <c r="A49" s="15" t="str">
        <f>_xlfn.XLOOKUP(E49,Program_data!$E$3:$E$1234,Program_data!$E$3:$E$1234,"",0,1)</f>
        <v>CtPt-MN</v>
      </c>
      <c r="B49" s="15" t="s">
        <v>241</v>
      </c>
      <c r="C49" s="15" t="s">
        <v>50</v>
      </c>
      <c r="D49" s="15" t="s">
        <v>570</v>
      </c>
      <c r="E49" s="15" t="str">
        <f t="shared" si="1"/>
        <v>CtPt-MN</v>
      </c>
      <c r="F49" s="15" t="s">
        <v>916</v>
      </c>
      <c r="G49" s="15">
        <v>1</v>
      </c>
      <c r="H49" s="116" t="s">
        <v>146</v>
      </c>
      <c r="I49" s="15" t="s">
        <v>118</v>
      </c>
      <c r="J49" s="15">
        <v>127</v>
      </c>
    </row>
    <row r="50" spans="1:10" x14ac:dyDescent="0.2">
      <c r="A50" s="15" t="str">
        <f>_xlfn.XLOOKUP(E50,Program_data!$E$3:$E$1234,Program_data!$E$3:$E$1234,"",0,1)</f>
        <v/>
      </c>
      <c r="B50" s="15" t="str">
        <f t="shared" si="0"/>
        <v>MA</v>
      </c>
      <c r="C50" s="15" t="s">
        <v>10</v>
      </c>
      <c r="D50" s="15" t="s">
        <v>927</v>
      </c>
      <c r="E50" s="15" t="str">
        <f t="shared" si="1"/>
        <v>Keyspan-MA-MA</v>
      </c>
      <c r="F50" s="15" t="s">
        <v>925</v>
      </c>
      <c r="G50" s="15">
        <v>1</v>
      </c>
      <c r="H50" s="116" t="s">
        <v>135</v>
      </c>
      <c r="I50" s="15" t="s">
        <v>118</v>
      </c>
      <c r="J50" s="15">
        <v>2912</v>
      </c>
    </row>
    <row r="51" spans="1:10" x14ac:dyDescent="0.2">
      <c r="A51" s="15" t="str">
        <f>_xlfn.XLOOKUP(E51,Program_data!$E$3:$E$1234,Program_data!$E$3:$E$1234,"",0,1)</f>
        <v/>
      </c>
      <c r="B51" s="15" t="str">
        <f t="shared" si="0"/>
        <v>MA</v>
      </c>
      <c r="C51" s="15" t="s">
        <v>10</v>
      </c>
      <c r="D51" s="15" t="s">
        <v>927</v>
      </c>
      <c r="E51" s="15" t="str">
        <f t="shared" si="1"/>
        <v>Keyspan-MA-MA</v>
      </c>
      <c r="F51" s="15" t="s">
        <v>924</v>
      </c>
      <c r="G51" s="15">
        <v>1</v>
      </c>
      <c r="H51" s="116" t="s">
        <v>135</v>
      </c>
      <c r="I51" s="15" t="s">
        <v>117</v>
      </c>
      <c r="J51" s="15">
        <v>240423</v>
      </c>
    </row>
    <row r="52" spans="1:10" x14ac:dyDescent="0.2">
      <c r="A52" s="15" t="str">
        <f>_xlfn.XLOOKUP(E52,Program_data!$E$3:$E$1234,Program_data!$E$3:$E$1234,"",0,1)</f>
        <v/>
      </c>
      <c r="B52" s="15" t="str">
        <f t="shared" ref="B52:B103" si="2">UPPER(LEFT(C52,2))</f>
        <v>MA</v>
      </c>
      <c r="C52" s="15" t="s">
        <v>10</v>
      </c>
      <c r="D52" s="15" t="s">
        <v>927</v>
      </c>
      <c r="E52" s="15" t="str">
        <f t="shared" ref="E52:E103" si="3">D52&amp;"-"&amp;B52</f>
        <v>Keyspan-MA-MA</v>
      </c>
      <c r="F52" s="15" t="s">
        <v>923</v>
      </c>
      <c r="G52" s="15">
        <v>1</v>
      </c>
      <c r="H52" s="116" t="s">
        <v>135</v>
      </c>
      <c r="I52" s="15" t="s">
        <v>116</v>
      </c>
      <c r="J52" s="15">
        <v>2070253</v>
      </c>
    </row>
    <row r="53" spans="1:10" x14ac:dyDescent="0.2">
      <c r="A53" s="15" t="str">
        <f>_xlfn.XLOOKUP(E53,Program_data!$E$3:$E$1234,Program_data!$E$3:$E$1234,"",0,1)</f>
        <v/>
      </c>
      <c r="B53" s="15" t="str">
        <f t="shared" si="2"/>
        <v>MA</v>
      </c>
      <c r="C53" s="15" t="s">
        <v>10</v>
      </c>
      <c r="D53" s="15" t="s">
        <v>927</v>
      </c>
      <c r="E53" s="15" t="str">
        <f t="shared" si="3"/>
        <v>Keyspan-MA-MA</v>
      </c>
      <c r="F53" s="15" t="s">
        <v>915</v>
      </c>
      <c r="G53" s="15">
        <v>1</v>
      </c>
      <c r="H53" s="116" t="s">
        <v>146</v>
      </c>
      <c r="I53" s="15" t="s">
        <v>118</v>
      </c>
      <c r="J53" s="15">
        <v>2070</v>
      </c>
    </row>
    <row r="54" spans="1:10" x14ac:dyDescent="0.2">
      <c r="A54" s="15" t="str">
        <f>_xlfn.XLOOKUP(E54,Program_data!$E$3:$E$1234,Program_data!$E$3:$E$1234,"",0,1)</f>
        <v/>
      </c>
      <c r="B54" s="15" t="str">
        <f t="shared" si="2"/>
        <v>MA</v>
      </c>
      <c r="C54" s="15" t="s">
        <v>10</v>
      </c>
      <c r="D54" s="15" t="s">
        <v>927</v>
      </c>
      <c r="E54" s="15" t="str">
        <f t="shared" si="3"/>
        <v>Keyspan-MA-MA</v>
      </c>
      <c r="F54" s="15" t="s">
        <v>913</v>
      </c>
      <c r="G54" s="15">
        <v>1</v>
      </c>
      <c r="H54" s="116" t="s">
        <v>146</v>
      </c>
      <c r="I54" s="15" t="s">
        <v>116</v>
      </c>
      <c r="J54" s="15">
        <v>14563135</v>
      </c>
    </row>
    <row r="55" spans="1:10" x14ac:dyDescent="0.2">
      <c r="A55" s="15" t="str">
        <f>_xlfn.XLOOKUP(E55,Program_data!$E$3:$E$1234,Program_data!$E$3:$E$1234,"",0,1)</f>
        <v/>
      </c>
      <c r="B55" s="15" t="str">
        <f t="shared" si="2"/>
        <v>MA</v>
      </c>
      <c r="C55" s="15" t="s">
        <v>10</v>
      </c>
      <c r="D55" s="15" t="s">
        <v>927</v>
      </c>
      <c r="E55" s="15" t="str">
        <f t="shared" si="3"/>
        <v>Keyspan-MA-MA</v>
      </c>
      <c r="F55" s="15" t="s">
        <v>914</v>
      </c>
      <c r="G55" s="15">
        <v>1</v>
      </c>
      <c r="H55" s="116" t="s">
        <v>146</v>
      </c>
      <c r="I55" s="15" t="s">
        <v>117</v>
      </c>
      <c r="J55" s="15">
        <v>3697044</v>
      </c>
    </row>
    <row r="56" spans="1:10" x14ac:dyDescent="0.2">
      <c r="A56" s="15" t="str">
        <f>_xlfn.XLOOKUP(E56,Program_data!$E$3:$E$1234,Program_data!$E$3:$E$1234,"",0,1)</f>
        <v/>
      </c>
      <c r="B56" s="15" t="str">
        <f t="shared" si="2"/>
        <v>MA</v>
      </c>
      <c r="C56" s="15" t="s">
        <v>10</v>
      </c>
      <c r="D56" s="15" t="s">
        <v>927</v>
      </c>
      <c r="E56" s="15" t="str">
        <f t="shared" si="3"/>
        <v>Keyspan-MA-MA</v>
      </c>
      <c r="F56" s="15" t="s">
        <v>916</v>
      </c>
      <c r="G56" s="15">
        <v>1</v>
      </c>
      <c r="H56" s="116" t="s">
        <v>146</v>
      </c>
      <c r="I56" s="15" t="s">
        <v>118</v>
      </c>
      <c r="J56" s="15">
        <v>734</v>
      </c>
    </row>
    <row r="57" spans="1:10" x14ac:dyDescent="0.2">
      <c r="A57" s="15" t="str">
        <f>_xlfn.XLOOKUP(E57,Program_data!$E$3:$E$1234,Program_data!$E$3:$E$1234,"",0,1)</f>
        <v/>
      </c>
      <c r="B57" s="15" t="str">
        <f t="shared" si="2"/>
        <v>MA</v>
      </c>
      <c r="C57" s="15" t="s">
        <v>10</v>
      </c>
      <c r="D57" s="15" t="s">
        <v>927</v>
      </c>
      <c r="E57" s="15" t="str">
        <f t="shared" si="3"/>
        <v>Keyspan-MA-MA</v>
      </c>
      <c r="F57" s="15" t="s">
        <v>917</v>
      </c>
      <c r="G57" s="15">
        <v>1</v>
      </c>
      <c r="H57" s="116" t="s">
        <v>146</v>
      </c>
      <c r="I57" s="15" t="s">
        <v>116</v>
      </c>
      <c r="J57" s="15">
        <v>7364533</v>
      </c>
    </row>
    <row r="58" spans="1:10" x14ac:dyDescent="0.2">
      <c r="A58" s="15" t="str">
        <f>_xlfn.XLOOKUP(E58,Program_data!$E$3:$E$1234,Program_data!$E$3:$E$1234,"",0,1)</f>
        <v/>
      </c>
      <c r="B58" s="15" t="str">
        <f t="shared" si="2"/>
        <v>MA</v>
      </c>
      <c r="C58" s="15" t="s">
        <v>10</v>
      </c>
      <c r="D58" s="15" t="s">
        <v>927</v>
      </c>
      <c r="E58" s="15" t="str">
        <f t="shared" si="3"/>
        <v>Keyspan-MA-MA</v>
      </c>
      <c r="F58" s="15" t="s">
        <v>918</v>
      </c>
      <c r="G58" s="15">
        <v>1</v>
      </c>
      <c r="H58" s="116" t="s">
        <v>146</v>
      </c>
      <c r="I58" s="15" t="s">
        <v>117</v>
      </c>
      <c r="J58" s="15">
        <v>2078558</v>
      </c>
    </row>
    <row r="59" spans="1:10" x14ac:dyDescent="0.2">
      <c r="A59" s="15" t="str">
        <f>_xlfn.XLOOKUP(E59,Program_data!$E$3:$E$1234,Program_data!$E$3:$E$1234,"",0,1)</f>
        <v>CNG-CT</v>
      </c>
      <c r="B59" s="15" t="s">
        <v>17</v>
      </c>
      <c r="C59" s="15" t="s">
        <v>23</v>
      </c>
      <c r="D59" s="15" t="s">
        <v>307</v>
      </c>
      <c r="E59" s="15" t="str">
        <f t="shared" si="3"/>
        <v>CNG-CT</v>
      </c>
      <c r="F59" s="15" t="s">
        <v>924</v>
      </c>
      <c r="G59" s="15">
        <v>1</v>
      </c>
      <c r="H59" s="116" t="s">
        <v>135</v>
      </c>
      <c r="I59" s="15" t="s">
        <v>117</v>
      </c>
      <c r="J59" s="15">
        <v>587128</v>
      </c>
    </row>
    <row r="60" spans="1:10" x14ac:dyDescent="0.2">
      <c r="A60" s="15" t="str">
        <f>_xlfn.XLOOKUP(E60,Program_data!$E$3:$E$1234,Program_data!$E$3:$E$1234,"",0,1)</f>
        <v>CNG-CT</v>
      </c>
      <c r="B60" s="15" t="s">
        <v>17</v>
      </c>
      <c r="C60" s="15" t="s">
        <v>23</v>
      </c>
      <c r="D60" s="15" t="s">
        <v>307</v>
      </c>
      <c r="E60" s="15" t="str">
        <f t="shared" si="3"/>
        <v>CNG-CT</v>
      </c>
      <c r="F60" s="15" t="s">
        <v>925</v>
      </c>
      <c r="G60" s="15">
        <v>1</v>
      </c>
      <c r="H60" s="116" t="s">
        <v>135</v>
      </c>
      <c r="I60" s="15" t="s">
        <v>118</v>
      </c>
      <c r="J60" s="15">
        <v>457</v>
      </c>
    </row>
    <row r="61" spans="1:10" x14ac:dyDescent="0.2">
      <c r="A61" s="15" t="str">
        <f>_xlfn.XLOOKUP(E61,Program_data!$E$3:$E$1234,Program_data!$E$3:$E$1234,"",0,1)</f>
        <v>CNG-CT</v>
      </c>
      <c r="B61" s="15" t="s">
        <v>17</v>
      </c>
      <c r="C61" s="15" t="s">
        <v>23</v>
      </c>
      <c r="D61" s="15" t="s">
        <v>307</v>
      </c>
      <c r="E61" s="15" t="str">
        <f t="shared" si="3"/>
        <v>CNG-CT</v>
      </c>
      <c r="F61" s="15" t="s">
        <v>923</v>
      </c>
      <c r="G61" s="15">
        <v>1</v>
      </c>
      <c r="H61" s="116" t="s">
        <v>135</v>
      </c>
      <c r="I61" s="15" t="s">
        <v>116</v>
      </c>
      <c r="J61" s="15">
        <v>2640430</v>
      </c>
    </row>
    <row r="62" spans="1:10" x14ac:dyDescent="0.2">
      <c r="A62" s="15" t="str">
        <f>_xlfn.XLOOKUP(E62,Program_data!$E$3:$E$1234,Program_data!$E$3:$E$1234,"",0,1)</f>
        <v>CNG-CT</v>
      </c>
      <c r="B62" s="15" t="s">
        <v>17</v>
      </c>
      <c r="C62" s="15" t="s">
        <v>23</v>
      </c>
      <c r="D62" s="15" t="s">
        <v>307</v>
      </c>
      <c r="E62" s="15" t="str">
        <f t="shared" si="3"/>
        <v>CNG-CT</v>
      </c>
      <c r="F62" s="15" t="s">
        <v>915</v>
      </c>
      <c r="G62" s="15">
        <v>1</v>
      </c>
      <c r="H62" s="116" t="s">
        <v>146</v>
      </c>
      <c r="I62" s="15" t="s">
        <v>118</v>
      </c>
      <c r="J62" s="15">
        <v>568</v>
      </c>
    </row>
    <row r="63" spans="1:10" x14ac:dyDescent="0.2">
      <c r="A63" s="15" t="str">
        <f>_xlfn.XLOOKUP(E63,Program_data!$E$3:$E$1234,Program_data!$E$3:$E$1234,"",0,1)</f>
        <v>CNG-CT</v>
      </c>
      <c r="B63" s="15" t="s">
        <v>17</v>
      </c>
      <c r="C63" s="15" t="s">
        <v>23</v>
      </c>
      <c r="D63" s="15" t="s">
        <v>307</v>
      </c>
      <c r="E63" s="15" t="str">
        <f t="shared" si="3"/>
        <v>CNG-CT</v>
      </c>
      <c r="F63" s="15" t="s">
        <v>913</v>
      </c>
      <c r="G63" s="15">
        <v>1</v>
      </c>
      <c r="H63" s="116" t="s">
        <v>146</v>
      </c>
      <c r="I63" s="15" t="s">
        <v>116</v>
      </c>
      <c r="J63" s="15">
        <v>8443361</v>
      </c>
    </row>
    <row r="64" spans="1:10" x14ac:dyDescent="0.2">
      <c r="A64" s="15" t="str">
        <f>_xlfn.XLOOKUP(E64,Program_data!$E$3:$E$1234,Program_data!$E$3:$E$1234,"",0,1)</f>
        <v>CNG-CT</v>
      </c>
      <c r="B64" s="15" t="s">
        <v>17</v>
      </c>
      <c r="C64" s="15" t="s">
        <v>23</v>
      </c>
      <c r="D64" s="15" t="s">
        <v>307</v>
      </c>
      <c r="E64" s="15" t="str">
        <f t="shared" si="3"/>
        <v>CNG-CT</v>
      </c>
      <c r="F64" s="15" t="s">
        <v>914</v>
      </c>
      <c r="G64" s="15">
        <v>1</v>
      </c>
      <c r="H64" s="116" t="s">
        <v>146</v>
      </c>
      <c r="I64" s="15" t="s">
        <v>117</v>
      </c>
      <c r="J64" s="15">
        <v>2793644</v>
      </c>
    </row>
    <row r="65" spans="1:10" x14ac:dyDescent="0.2">
      <c r="A65" s="15" t="str">
        <f>_xlfn.XLOOKUP(E65,Program_data!$E$3:$E$1234,Program_data!$E$3:$E$1234,"",0,1)</f>
        <v>CNG-CT</v>
      </c>
      <c r="B65" s="15" t="s">
        <v>17</v>
      </c>
      <c r="C65" s="15" t="s">
        <v>23</v>
      </c>
      <c r="D65" s="15" t="s">
        <v>307</v>
      </c>
      <c r="E65" s="15" t="str">
        <f t="shared" si="3"/>
        <v>CNG-CT</v>
      </c>
      <c r="F65" s="15" t="s">
        <v>917</v>
      </c>
      <c r="G65" s="15">
        <v>1</v>
      </c>
      <c r="H65" s="116" t="s">
        <v>146</v>
      </c>
      <c r="I65" s="15" t="s">
        <v>116</v>
      </c>
      <c r="J65" s="15">
        <v>1682725</v>
      </c>
    </row>
    <row r="66" spans="1:10" x14ac:dyDescent="0.2">
      <c r="A66" s="15" t="str">
        <f>_xlfn.XLOOKUP(E66,Program_data!$E$3:$E$1234,Program_data!$E$3:$E$1234,"",0,1)</f>
        <v>CNG-CT</v>
      </c>
      <c r="B66" s="15" t="s">
        <v>17</v>
      </c>
      <c r="C66" s="15" t="s">
        <v>23</v>
      </c>
      <c r="D66" s="15" t="s">
        <v>307</v>
      </c>
      <c r="E66" s="15" t="str">
        <f t="shared" si="3"/>
        <v>CNG-CT</v>
      </c>
      <c r="F66" s="15" t="s">
        <v>916</v>
      </c>
      <c r="G66" s="15">
        <v>1</v>
      </c>
      <c r="H66" s="116" t="s">
        <v>146</v>
      </c>
      <c r="I66" s="15" t="s">
        <v>118</v>
      </c>
      <c r="J66" s="15">
        <v>69</v>
      </c>
    </row>
    <row r="67" spans="1:10" x14ac:dyDescent="0.2">
      <c r="A67" s="15" t="str">
        <f>_xlfn.XLOOKUP(E67,Program_data!$E$3:$E$1234,Program_data!$E$3:$E$1234,"",0,1)</f>
        <v>CNG-CT</v>
      </c>
      <c r="B67" s="15" t="s">
        <v>17</v>
      </c>
      <c r="C67" s="15" t="s">
        <v>23</v>
      </c>
      <c r="D67" s="15" t="s">
        <v>307</v>
      </c>
      <c r="E67" s="15" t="str">
        <f t="shared" si="3"/>
        <v>CNG-CT</v>
      </c>
      <c r="F67" s="15" t="s">
        <v>918</v>
      </c>
      <c r="G67" s="15">
        <v>1</v>
      </c>
      <c r="H67" s="116" t="s">
        <v>146</v>
      </c>
      <c r="I67" s="15" t="s">
        <v>117</v>
      </c>
      <c r="J67" s="15">
        <v>545742</v>
      </c>
    </row>
    <row r="68" spans="1:10" x14ac:dyDescent="0.2">
      <c r="A68" s="15" t="str">
        <f>_xlfn.XLOOKUP(E68,Program_data!$E$3:$E$1234,Program_data!$E$3:$E$1234,"",0,1)</f>
        <v>ConEd-NY</v>
      </c>
      <c r="B68" s="15" t="s">
        <v>22</v>
      </c>
      <c r="C68" s="15" t="s">
        <v>29</v>
      </c>
      <c r="D68" s="15" t="s">
        <v>34</v>
      </c>
      <c r="E68" s="15" t="str">
        <f t="shared" si="3"/>
        <v>ConEd-NY</v>
      </c>
      <c r="F68" s="15" t="s">
        <v>924</v>
      </c>
      <c r="G68" s="15">
        <v>1</v>
      </c>
      <c r="H68" s="116" t="s">
        <v>135</v>
      </c>
      <c r="I68" s="15" t="s">
        <v>117</v>
      </c>
      <c r="J68" s="15">
        <v>47832569</v>
      </c>
    </row>
    <row r="69" spans="1:10" x14ac:dyDescent="0.2">
      <c r="A69" s="15" t="str">
        <f>_xlfn.XLOOKUP(E69,Program_data!$E$3:$E$1234,Program_data!$E$3:$E$1234,"",0,1)</f>
        <v>ConEd-NY</v>
      </c>
      <c r="B69" s="15" t="s">
        <v>22</v>
      </c>
      <c r="C69" s="15" t="s">
        <v>29</v>
      </c>
      <c r="D69" s="15" t="s">
        <v>34</v>
      </c>
      <c r="E69" s="15" t="str">
        <f t="shared" si="3"/>
        <v>ConEd-NY</v>
      </c>
      <c r="F69" s="15" t="s">
        <v>923</v>
      </c>
      <c r="G69" s="15">
        <v>1</v>
      </c>
      <c r="H69" s="116" t="s">
        <v>135</v>
      </c>
      <c r="I69" s="15" t="s">
        <v>116</v>
      </c>
      <c r="J69" s="15">
        <v>445840802</v>
      </c>
    </row>
    <row r="70" spans="1:10" x14ac:dyDescent="0.2">
      <c r="A70" s="15" t="str">
        <f>_xlfn.XLOOKUP(E70,Program_data!$E$3:$E$1234,Program_data!$E$3:$E$1234,"",0,1)</f>
        <v>ConEd-NY</v>
      </c>
      <c r="B70" s="15" t="s">
        <v>22</v>
      </c>
      <c r="C70" s="15" t="s">
        <v>29</v>
      </c>
      <c r="D70" s="15" t="s">
        <v>34</v>
      </c>
      <c r="E70" s="15" t="str">
        <f t="shared" si="3"/>
        <v>ConEd-NY</v>
      </c>
      <c r="F70" s="15" t="s">
        <v>925</v>
      </c>
      <c r="G70" s="15">
        <v>1</v>
      </c>
      <c r="H70" s="116" t="s">
        <v>135</v>
      </c>
      <c r="I70" s="15" t="s">
        <v>118</v>
      </c>
      <c r="J70" s="15">
        <v>76692</v>
      </c>
    </row>
    <row r="71" spans="1:10" x14ac:dyDescent="0.2">
      <c r="A71" s="15" t="str">
        <f>_xlfn.XLOOKUP(E71,Program_data!$E$3:$E$1234,Program_data!$E$3:$E$1234,"",0,1)</f>
        <v>ConEd-NY</v>
      </c>
      <c r="B71" s="15" t="s">
        <v>22</v>
      </c>
      <c r="C71" s="15" t="s">
        <v>29</v>
      </c>
      <c r="D71" s="15" t="s">
        <v>34</v>
      </c>
      <c r="E71" s="15" t="str">
        <f t="shared" si="3"/>
        <v>ConEd-NY</v>
      </c>
      <c r="F71" s="15" t="s">
        <v>915</v>
      </c>
      <c r="G71" s="15">
        <v>1</v>
      </c>
      <c r="H71" s="116" t="s">
        <v>146</v>
      </c>
      <c r="I71" s="15" t="s">
        <v>118</v>
      </c>
      <c r="J71" s="15">
        <v>28684</v>
      </c>
    </row>
    <row r="72" spans="1:10" x14ac:dyDescent="0.2">
      <c r="A72" s="15" t="str">
        <f>_xlfn.XLOOKUP(E72,Program_data!$E$3:$E$1234,Program_data!$E$3:$E$1234,"",0,1)</f>
        <v>ConEd-NY</v>
      </c>
      <c r="B72" s="15" t="s">
        <v>22</v>
      </c>
      <c r="C72" s="15" t="s">
        <v>29</v>
      </c>
      <c r="D72" s="15" t="s">
        <v>34</v>
      </c>
      <c r="E72" s="15" t="str">
        <f t="shared" si="3"/>
        <v>ConEd-NY</v>
      </c>
      <c r="F72" s="15" t="s">
        <v>914</v>
      </c>
      <c r="G72" s="15">
        <v>1</v>
      </c>
      <c r="H72" s="116" t="s">
        <v>146</v>
      </c>
      <c r="I72" s="15" t="s">
        <v>117</v>
      </c>
      <c r="J72" s="15">
        <v>69339539</v>
      </c>
    </row>
    <row r="73" spans="1:10" x14ac:dyDescent="0.2">
      <c r="A73" s="15" t="str">
        <f>_xlfn.XLOOKUP(E73,Program_data!$E$3:$E$1234,Program_data!$E$3:$E$1234,"",0,1)</f>
        <v>ConEd-NY</v>
      </c>
      <c r="B73" s="15" t="s">
        <v>22</v>
      </c>
      <c r="C73" s="15" t="s">
        <v>29</v>
      </c>
      <c r="D73" s="15" t="s">
        <v>34</v>
      </c>
      <c r="E73" s="15" t="str">
        <f t="shared" si="3"/>
        <v>ConEd-NY</v>
      </c>
      <c r="F73" s="15" t="s">
        <v>913</v>
      </c>
      <c r="G73" s="15">
        <v>1</v>
      </c>
      <c r="H73" s="116" t="s">
        <v>146</v>
      </c>
      <c r="I73" s="15" t="s">
        <v>116</v>
      </c>
      <c r="J73" s="15">
        <v>158216812</v>
      </c>
    </row>
    <row r="74" spans="1:10" x14ac:dyDescent="0.2">
      <c r="A74" s="15" t="str">
        <f>_xlfn.XLOOKUP(E74,Program_data!$E$3:$E$1234,Program_data!$E$3:$E$1234,"",0,1)</f>
        <v>ConEd-NY</v>
      </c>
      <c r="B74" s="15" t="s">
        <v>22</v>
      </c>
      <c r="C74" s="15" t="s">
        <v>29</v>
      </c>
      <c r="D74" s="15" t="s">
        <v>34</v>
      </c>
      <c r="E74" s="15" t="str">
        <f t="shared" si="3"/>
        <v>ConEd-NY</v>
      </c>
      <c r="F74" s="15" t="s">
        <v>916</v>
      </c>
      <c r="G74" s="15">
        <v>1</v>
      </c>
      <c r="H74" s="116" t="s">
        <v>146</v>
      </c>
      <c r="I74" s="15" t="s">
        <v>118</v>
      </c>
      <c r="J74" s="15">
        <v>33</v>
      </c>
    </row>
    <row r="75" spans="1:10" x14ac:dyDescent="0.2">
      <c r="A75" s="15" t="str">
        <f>_xlfn.XLOOKUP(E75,Program_data!$E$3:$E$1234,Program_data!$E$3:$E$1234,"",0,1)</f>
        <v>ConEd-NY</v>
      </c>
      <c r="B75" s="15" t="s">
        <v>22</v>
      </c>
      <c r="C75" s="15" t="s">
        <v>29</v>
      </c>
      <c r="D75" s="15" t="s">
        <v>34</v>
      </c>
      <c r="E75" s="15" t="str">
        <f t="shared" si="3"/>
        <v>ConEd-NY</v>
      </c>
      <c r="F75" s="15" t="s">
        <v>917</v>
      </c>
      <c r="G75" s="15">
        <v>1</v>
      </c>
      <c r="H75" s="116" t="s">
        <v>146</v>
      </c>
      <c r="I75" s="15" t="s">
        <v>116</v>
      </c>
      <c r="J75" s="15">
        <v>3517642</v>
      </c>
    </row>
    <row r="76" spans="1:10" x14ac:dyDescent="0.2">
      <c r="A76" s="15" t="str">
        <f>_xlfn.XLOOKUP(E76,Program_data!$E$3:$E$1234,Program_data!$E$3:$E$1234,"",0,1)</f>
        <v>ConEd-NY</v>
      </c>
      <c r="B76" s="15" t="s">
        <v>22</v>
      </c>
      <c r="C76" s="15" t="s">
        <v>29</v>
      </c>
      <c r="D76" s="15" t="s">
        <v>34</v>
      </c>
      <c r="E76" s="15" t="str">
        <f t="shared" si="3"/>
        <v>ConEd-NY</v>
      </c>
      <c r="F76" s="15" t="s">
        <v>918</v>
      </c>
      <c r="G76" s="15">
        <v>1</v>
      </c>
      <c r="H76" s="116" t="s">
        <v>146</v>
      </c>
      <c r="I76" s="15" t="s">
        <v>117</v>
      </c>
      <c r="J76" s="15">
        <v>554928</v>
      </c>
    </row>
    <row r="77" spans="1:10" x14ac:dyDescent="0.2">
      <c r="A77" s="15" t="str">
        <f>_xlfn.XLOOKUP(E77,Program_data!$E$3:$E$1234,Program_data!$E$3:$E$1234,"",0,1)</f>
        <v>CMS-MI</v>
      </c>
      <c r="B77" s="15" t="str">
        <f t="shared" si="2"/>
        <v>MI</v>
      </c>
      <c r="C77" s="15" t="s">
        <v>38</v>
      </c>
      <c r="D77" s="15" t="s">
        <v>635</v>
      </c>
      <c r="E77" s="15" t="str">
        <f t="shared" si="3"/>
        <v>CMS-MI</v>
      </c>
      <c r="F77" s="15" t="s">
        <v>923</v>
      </c>
      <c r="G77" s="15">
        <v>1</v>
      </c>
      <c r="H77" s="116" t="s">
        <v>135</v>
      </c>
      <c r="I77" s="15" t="s">
        <v>116</v>
      </c>
      <c r="J77" s="15">
        <v>2669555</v>
      </c>
    </row>
    <row r="78" spans="1:10" x14ac:dyDescent="0.2">
      <c r="A78" s="15" t="str">
        <f>_xlfn.XLOOKUP(E78,Program_data!$E$3:$E$1234,Program_data!$E$3:$E$1234,"",0,1)</f>
        <v>CMS-MI</v>
      </c>
      <c r="B78" s="15" t="str">
        <f t="shared" si="2"/>
        <v>MI</v>
      </c>
      <c r="C78" s="15" t="s">
        <v>38</v>
      </c>
      <c r="D78" s="15" t="s">
        <v>635</v>
      </c>
      <c r="E78" s="15" t="str">
        <f t="shared" si="3"/>
        <v>CMS-MI</v>
      </c>
      <c r="F78" s="15" t="s">
        <v>925</v>
      </c>
      <c r="G78" s="15">
        <v>1</v>
      </c>
      <c r="H78" s="116" t="s">
        <v>135</v>
      </c>
      <c r="I78" s="15" t="s">
        <v>118</v>
      </c>
      <c r="J78" s="15">
        <v>202</v>
      </c>
    </row>
    <row r="79" spans="1:10" x14ac:dyDescent="0.2">
      <c r="A79" s="15" t="str">
        <f>_xlfn.XLOOKUP(E79,Program_data!$E$3:$E$1234,Program_data!$E$3:$E$1234,"",0,1)</f>
        <v>CMS-MI</v>
      </c>
      <c r="B79" s="15" t="str">
        <f t="shared" si="2"/>
        <v>MI</v>
      </c>
      <c r="C79" s="15" t="s">
        <v>38</v>
      </c>
      <c r="D79" s="15" t="s">
        <v>635</v>
      </c>
      <c r="E79" s="15" t="str">
        <f t="shared" si="3"/>
        <v>CMS-MI</v>
      </c>
      <c r="F79" s="15" t="s">
        <v>924</v>
      </c>
      <c r="G79" s="15">
        <v>1</v>
      </c>
      <c r="H79" s="116" t="s">
        <v>135</v>
      </c>
      <c r="I79" s="15" t="s">
        <v>117</v>
      </c>
      <c r="J79" s="15">
        <v>1102155</v>
      </c>
    </row>
    <row r="80" spans="1:10" x14ac:dyDescent="0.2">
      <c r="A80" s="15" t="str">
        <f>_xlfn.XLOOKUP(E80,Program_data!$E$3:$E$1234,Program_data!$E$3:$E$1234,"",0,1)</f>
        <v>CMS-MI</v>
      </c>
      <c r="B80" s="15" t="str">
        <f t="shared" si="2"/>
        <v>MI</v>
      </c>
      <c r="C80" s="15" t="s">
        <v>38</v>
      </c>
      <c r="D80" s="15" t="s">
        <v>635</v>
      </c>
      <c r="E80" s="15" t="str">
        <f t="shared" si="3"/>
        <v>CMS-MI</v>
      </c>
      <c r="F80" s="15" t="s">
        <v>914</v>
      </c>
      <c r="G80" s="15">
        <v>1</v>
      </c>
      <c r="H80" s="116" t="s">
        <v>146</v>
      </c>
      <c r="I80" s="15" t="s">
        <v>117</v>
      </c>
      <c r="J80" s="15">
        <v>25682332</v>
      </c>
    </row>
    <row r="81" spans="1:10" x14ac:dyDescent="0.2">
      <c r="A81" s="15" t="str">
        <f>_xlfn.XLOOKUP(E81,Program_data!$E$3:$E$1234,Program_data!$E$3:$E$1234,"",0,1)</f>
        <v>CMS-MI</v>
      </c>
      <c r="B81" s="15" t="str">
        <f t="shared" si="2"/>
        <v>MI</v>
      </c>
      <c r="C81" s="15" t="s">
        <v>38</v>
      </c>
      <c r="D81" s="15" t="s">
        <v>635</v>
      </c>
      <c r="E81" s="15" t="str">
        <f t="shared" si="3"/>
        <v>CMS-MI</v>
      </c>
      <c r="F81" s="15" t="s">
        <v>913</v>
      </c>
      <c r="G81" s="15">
        <v>1</v>
      </c>
      <c r="H81" s="116" t="s">
        <v>146</v>
      </c>
      <c r="I81" s="15" t="s">
        <v>116</v>
      </c>
      <c r="J81" s="15">
        <v>42458328</v>
      </c>
    </row>
    <row r="82" spans="1:10" x14ac:dyDescent="0.2">
      <c r="A82" s="15" t="str">
        <f>_xlfn.XLOOKUP(E82,Program_data!$E$3:$E$1234,Program_data!$E$3:$E$1234,"",0,1)</f>
        <v>CMS-MI</v>
      </c>
      <c r="B82" s="15" t="str">
        <f t="shared" si="2"/>
        <v>MI</v>
      </c>
      <c r="C82" s="15" t="s">
        <v>38</v>
      </c>
      <c r="D82" s="15" t="s">
        <v>635</v>
      </c>
      <c r="E82" s="15" t="str">
        <f t="shared" si="3"/>
        <v>CMS-MI</v>
      </c>
      <c r="F82" s="15" t="s">
        <v>915</v>
      </c>
      <c r="G82" s="15">
        <v>1</v>
      </c>
      <c r="H82" s="116" t="s">
        <v>146</v>
      </c>
      <c r="I82" s="15" t="s">
        <v>118</v>
      </c>
      <c r="J82" s="15">
        <v>2722</v>
      </c>
    </row>
    <row r="83" spans="1:10" x14ac:dyDescent="0.2">
      <c r="A83" s="15" t="str">
        <f>_xlfn.XLOOKUP(E83,Program_data!$E$3:$E$1234,Program_data!$E$3:$E$1234,"",0,1)</f>
        <v>CMS-MI</v>
      </c>
      <c r="B83" s="15" t="str">
        <f t="shared" si="2"/>
        <v>MI</v>
      </c>
      <c r="C83" s="15" t="s">
        <v>38</v>
      </c>
      <c r="D83" s="15" t="s">
        <v>635</v>
      </c>
      <c r="E83" s="15" t="str">
        <f t="shared" si="3"/>
        <v>CMS-MI</v>
      </c>
      <c r="F83" s="15" t="s">
        <v>916</v>
      </c>
      <c r="G83" s="15">
        <v>1</v>
      </c>
      <c r="H83" s="116" t="s">
        <v>146</v>
      </c>
      <c r="I83" s="15" t="s">
        <v>118</v>
      </c>
      <c r="J83" s="15">
        <v>534</v>
      </c>
    </row>
    <row r="84" spans="1:10" x14ac:dyDescent="0.2">
      <c r="A84" s="15" t="str">
        <f>_xlfn.XLOOKUP(E84,Program_data!$E$3:$E$1234,Program_data!$E$3:$E$1234,"",0,1)</f>
        <v>CMS-MI</v>
      </c>
      <c r="B84" s="15" t="str">
        <f t="shared" si="2"/>
        <v>MI</v>
      </c>
      <c r="C84" s="15" t="s">
        <v>38</v>
      </c>
      <c r="D84" s="15" t="s">
        <v>635</v>
      </c>
      <c r="E84" s="15" t="str">
        <f t="shared" si="3"/>
        <v>CMS-MI</v>
      </c>
      <c r="F84" s="15" t="s">
        <v>918</v>
      </c>
      <c r="G84" s="15">
        <v>1</v>
      </c>
      <c r="H84" s="116" t="s">
        <v>146</v>
      </c>
      <c r="I84" s="15" t="s">
        <v>117</v>
      </c>
      <c r="J84" s="15">
        <v>49086744</v>
      </c>
    </row>
    <row r="85" spans="1:10" x14ac:dyDescent="0.2">
      <c r="A85" s="15" t="str">
        <f>_xlfn.XLOOKUP(E85,Program_data!$E$3:$E$1234,Program_data!$E$3:$E$1234,"",0,1)</f>
        <v>CMS-MI</v>
      </c>
      <c r="B85" s="15" t="str">
        <f t="shared" si="2"/>
        <v>MI</v>
      </c>
      <c r="C85" s="15" t="s">
        <v>38</v>
      </c>
      <c r="D85" s="15" t="s">
        <v>635</v>
      </c>
      <c r="E85" s="15" t="str">
        <f t="shared" si="3"/>
        <v>CMS-MI</v>
      </c>
      <c r="F85" s="15" t="s">
        <v>917</v>
      </c>
      <c r="G85" s="15">
        <v>1</v>
      </c>
      <c r="H85" s="116" t="s">
        <v>146</v>
      </c>
      <c r="I85" s="15" t="s">
        <v>116</v>
      </c>
      <c r="J85" s="15">
        <v>57470439</v>
      </c>
    </row>
    <row r="86" spans="1:10" x14ac:dyDescent="0.2">
      <c r="A86" s="15" t="str">
        <f>_xlfn.XLOOKUP(E86,Program_data!$E$3:$E$1234,Program_data!$E$3:$E$1234,"",0,1)</f>
        <v>DTE-MI</v>
      </c>
      <c r="B86" s="15" t="str">
        <f t="shared" si="2"/>
        <v>MI</v>
      </c>
      <c r="C86" s="15" t="s">
        <v>38</v>
      </c>
      <c r="D86" s="15" t="s">
        <v>200</v>
      </c>
      <c r="E86" s="15" t="str">
        <f t="shared" si="3"/>
        <v>DTE-MI</v>
      </c>
      <c r="F86" s="15" t="s">
        <v>924</v>
      </c>
      <c r="G86" s="15">
        <v>1</v>
      </c>
      <c r="H86" s="116" t="s">
        <v>135</v>
      </c>
      <c r="I86" s="15" t="s">
        <v>117</v>
      </c>
      <c r="J86" s="15">
        <v>10673826</v>
      </c>
    </row>
    <row r="87" spans="1:10" x14ac:dyDescent="0.2">
      <c r="A87" s="15" t="str">
        <f>_xlfn.XLOOKUP(E87,Program_data!$E$3:$E$1234,Program_data!$E$3:$E$1234,"",0,1)</f>
        <v>DTE-MI</v>
      </c>
      <c r="B87" s="15" t="str">
        <f t="shared" si="2"/>
        <v>MI</v>
      </c>
      <c r="C87" s="15" t="s">
        <v>38</v>
      </c>
      <c r="D87" s="15" t="s">
        <v>200</v>
      </c>
      <c r="E87" s="15" t="str">
        <f t="shared" si="3"/>
        <v>DTE-MI</v>
      </c>
      <c r="F87" s="15" t="s">
        <v>925</v>
      </c>
      <c r="G87" s="15">
        <v>1</v>
      </c>
      <c r="H87" s="116" t="s">
        <v>135</v>
      </c>
      <c r="I87" s="15" t="s">
        <v>118</v>
      </c>
      <c r="J87" s="15">
        <v>108189</v>
      </c>
    </row>
    <row r="88" spans="1:10" x14ac:dyDescent="0.2">
      <c r="A88" s="15" t="str">
        <f>_xlfn.XLOOKUP(E88,Program_data!$E$3:$E$1234,Program_data!$E$3:$E$1234,"",0,1)</f>
        <v>DTE-MI</v>
      </c>
      <c r="B88" s="15" t="str">
        <f t="shared" si="2"/>
        <v>MI</v>
      </c>
      <c r="C88" s="15" t="s">
        <v>38</v>
      </c>
      <c r="D88" s="15" t="s">
        <v>200</v>
      </c>
      <c r="E88" s="15" t="str">
        <f t="shared" si="3"/>
        <v>DTE-MI</v>
      </c>
      <c r="F88" s="15" t="s">
        <v>923</v>
      </c>
      <c r="G88" s="15">
        <v>1</v>
      </c>
      <c r="H88" s="116" t="s">
        <v>135</v>
      </c>
      <c r="I88" s="15" t="s">
        <v>116</v>
      </c>
      <c r="J88" s="15">
        <v>58868225</v>
      </c>
    </row>
    <row r="89" spans="1:10" x14ac:dyDescent="0.2">
      <c r="A89" s="15" t="str">
        <f>_xlfn.XLOOKUP(E89,Program_data!$E$3:$E$1234,Program_data!$E$3:$E$1234,"",0,1)</f>
        <v>DTE-MI</v>
      </c>
      <c r="B89" s="15" t="str">
        <f t="shared" si="2"/>
        <v>MI</v>
      </c>
      <c r="C89" s="15" t="s">
        <v>38</v>
      </c>
      <c r="D89" s="15" t="s">
        <v>200</v>
      </c>
      <c r="E89" s="15" t="str">
        <f t="shared" si="3"/>
        <v>DTE-MI</v>
      </c>
      <c r="F89" s="15" t="s">
        <v>914</v>
      </c>
      <c r="G89" s="15">
        <v>1</v>
      </c>
      <c r="H89" s="116" t="s">
        <v>146</v>
      </c>
      <c r="I89" s="15" t="s">
        <v>117</v>
      </c>
      <c r="J89" s="15">
        <v>38388972</v>
      </c>
    </row>
    <row r="90" spans="1:10" x14ac:dyDescent="0.2">
      <c r="A90" s="15" t="str">
        <f>_xlfn.XLOOKUP(E90,Program_data!$E$3:$E$1234,Program_data!$E$3:$E$1234,"",0,1)</f>
        <v>DTE-MI</v>
      </c>
      <c r="B90" s="15" t="str">
        <f t="shared" si="2"/>
        <v>MI</v>
      </c>
      <c r="C90" s="15" t="s">
        <v>38</v>
      </c>
      <c r="D90" s="15" t="s">
        <v>200</v>
      </c>
      <c r="E90" s="15" t="str">
        <f t="shared" si="3"/>
        <v>DTE-MI</v>
      </c>
      <c r="F90" s="15" t="s">
        <v>915</v>
      </c>
      <c r="G90" s="15">
        <v>1</v>
      </c>
      <c r="H90" s="116" t="s">
        <v>146</v>
      </c>
      <c r="I90" s="15" t="s">
        <v>118</v>
      </c>
      <c r="J90" s="15">
        <v>16047</v>
      </c>
    </row>
    <row r="91" spans="1:10" x14ac:dyDescent="0.2">
      <c r="A91" s="15" t="str">
        <f>_xlfn.XLOOKUP(E91,Program_data!$E$3:$E$1234,Program_data!$E$3:$E$1234,"",0,1)</f>
        <v>DTE-MI</v>
      </c>
      <c r="B91" s="15" t="str">
        <f t="shared" si="2"/>
        <v>MI</v>
      </c>
      <c r="C91" s="15" t="s">
        <v>38</v>
      </c>
      <c r="D91" s="15" t="s">
        <v>200</v>
      </c>
      <c r="E91" s="15" t="str">
        <f t="shared" si="3"/>
        <v>DTE-MI</v>
      </c>
      <c r="F91" s="15" t="s">
        <v>913</v>
      </c>
      <c r="G91" s="15">
        <v>1</v>
      </c>
      <c r="H91" s="116" t="s">
        <v>146</v>
      </c>
      <c r="I91" s="15" t="s">
        <v>116</v>
      </c>
      <c r="J91" s="15">
        <v>75406311</v>
      </c>
    </row>
    <row r="92" spans="1:10" x14ac:dyDescent="0.2">
      <c r="A92" s="15" t="str">
        <f>_xlfn.XLOOKUP(E92,Program_data!$E$3:$E$1234,Program_data!$E$3:$E$1234,"",0,1)</f>
        <v>DTE-MI</v>
      </c>
      <c r="B92" s="15" t="str">
        <f t="shared" si="2"/>
        <v>MI</v>
      </c>
      <c r="C92" s="15" t="s">
        <v>38</v>
      </c>
      <c r="D92" s="15" t="s">
        <v>200</v>
      </c>
      <c r="E92" s="15" t="str">
        <f t="shared" si="3"/>
        <v>DTE-MI</v>
      </c>
      <c r="F92" s="15" t="s">
        <v>918</v>
      </c>
      <c r="G92" s="15">
        <v>1</v>
      </c>
      <c r="H92" s="116" t="s">
        <v>146</v>
      </c>
      <c r="I92" s="15" t="s">
        <v>117</v>
      </c>
      <c r="J92" s="15">
        <v>59979897</v>
      </c>
    </row>
    <row r="93" spans="1:10" x14ac:dyDescent="0.2">
      <c r="A93" s="15" t="str">
        <f>_xlfn.XLOOKUP(E93,Program_data!$E$3:$E$1234,Program_data!$E$3:$E$1234,"",0,1)</f>
        <v>DTE-MI</v>
      </c>
      <c r="B93" s="15" t="str">
        <f t="shared" si="2"/>
        <v>MI</v>
      </c>
      <c r="C93" s="15" t="s">
        <v>38</v>
      </c>
      <c r="D93" s="15" t="s">
        <v>200</v>
      </c>
      <c r="E93" s="15" t="str">
        <f t="shared" si="3"/>
        <v>DTE-MI</v>
      </c>
      <c r="F93" s="15" t="s">
        <v>917</v>
      </c>
      <c r="G93" s="15">
        <v>1</v>
      </c>
      <c r="H93" s="116" t="s">
        <v>146</v>
      </c>
      <c r="I93" s="15" t="s">
        <v>116</v>
      </c>
      <c r="J93" s="15">
        <v>55047062</v>
      </c>
    </row>
    <row r="94" spans="1:10" x14ac:dyDescent="0.2">
      <c r="A94" s="15" t="str">
        <f>_xlfn.XLOOKUP(E94,Program_data!$E$3:$E$1234,Program_data!$E$3:$E$1234,"",0,1)</f>
        <v>DTE-MI</v>
      </c>
      <c r="B94" s="15" t="str">
        <f t="shared" si="2"/>
        <v>MI</v>
      </c>
      <c r="C94" s="15" t="s">
        <v>38</v>
      </c>
      <c r="D94" s="15" t="s">
        <v>200</v>
      </c>
      <c r="E94" s="15" t="str">
        <f t="shared" si="3"/>
        <v>DTE-MI</v>
      </c>
      <c r="F94" s="15" t="s">
        <v>916</v>
      </c>
      <c r="G94" s="15">
        <v>1</v>
      </c>
      <c r="H94" s="116" t="s">
        <v>146</v>
      </c>
      <c r="I94" s="15" t="s">
        <v>118</v>
      </c>
      <c r="J94" s="15">
        <v>419</v>
      </c>
    </row>
    <row r="95" spans="1:10" x14ac:dyDescent="0.2">
      <c r="A95" s="15" t="str">
        <f>_xlfn.XLOOKUP(E95,Program_data!$E$3:$E$1234,Program_data!$E$3:$E$1234,"",0,1)</f>
        <v/>
      </c>
      <c r="B95" s="15" t="str">
        <f t="shared" si="2"/>
        <v>MA</v>
      </c>
      <c r="C95" s="15" t="s">
        <v>10</v>
      </c>
      <c r="D95" s="15" t="s">
        <v>879</v>
      </c>
      <c r="E95" s="15" t="str">
        <f t="shared" si="3"/>
        <v>Eversource-MA-MA</v>
      </c>
      <c r="F95" s="15" t="s">
        <v>925</v>
      </c>
      <c r="G95" s="15">
        <v>1</v>
      </c>
      <c r="H95" s="116" t="s">
        <v>135</v>
      </c>
      <c r="I95" s="15" t="s">
        <v>118</v>
      </c>
      <c r="J95" s="15">
        <v>285</v>
      </c>
    </row>
    <row r="96" spans="1:10" x14ac:dyDescent="0.2">
      <c r="A96" s="15" t="str">
        <f>_xlfn.XLOOKUP(E96,Program_data!$E$3:$E$1234,Program_data!$E$3:$E$1234,"",0,1)</f>
        <v/>
      </c>
      <c r="B96" s="15" t="str">
        <f t="shared" si="2"/>
        <v>MA</v>
      </c>
      <c r="C96" s="15" t="s">
        <v>10</v>
      </c>
      <c r="D96" s="15" t="s">
        <v>879</v>
      </c>
      <c r="E96" s="15" t="str">
        <f t="shared" si="3"/>
        <v>Eversource-MA-MA</v>
      </c>
      <c r="F96" s="15" t="s">
        <v>923</v>
      </c>
      <c r="G96" s="15">
        <v>1</v>
      </c>
      <c r="H96" s="116" t="s">
        <v>135</v>
      </c>
      <c r="I96" s="15" t="s">
        <v>116</v>
      </c>
      <c r="J96" s="15">
        <v>327330</v>
      </c>
    </row>
    <row r="97" spans="1:10" x14ac:dyDescent="0.2">
      <c r="A97" s="15" t="str">
        <f>_xlfn.XLOOKUP(E97,Program_data!$E$3:$E$1234,Program_data!$E$3:$E$1234,"",0,1)</f>
        <v/>
      </c>
      <c r="B97" s="15" t="str">
        <f t="shared" si="2"/>
        <v>MA</v>
      </c>
      <c r="C97" s="15" t="s">
        <v>10</v>
      </c>
      <c r="D97" s="15" t="s">
        <v>879</v>
      </c>
      <c r="E97" s="15" t="str">
        <f t="shared" si="3"/>
        <v>Eversource-MA-MA</v>
      </c>
      <c r="F97" s="15" t="s">
        <v>924</v>
      </c>
      <c r="G97" s="15">
        <v>1</v>
      </c>
      <c r="H97" s="116" t="s">
        <v>135</v>
      </c>
      <c r="I97" s="15" t="s">
        <v>117</v>
      </c>
      <c r="J97" s="15">
        <v>40305</v>
      </c>
    </row>
    <row r="98" spans="1:10" x14ac:dyDescent="0.2">
      <c r="A98" s="15" t="str">
        <f>_xlfn.XLOOKUP(E98,Program_data!$E$3:$E$1234,Program_data!$E$3:$E$1234,"",0,1)</f>
        <v/>
      </c>
      <c r="B98" s="15" t="str">
        <f t="shared" si="2"/>
        <v>MA</v>
      </c>
      <c r="C98" s="15" t="s">
        <v>10</v>
      </c>
      <c r="D98" s="15" t="s">
        <v>879</v>
      </c>
      <c r="E98" s="15" t="str">
        <f t="shared" si="3"/>
        <v>Eversource-MA-MA</v>
      </c>
      <c r="F98" s="15" t="s">
        <v>915</v>
      </c>
      <c r="G98" s="15">
        <v>1</v>
      </c>
      <c r="H98" s="116" t="s">
        <v>146</v>
      </c>
      <c r="I98" s="15" t="s">
        <v>118</v>
      </c>
      <c r="J98" s="15">
        <v>4557</v>
      </c>
    </row>
    <row r="99" spans="1:10" x14ac:dyDescent="0.2">
      <c r="A99" s="15" t="str">
        <f>_xlfn.XLOOKUP(E99,Program_data!$E$3:$E$1234,Program_data!$E$3:$E$1234,"",0,1)</f>
        <v/>
      </c>
      <c r="B99" s="15" t="str">
        <f t="shared" si="2"/>
        <v>MA</v>
      </c>
      <c r="C99" s="15" t="s">
        <v>10</v>
      </c>
      <c r="D99" s="15" t="s">
        <v>879</v>
      </c>
      <c r="E99" s="15" t="str">
        <f t="shared" si="3"/>
        <v>Eversource-MA-MA</v>
      </c>
      <c r="F99" s="15" t="s">
        <v>913</v>
      </c>
      <c r="G99" s="15">
        <v>1</v>
      </c>
      <c r="H99" s="116" t="s">
        <v>146</v>
      </c>
      <c r="I99" s="15" t="s">
        <v>116</v>
      </c>
      <c r="J99" s="15">
        <v>15278535</v>
      </c>
    </row>
    <row r="100" spans="1:10" x14ac:dyDescent="0.2">
      <c r="A100" s="15" t="str">
        <f>_xlfn.XLOOKUP(E100,Program_data!$E$3:$E$1234,Program_data!$E$3:$E$1234,"",0,1)</f>
        <v/>
      </c>
      <c r="B100" s="15" t="str">
        <f t="shared" si="2"/>
        <v>MA</v>
      </c>
      <c r="C100" s="15" t="s">
        <v>10</v>
      </c>
      <c r="D100" s="15" t="s">
        <v>879</v>
      </c>
      <c r="E100" s="15" t="str">
        <f t="shared" si="3"/>
        <v>Eversource-MA-MA</v>
      </c>
      <c r="F100" s="15" t="s">
        <v>914</v>
      </c>
      <c r="G100" s="15">
        <v>1</v>
      </c>
      <c r="H100" s="116" t="s">
        <v>146</v>
      </c>
      <c r="I100" s="15" t="s">
        <v>117</v>
      </c>
      <c r="J100" s="15">
        <v>3532023</v>
      </c>
    </row>
    <row r="101" spans="1:10" x14ac:dyDescent="0.2">
      <c r="A101" s="15" t="str">
        <f>_xlfn.XLOOKUP(E101,Program_data!$E$3:$E$1234,Program_data!$E$3:$E$1234,"",0,1)</f>
        <v/>
      </c>
      <c r="B101" s="15" t="str">
        <f t="shared" si="2"/>
        <v>MA</v>
      </c>
      <c r="C101" s="15" t="s">
        <v>10</v>
      </c>
      <c r="D101" s="15" t="s">
        <v>879</v>
      </c>
      <c r="E101" s="15" t="str">
        <f t="shared" si="3"/>
        <v>Eversource-MA-MA</v>
      </c>
      <c r="F101" s="15" t="s">
        <v>916</v>
      </c>
      <c r="G101" s="15">
        <v>1</v>
      </c>
      <c r="H101" s="116" t="s">
        <v>146</v>
      </c>
      <c r="I101" s="15" t="s">
        <v>118</v>
      </c>
      <c r="J101" s="15">
        <v>653</v>
      </c>
    </row>
    <row r="102" spans="1:10" x14ac:dyDescent="0.2">
      <c r="A102" s="15" t="str">
        <f>_xlfn.XLOOKUP(E102,Program_data!$E$3:$E$1234,Program_data!$E$3:$E$1234,"",0,1)</f>
        <v/>
      </c>
      <c r="B102" s="15" t="str">
        <f t="shared" si="2"/>
        <v>MA</v>
      </c>
      <c r="C102" s="15" t="s">
        <v>10</v>
      </c>
      <c r="D102" s="15" t="s">
        <v>879</v>
      </c>
      <c r="E102" s="15" t="str">
        <f t="shared" si="3"/>
        <v>Eversource-MA-MA</v>
      </c>
      <c r="F102" s="15" t="s">
        <v>918</v>
      </c>
      <c r="G102" s="15">
        <v>1</v>
      </c>
      <c r="H102" s="116" t="s">
        <v>146</v>
      </c>
      <c r="I102" s="15" t="s">
        <v>117</v>
      </c>
      <c r="J102" s="15">
        <v>11895656</v>
      </c>
    </row>
    <row r="103" spans="1:10" x14ac:dyDescent="0.2">
      <c r="A103" s="15" t="str">
        <f>_xlfn.XLOOKUP(E103,Program_data!$E$3:$E$1234,Program_data!$E$3:$E$1234,"",0,1)</f>
        <v/>
      </c>
      <c r="B103" s="15" t="str">
        <f t="shared" si="2"/>
        <v>MA</v>
      </c>
      <c r="C103" s="15" t="s">
        <v>10</v>
      </c>
      <c r="D103" s="15" t="s">
        <v>879</v>
      </c>
      <c r="E103" s="15" t="str">
        <f t="shared" si="3"/>
        <v>Eversource-MA-MA</v>
      </c>
      <c r="F103" s="15" t="s">
        <v>917</v>
      </c>
      <c r="G103" s="15">
        <v>1</v>
      </c>
      <c r="H103" s="116" t="s">
        <v>146</v>
      </c>
      <c r="I103" s="15" t="s">
        <v>116</v>
      </c>
      <c r="J103" s="15">
        <v>31707582</v>
      </c>
    </row>
    <row r="104" spans="1:10" x14ac:dyDescent="0.2">
      <c r="A104" s="15" t="str">
        <f>_xlfn.XLOOKUP(E104,Program_data!$E$3:$E$1234,Program_data!$E$3:$E$1234,"",0,1)</f>
        <v>Ngrid-NY</v>
      </c>
      <c r="B104" s="15" t="s">
        <v>22</v>
      </c>
      <c r="C104" s="15" t="s">
        <v>29</v>
      </c>
      <c r="D104" s="15" t="s">
        <v>159</v>
      </c>
      <c r="E104" s="15" t="str">
        <f t="shared" ref="E104:E143" si="4">D104&amp;"-"&amp;B104</f>
        <v>Ngrid-NY</v>
      </c>
      <c r="F104" s="15" t="s">
        <v>924</v>
      </c>
      <c r="G104" s="15">
        <v>1</v>
      </c>
      <c r="H104" s="116" t="s">
        <v>135</v>
      </c>
      <c r="I104" s="15" t="s">
        <v>117</v>
      </c>
      <c r="J104" s="15">
        <v>2333109</v>
      </c>
    </row>
    <row r="105" spans="1:10" x14ac:dyDescent="0.2">
      <c r="A105" s="15" t="str">
        <f>_xlfn.XLOOKUP(E105,Program_data!$E$3:$E$1234,Program_data!$E$3:$E$1234,"",0,1)</f>
        <v>Ngrid-NY</v>
      </c>
      <c r="B105" s="15" t="s">
        <v>22</v>
      </c>
      <c r="C105" s="15" t="s">
        <v>29</v>
      </c>
      <c r="D105" s="15" t="s">
        <v>159</v>
      </c>
      <c r="E105" s="15" t="str">
        <f t="shared" si="4"/>
        <v>Ngrid-NY</v>
      </c>
      <c r="F105" s="15" t="s">
        <v>923</v>
      </c>
      <c r="G105" s="15">
        <v>1</v>
      </c>
      <c r="H105" s="116" t="s">
        <v>135</v>
      </c>
      <c r="I105" s="15" t="s">
        <v>116</v>
      </c>
      <c r="J105" s="15">
        <v>19057593</v>
      </c>
    </row>
    <row r="106" spans="1:10" x14ac:dyDescent="0.2">
      <c r="A106" s="15" t="str">
        <f>_xlfn.XLOOKUP(E106,Program_data!$E$3:$E$1234,Program_data!$E$3:$E$1234,"",0,1)</f>
        <v>Ngrid-NY</v>
      </c>
      <c r="B106" s="15" t="s">
        <v>22</v>
      </c>
      <c r="C106" s="15" t="s">
        <v>29</v>
      </c>
      <c r="D106" s="15" t="s">
        <v>159</v>
      </c>
      <c r="E106" s="15" t="str">
        <f t="shared" si="4"/>
        <v>Ngrid-NY</v>
      </c>
      <c r="F106" s="15" t="s">
        <v>925</v>
      </c>
      <c r="G106" s="15">
        <v>1</v>
      </c>
      <c r="H106" s="116" t="s">
        <v>135</v>
      </c>
      <c r="I106" s="15" t="s">
        <v>118</v>
      </c>
      <c r="J106" s="15">
        <v>18814</v>
      </c>
    </row>
    <row r="107" spans="1:10" x14ac:dyDescent="0.2">
      <c r="A107" s="15" t="str">
        <f>_xlfn.XLOOKUP(E107,Program_data!$E$3:$E$1234,Program_data!$E$3:$E$1234,"",0,1)</f>
        <v>Ngrid-NY</v>
      </c>
      <c r="B107" s="15" t="s">
        <v>22</v>
      </c>
      <c r="C107" s="15" t="s">
        <v>29</v>
      </c>
      <c r="D107" s="15" t="s">
        <v>159</v>
      </c>
      <c r="E107" s="15" t="str">
        <f t="shared" si="4"/>
        <v>Ngrid-NY</v>
      </c>
      <c r="F107" s="15" t="s">
        <v>913</v>
      </c>
      <c r="G107" s="15">
        <v>1</v>
      </c>
      <c r="H107" s="116" t="s">
        <v>146</v>
      </c>
      <c r="I107" s="15" t="s">
        <v>116</v>
      </c>
      <c r="J107" s="15">
        <v>81313121</v>
      </c>
    </row>
    <row r="108" spans="1:10" x14ac:dyDescent="0.2">
      <c r="A108" s="15" t="str">
        <f>_xlfn.XLOOKUP(E108,Program_data!$E$3:$E$1234,Program_data!$E$3:$E$1234,"",0,1)</f>
        <v>Ngrid-NY</v>
      </c>
      <c r="B108" s="15" t="s">
        <v>22</v>
      </c>
      <c r="C108" s="15" t="s">
        <v>29</v>
      </c>
      <c r="D108" s="15" t="s">
        <v>159</v>
      </c>
      <c r="E108" s="15" t="str">
        <f t="shared" si="4"/>
        <v>Ngrid-NY</v>
      </c>
      <c r="F108" s="15" t="s">
        <v>914</v>
      </c>
      <c r="G108" s="15">
        <v>1</v>
      </c>
      <c r="H108" s="116" t="s">
        <v>146</v>
      </c>
      <c r="I108" s="15" t="s">
        <v>117</v>
      </c>
      <c r="J108" s="15">
        <v>19010093</v>
      </c>
    </row>
    <row r="109" spans="1:10" x14ac:dyDescent="0.2">
      <c r="A109" s="15" t="str">
        <f>_xlfn.XLOOKUP(E109,Program_data!$E$3:$E$1234,Program_data!$E$3:$E$1234,"",0,1)</f>
        <v>Ngrid-NY</v>
      </c>
      <c r="B109" s="15" t="s">
        <v>22</v>
      </c>
      <c r="C109" s="15" t="s">
        <v>29</v>
      </c>
      <c r="D109" s="15" t="s">
        <v>159</v>
      </c>
      <c r="E109" s="15" t="str">
        <f t="shared" si="4"/>
        <v>Ngrid-NY</v>
      </c>
      <c r="F109" s="15" t="s">
        <v>915</v>
      </c>
      <c r="G109" s="15">
        <v>1</v>
      </c>
      <c r="H109" s="116" t="s">
        <v>146</v>
      </c>
      <c r="I109" s="15" t="s">
        <v>118</v>
      </c>
      <c r="J109" s="15">
        <v>12023</v>
      </c>
    </row>
    <row r="110" spans="1:10" x14ac:dyDescent="0.2">
      <c r="A110" s="15" t="str">
        <f>_xlfn.XLOOKUP(E110,Program_data!$E$3:$E$1234,Program_data!$E$3:$E$1234,"",0,1)</f>
        <v>FOE-WI</v>
      </c>
      <c r="B110" s="15" t="str">
        <f t="shared" ref="B110:B143" si="5">UPPER(LEFT(C110,2))</f>
        <v>WI</v>
      </c>
      <c r="C110" s="15" t="s">
        <v>69</v>
      </c>
      <c r="D110" s="15" t="s">
        <v>928</v>
      </c>
      <c r="E110" s="15" t="s">
        <v>890</v>
      </c>
      <c r="F110" s="15" t="s">
        <v>913</v>
      </c>
      <c r="G110" s="15">
        <v>1</v>
      </c>
      <c r="H110" s="116" t="s">
        <v>146</v>
      </c>
      <c r="I110" s="15" t="s">
        <v>116</v>
      </c>
      <c r="J110" s="15">
        <v>4108182</v>
      </c>
    </row>
    <row r="111" spans="1:10" x14ac:dyDescent="0.2">
      <c r="A111" s="15" t="str">
        <f>_xlfn.XLOOKUP(E111,Program_data!$E$3:$E$1234,Program_data!$E$3:$E$1234,"",0,1)</f>
        <v>FOE-WI</v>
      </c>
      <c r="B111" s="15" t="str">
        <f t="shared" si="5"/>
        <v>WI</v>
      </c>
      <c r="C111" s="15" t="s">
        <v>69</v>
      </c>
      <c r="D111" s="15" t="s">
        <v>928</v>
      </c>
      <c r="E111" s="15" t="s">
        <v>890</v>
      </c>
      <c r="F111" s="15" t="s">
        <v>914</v>
      </c>
      <c r="G111" s="15">
        <v>1</v>
      </c>
      <c r="H111" s="116" t="s">
        <v>146</v>
      </c>
      <c r="I111" s="15" t="s">
        <v>117</v>
      </c>
      <c r="J111" s="15">
        <v>5096991</v>
      </c>
    </row>
    <row r="112" spans="1:10" x14ac:dyDescent="0.2">
      <c r="A112" s="15" t="str">
        <f>_xlfn.XLOOKUP(E112,Program_data!$E$3:$E$1234,Program_data!$E$3:$E$1234,"",0,1)</f>
        <v>FOE-WI</v>
      </c>
      <c r="B112" s="15" t="str">
        <f t="shared" si="5"/>
        <v>WI</v>
      </c>
      <c r="C112" s="15" t="s">
        <v>69</v>
      </c>
      <c r="D112" s="15" t="s">
        <v>928</v>
      </c>
      <c r="E112" s="15" t="s">
        <v>890</v>
      </c>
      <c r="F112" s="15" t="s">
        <v>915</v>
      </c>
      <c r="G112" s="15">
        <v>1</v>
      </c>
      <c r="H112" s="116" t="s">
        <v>146</v>
      </c>
      <c r="I112" s="15" t="s">
        <v>118</v>
      </c>
      <c r="J112" s="15">
        <v>141</v>
      </c>
    </row>
    <row r="113" spans="1:10" x14ac:dyDescent="0.2">
      <c r="A113" s="15" t="str">
        <f>_xlfn.XLOOKUP(E113,Program_data!$E$3:$E$1234,Program_data!$E$3:$E$1234,"",0,1)</f>
        <v>FOE-WI</v>
      </c>
      <c r="B113" s="15" t="str">
        <f t="shared" si="5"/>
        <v>WI</v>
      </c>
      <c r="C113" s="15" t="s">
        <v>69</v>
      </c>
      <c r="D113" s="15" t="s">
        <v>928</v>
      </c>
      <c r="E113" s="15" t="s">
        <v>890</v>
      </c>
      <c r="F113" s="15" t="s">
        <v>917</v>
      </c>
      <c r="G113" s="15">
        <v>1</v>
      </c>
      <c r="H113" s="116" t="s">
        <v>146</v>
      </c>
      <c r="I113" s="15" t="s">
        <v>116</v>
      </c>
      <c r="J113" s="15">
        <v>1386877</v>
      </c>
    </row>
    <row r="114" spans="1:10" x14ac:dyDescent="0.2">
      <c r="A114" s="15" t="str">
        <f>_xlfn.XLOOKUP(E114,Program_data!$E$3:$E$1234,Program_data!$E$3:$E$1234,"",0,1)</f>
        <v>FOE-WI</v>
      </c>
      <c r="B114" s="15" t="str">
        <f t="shared" si="5"/>
        <v>WI</v>
      </c>
      <c r="C114" s="15" t="s">
        <v>69</v>
      </c>
      <c r="D114" s="15" t="s">
        <v>928</v>
      </c>
      <c r="E114" s="15" t="s">
        <v>890</v>
      </c>
      <c r="F114" s="15" t="s">
        <v>916</v>
      </c>
      <c r="G114" s="15">
        <v>1</v>
      </c>
      <c r="H114" s="116" t="s">
        <v>146</v>
      </c>
      <c r="I114" s="15" t="s">
        <v>118</v>
      </c>
      <c r="J114" s="15">
        <v>20</v>
      </c>
    </row>
    <row r="115" spans="1:10" x14ac:dyDescent="0.2">
      <c r="A115" s="15" t="str">
        <f>_xlfn.XLOOKUP(E115,Program_data!$E$3:$E$1234,Program_data!$E$3:$E$1234,"",0,1)</f>
        <v>FOE-WI</v>
      </c>
      <c r="B115" s="15" t="str">
        <f t="shared" si="5"/>
        <v>WI</v>
      </c>
      <c r="C115" s="15" t="s">
        <v>69</v>
      </c>
      <c r="D115" s="15" t="s">
        <v>928</v>
      </c>
      <c r="E115" s="15" t="s">
        <v>890</v>
      </c>
      <c r="F115" s="15" t="s">
        <v>918</v>
      </c>
      <c r="G115" s="15">
        <v>1</v>
      </c>
      <c r="H115" s="116" t="s">
        <v>146</v>
      </c>
      <c r="I115" s="15" t="s">
        <v>117</v>
      </c>
      <c r="J115" s="15">
        <v>1328917</v>
      </c>
    </row>
    <row r="116" spans="1:10" x14ac:dyDescent="0.2">
      <c r="A116" s="15" t="str">
        <f>_xlfn.XLOOKUP(E116,Program_data!$E$3:$E$1234,Program_data!$E$3:$E$1234,"",0,1)</f>
        <v/>
      </c>
      <c r="B116" s="15" t="s">
        <v>929</v>
      </c>
      <c r="C116" s="15" t="s">
        <v>930</v>
      </c>
      <c r="D116" s="15" t="s">
        <v>931</v>
      </c>
      <c r="E116" s="15" t="str">
        <f t="shared" si="4"/>
        <v>RI Energy-RI</v>
      </c>
      <c r="F116" s="15" t="s">
        <v>915</v>
      </c>
      <c r="G116" s="15">
        <v>1</v>
      </c>
      <c r="H116" s="116" t="s">
        <v>146</v>
      </c>
      <c r="I116" s="15" t="s">
        <v>118</v>
      </c>
      <c r="J116" s="15">
        <v>3069</v>
      </c>
    </row>
    <row r="117" spans="1:10" x14ac:dyDescent="0.2">
      <c r="A117" s="15" t="str">
        <f>_xlfn.XLOOKUP(E117,Program_data!$E$3:$E$1234,Program_data!$E$3:$E$1234,"",0,1)</f>
        <v/>
      </c>
      <c r="B117" s="15" t="s">
        <v>929</v>
      </c>
      <c r="C117" s="15" t="s">
        <v>930</v>
      </c>
      <c r="D117" s="15" t="s">
        <v>931</v>
      </c>
      <c r="E117" s="15" t="str">
        <f t="shared" si="4"/>
        <v>RI Energy-RI</v>
      </c>
      <c r="F117" s="15" t="s">
        <v>914</v>
      </c>
      <c r="G117" s="15">
        <v>1</v>
      </c>
      <c r="H117" s="116" t="s">
        <v>146</v>
      </c>
      <c r="I117" s="15" t="s">
        <v>117</v>
      </c>
      <c r="J117" s="15">
        <v>5374364</v>
      </c>
    </row>
    <row r="118" spans="1:10" x14ac:dyDescent="0.2">
      <c r="A118" s="15" t="str">
        <f>_xlfn.XLOOKUP(E118,Program_data!$E$3:$E$1234,Program_data!$E$3:$E$1234,"",0,1)</f>
        <v/>
      </c>
      <c r="B118" s="15" t="s">
        <v>929</v>
      </c>
      <c r="C118" s="15" t="s">
        <v>930</v>
      </c>
      <c r="D118" s="15" t="s">
        <v>931</v>
      </c>
      <c r="E118" s="15" t="str">
        <f t="shared" si="4"/>
        <v>RI Energy-RI</v>
      </c>
      <c r="F118" s="15" t="s">
        <v>913</v>
      </c>
      <c r="G118" s="15">
        <v>1</v>
      </c>
      <c r="H118" s="116" t="s">
        <v>146</v>
      </c>
      <c r="I118" s="15" t="s">
        <v>116</v>
      </c>
      <c r="J118" s="15">
        <v>28759876</v>
      </c>
    </row>
    <row r="119" spans="1:10" x14ac:dyDescent="0.2">
      <c r="A119" s="15" t="str">
        <f>_xlfn.XLOOKUP(E119,Program_data!$E$3:$E$1234,Program_data!$E$3:$E$1234,"",0,1)</f>
        <v/>
      </c>
      <c r="B119" s="15" t="s">
        <v>929</v>
      </c>
      <c r="C119" s="15" t="s">
        <v>930</v>
      </c>
      <c r="D119" s="15" t="s">
        <v>931</v>
      </c>
      <c r="E119" s="15" t="str">
        <f t="shared" si="4"/>
        <v>RI Energy-RI</v>
      </c>
      <c r="F119" s="15" t="s">
        <v>916</v>
      </c>
      <c r="G119" s="15">
        <v>1</v>
      </c>
      <c r="H119" s="116" t="s">
        <v>146</v>
      </c>
      <c r="I119" s="15" t="s">
        <v>118</v>
      </c>
      <c r="J119" s="15">
        <v>214</v>
      </c>
    </row>
    <row r="120" spans="1:10" x14ac:dyDescent="0.2">
      <c r="A120" s="15" t="str">
        <f>_xlfn.XLOOKUP(E120,Program_data!$E$3:$E$1234,Program_data!$E$3:$E$1234,"",0,1)</f>
        <v/>
      </c>
      <c r="B120" s="15" t="s">
        <v>929</v>
      </c>
      <c r="C120" s="15" t="s">
        <v>930</v>
      </c>
      <c r="D120" s="15" t="s">
        <v>931</v>
      </c>
      <c r="E120" s="15" t="str">
        <f t="shared" si="4"/>
        <v>RI Energy-RI</v>
      </c>
      <c r="F120" s="15" t="s">
        <v>917</v>
      </c>
      <c r="G120" s="15">
        <v>1</v>
      </c>
      <c r="H120" s="116" t="s">
        <v>146</v>
      </c>
      <c r="I120" s="15" t="s">
        <v>116</v>
      </c>
      <c r="J120" s="15">
        <v>19536362</v>
      </c>
    </row>
    <row r="121" spans="1:10" x14ac:dyDescent="0.2">
      <c r="A121" s="15" t="str">
        <f>_xlfn.XLOOKUP(E121,Program_data!$E$3:$E$1234,Program_data!$E$3:$E$1234,"",0,1)</f>
        <v/>
      </c>
      <c r="B121" s="15" t="s">
        <v>929</v>
      </c>
      <c r="C121" s="15" t="s">
        <v>930</v>
      </c>
      <c r="D121" s="15" t="s">
        <v>931</v>
      </c>
      <c r="E121" s="15" t="str">
        <f t="shared" si="4"/>
        <v>RI Energy-RI</v>
      </c>
      <c r="F121" s="15" t="s">
        <v>918</v>
      </c>
      <c r="G121" s="15">
        <v>1</v>
      </c>
      <c r="H121" s="116" t="s">
        <v>146</v>
      </c>
      <c r="I121" s="15" t="s">
        <v>117</v>
      </c>
      <c r="J121" s="15">
        <v>8138539</v>
      </c>
    </row>
    <row r="122" spans="1:10" x14ac:dyDescent="0.2">
      <c r="A122" s="15" t="str">
        <f>_xlfn.XLOOKUP(E122,Program_data!$E$3:$E$1234,Program_data!$E$3:$E$1234,"",0,1)</f>
        <v/>
      </c>
      <c r="B122" s="15" t="s">
        <v>932</v>
      </c>
      <c r="C122" s="15" t="s">
        <v>933</v>
      </c>
      <c r="D122" s="15" t="s">
        <v>934</v>
      </c>
      <c r="E122" s="15" t="str">
        <f t="shared" si="4"/>
        <v>NMGCo-NM</v>
      </c>
      <c r="F122" s="15" t="s">
        <v>924</v>
      </c>
      <c r="G122" s="15">
        <v>1</v>
      </c>
      <c r="H122" s="116" t="s">
        <v>135</v>
      </c>
      <c r="I122" s="15" t="s">
        <v>117</v>
      </c>
      <c r="J122" s="15">
        <v>9180</v>
      </c>
    </row>
    <row r="123" spans="1:10" x14ac:dyDescent="0.2">
      <c r="A123" s="15" t="str">
        <f>_xlfn.XLOOKUP(E123,Program_data!$E$3:$E$1234,Program_data!$E$3:$E$1234,"",0,1)</f>
        <v/>
      </c>
      <c r="B123" s="15" t="s">
        <v>932</v>
      </c>
      <c r="C123" s="15" t="s">
        <v>933</v>
      </c>
      <c r="D123" s="15" t="s">
        <v>934</v>
      </c>
      <c r="E123" s="15" t="str">
        <f t="shared" si="4"/>
        <v>NMGCo-NM</v>
      </c>
      <c r="F123" s="15" t="s">
        <v>923</v>
      </c>
      <c r="G123" s="15">
        <v>1</v>
      </c>
      <c r="H123" s="116" t="s">
        <v>135</v>
      </c>
      <c r="I123" s="15" t="s">
        <v>116</v>
      </c>
      <c r="J123" s="15">
        <v>37790</v>
      </c>
    </row>
    <row r="124" spans="1:10" x14ac:dyDescent="0.2">
      <c r="A124" s="15" t="str">
        <f>_xlfn.XLOOKUP(E124,Program_data!$E$3:$E$1234,Program_data!$E$3:$E$1234,"",0,1)</f>
        <v/>
      </c>
      <c r="B124" s="15" t="s">
        <v>932</v>
      </c>
      <c r="C124" s="15" t="s">
        <v>933</v>
      </c>
      <c r="D124" s="15" t="s">
        <v>934</v>
      </c>
      <c r="E124" s="15" t="str">
        <f t="shared" si="4"/>
        <v>NMGCo-NM</v>
      </c>
      <c r="F124" s="15" t="s">
        <v>925</v>
      </c>
      <c r="G124" s="15">
        <v>1</v>
      </c>
      <c r="H124" s="116" t="s">
        <v>135</v>
      </c>
      <c r="I124" s="15" t="s">
        <v>118</v>
      </c>
      <c r="J124" s="15">
        <v>106</v>
      </c>
    </row>
    <row r="125" spans="1:10" x14ac:dyDescent="0.2">
      <c r="A125" s="15" t="str">
        <f>_xlfn.XLOOKUP(E125,Program_data!$E$3:$E$1234,Program_data!$E$3:$E$1234,"",0,1)</f>
        <v/>
      </c>
      <c r="B125" s="15" t="s">
        <v>932</v>
      </c>
      <c r="C125" s="15" t="s">
        <v>933</v>
      </c>
      <c r="D125" s="15" t="s">
        <v>934</v>
      </c>
      <c r="E125" s="15" t="str">
        <f t="shared" si="4"/>
        <v>NMGCo-NM</v>
      </c>
      <c r="F125" s="15" t="s">
        <v>913</v>
      </c>
      <c r="G125" s="15">
        <v>1</v>
      </c>
      <c r="H125" s="116" t="s">
        <v>146</v>
      </c>
      <c r="I125" s="15" t="s">
        <v>116</v>
      </c>
      <c r="J125" s="15">
        <v>14075241</v>
      </c>
    </row>
    <row r="126" spans="1:10" x14ac:dyDescent="0.2">
      <c r="A126" s="15" t="str">
        <f>_xlfn.XLOOKUP(E126,Program_data!$E$3:$E$1234,Program_data!$E$3:$E$1234,"",0,1)</f>
        <v/>
      </c>
      <c r="B126" s="15" t="s">
        <v>932</v>
      </c>
      <c r="C126" s="15" t="s">
        <v>933</v>
      </c>
      <c r="D126" s="15" t="s">
        <v>934</v>
      </c>
      <c r="E126" s="15" t="str">
        <f t="shared" si="4"/>
        <v>NMGCo-NM</v>
      </c>
      <c r="F126" s="15" t="s">
        <v>915</v>
      </c>
      <c r="G126" s="15">
        <v>1</v>
      </c>
      <c r="H126" s="116" t="s">
        <v>146</v>
      </c>
      <c r="I126" s="15" t="s">
        <v>118</v>
      </c>
      <c r="J126" s="15">
        <v>3645</v>
      </c>
    </row>
    <row r="127" spans="1:10" x14ac:dyDescent="0.2">
      <c r="A127" s="15" t="str">
        <f>_xlfn.XLOOKUP(E127,Program_data!$E$3:$E$1234,Program_data!$E$3:$E$1234,"",0,1)</f>
        <v/>
      </c>
      <c r="B127" s="15" t="s">
        <v>932</v>
      </c>
      <c r="C127" s="15" t="s">
        <v>933</v>
      </c>
      <c r="D127" s="15" t="s">
        <v>934</v>
      </c>
      <c r="E127" s="15" t="str">
        <f t="shared" si="4"/>
        <v>NMGCo-NM</v>
      </c>
      <c r="F127" s="15" t="s">
        <v>914</v>
      </c>
      <c r="G127" s="15">
        <v>1</v>
      </c>
      <c r="H127" s="116" t="s">
        <v>146</v>
      </c>
      <c r="I127" s="15" t="s">
        <v>117</v>
      </c>
      <c r="J127" s="15">
        <v>11571227</v>
      </c>
    </row>
    <row r="128" spans="1:10" x14ac:dyDescent="0.2">
      <c r="A128" s="15" t="str">
        <f>_xlfn.XLOOKUP(E128,Program_data!$E$3:$E$1234,Program_data!$E$3:$E$1234,"",0,1)</f>
        <v/>
      </c>
      <c r="B128" s="15" t="s">
        <v>932</v>
      </c>
      <c r="C128" s="15" t="s">
        <v>933</v>
      </c>
      <c r="D128" s="15" t="s">
        <v>934</v>
      </c>
      <c r="E128" s="15" t="str">
        <f t="shared" si="4"/>
        <v>NMGCo-NM</v>
      </c>
      <c r="F128" s="15" t="s">
        <v>916</v>
      </c>
      <c r="G128" s="15">
        <v>1</v>
      </c>
      <c r="H128" s="116" t="s">
        <v>146</v>
      </c>
      <c r="I128" s="15" t="s">
        <v>118</v>
      </c>
      <c r="J128" s="15">
        <v>37</v>
      </c>
    </row>
    <row r="129" spans="1:10" x14ac:dyDescent="0.2">
      <c r="A129" s="15" t="str">
        <f>_xlfn.XLOOKUP(E129,Program_data!$E$3:$E$1234,Program_data!$E$3:$E$1234,"",0,1)</f>
        <v/>
      </c>
      <c r="B129" s="15" t="s">
        <v>932</v>
      </c>
      <c r="C129" s="15" t="s">
        <v>933</v>
      </c>
      <c r="D129" s="15" t="s">
        <v>934</v>
      </c>
      <c r="E129" s="15" t="str">
        <f t="shared" si="4"/>
        <v>NMGCo-NM</v>
      </c>
      <c r="F129" s="15" t="s">
        <v>917</v>
      </c>
      <c r="G129" s="15">
        <v>1</v>
      </c>
      <c r="H129" s="116" t="s">
        <v>146</v>
      </c>
      <c r="I129" s="15" t="s">
        <v>116</v>
      </c>
      <c r="J129" s="15">
        <v>2430818</v>
      </c>
    </row>
    <row r="130" spans="1:10" x14ac:dyDescent="0.2">
      <c r="A130" s="15" t="str">
        <f>_xlfn.XLOOKUP(E130,Program_data!$E$3:$E$1234,Program_data!$E$3:$E$1234,"",0,1)</f>
        <v/>
      </c>
      <c r="B130" s="15" t="s">
        <v>932</v>
      </c>
      <c r="C130" s="15" t="s">
        <v>933</v>
      </c>
      <c r="D130" s="15" t="s">
        <v>934</v>
      </c>
      <c r="E130" s="15" t="str">
        <f t="shared" si="4"/>
        <v>NMGCo-NM</v>
      </c>
      <c r="F130" s="15" t="s">
        <v>918</v>
      </c>
      <c r="G130" s="15">
        <v>1</v>
      </c>
      <c r="H130" s="116" t="s">
        <v>146</v>
      </c>
      <c r="I130" s="15" t="s">
        <v>117</v>
      </c>
      <c r="J130" s="15">
        <v>10402967</v>
      </c>
    </row>
    <row r="131" spans="1:10" x14ac:dyDescent="0.2">
      <c r="A131" s="15" t="str">
        <f>_xlfn.XLOOKUP(E131,Program_data!$E$3:$E$1234,Program_data!$E$3:$E$1234,"",0,1)</f>
        <v>Ngrid-NY</v>
      </c>
      <c r="B131" s="15" t="s">
        <v>22</v>
      </c>
      <c r="C131" s="15" t="s">
        <v>29</v>
      </c>
      <c r="D131" s="15" t="s">
        <v>159</v>
      </c>
      <c r="E131" s="15" t="str">
        <f t="shared" si="4"/>
        <v>Ngrid-NY</v>
      </c>
      <c r="F131" s="15" t="s">
        <v>923</v>
      </c>
      <c r="G131" s="15">
        <v>1</v>
      </c>
      <c r="H131" s="116" t="s">
        <v>135</v>
      </c>
      <c r="I131" s="15" t="s">
        <v>116</v>
      </c>
      <c r="J131" s="15">
        <v>32697616</v>
      </c>
    </row>
    <row r="132" spans="1:10" x14ac:dyDescent="0.2">
      <c r="A132" s="15" t="str">
        <f>_xlfn.XLOOKUP(E132,Program_data!$E$3:$E$1234,Program_data!$E$3:$E$1234,"",0,1)</f>
        <v>Ngrid-NY</v>
      </c>
      <c r="B132" s="15" t="s">
        <v>22</v>
      </c>
      <c r="C132" s="15" t="s">
        <v>29</v>
      </c>
      <c r="D132" s="15" t="s">
        <v>159</v>
      </c>
      <c r="E132" s="15" t="str">
        <f t="shared" si="4"/>
        <v>Ngrid-NY</v>
      </c>
      <c r="F132" s="15" t="s">
        <v>924</v>
      </c>
      <c r="G132" s="15">
        <v>1</v>
      </c>
      <c r="H132" s="116" t="s">
        <v>135</v>
      </c>
      <c r="I132" s="15" t="s">
        <v>117</v>
      </c>
      <c r="J132" s="15">
        <v>6210025</v>
      </c>
    </row>
    <row r="133" spans="1:10" x14ac:dyDescent="0.2">
      <c r="A133" s="15" t="str">
        <f>_xlfn.XLOOKUP(E133,Program_data!$E$3:$E$1234,Program_data!$E$3:$E$1234,"",0,1)</f>
        <v>Ngrid-NY</v>
      </c>
      <c r="B133" s="15" t="s">
        <v>22</v>
      </c>
      <c r="C133" s="15" t="s">
        <v>29</v>
      </c>
      <c r="D133" s="15" t="s">
        <v>159</v>
      </c>
      <c r="E133" s="15" t="str">
        <f t="shared" si="4"/>
        <v>Ngrid-NY</v>
      </c>
      <c r="F133" s="15" t="s">
        <v>925</v>
      </c>
      <c r="G133" s="15">
        <v>1</v>
      </c>
      <c r="H133" s="116" t="s">
        <v>135</v>
      </c>
      <c r="I133" s="15" t="s">
        <v>118</v>
      </c>
      <c r="J133" s="15">
        <v>61437</v>
      </c>
    </row>
    <row r="134" spans="1:10" x14ac:dyDescent="0.2">
      <c r="A134" s="15" t="str">
        <f>_xlfn.XLOOKUP(E134,Program_data!$E$3:$E$1234,Program_data!$E$3:$E$1234,"",0,1)</f>
        <v>Ngrid-NY</v>
      </c>
      <c r="B134" s="15" t="s">
        <v>22</v>
      </c>
      <c r="C134" s="15" t="s">
        <v>29</v>
      </c>
      <c r="D134" s="15" t="s">
        <v>159</v>
      </c>
      <c r="E134" s="15" t="str">
        <f t="shared" si="4"/>
        <v>Ngrid-NY</v>
      </c>
      <c r="F134" s="15" t="s">
        <v>914</v>
      </c>
      <c r="G134" s="15">
        <v>1</v>
      </c>
      <c r="H134" s="116" t="s">
        <v>146</v>
      </c>
      <c r="I134" s="15" t="s">
        <v>117</v>
      </c>
      <c r="J134" s="15">
        <v>22500798</v>
      </c>
    </row>
    <row r="135" spans="1:10" x14ac:dyDescent="0.2">
      <c r="A135" s="15" t="str">
        <f>_xlfn.XLOOKUP(E135,Program_data!$E$3:$E$1234,Program_data!$E$3:$E$1234,"",0,1)</f>
        <v>Ngrid-NY</v>
      </c>
      <c r="B135" s="15" t="s">
        <v>22</v>
      </c>
      <c r="C135" s="15" t="s">
        <v>29</v>
      </c>
      <c r="D135" s="15" t="s">
        <v>159</v>
      </c>
      <c r="E135" s="15" t="str">
        <f t="shared" si="4"/>
        <v>Ngrid-NY</v>
      </c>
      <c r="F135" s="15" t="s">
        <v>913</v>
      </c>
      <c r="G135" s="15">
        <v>1</v>
      </c>
      <c r="H135" s="116" t="s">
        <v>146</v>
      </c>
      <c r="I135" s="15" t="s">
        <v>116</v>
      </c>
      <c r="J135" s="15">
        <v>43356969</v>
      </c>
    </row>
    <row r="136" spans="1:10" x14ac:dyDescent="0.2">
      <c r="A136" s="15" t="str">
        <f>_xlfn.XLOOKUP(E136,Program_data!$E$3:$E$1234,Program_data!$E$3:$E$1234,"",0,1)</f>
        <v>Ngrid-NY</v>
      </c>
      <c r="B136" s="15" t="s">
        <v>22</v>
      </c>
      <c r="C136" s="15" t="s">
        <v>29</v>
      </c>
      <c r="D136" s="15" t="s">
        <v>159</v>
      </c>
      <c r="E136" s="15" t="str">
        <f t="shared" si="4"/>
        <v>Ngrid-NY</v>
      </c>
      <c r="F136" s="15" t="s">
        <v>915</v>
      </c>
      <c r="G136" s="15">
        <v>1</v>
      </c>
      <c r="H136" s="116" t="s">
        <v>146</v>
      </c>
      <c r="I136" s="15" t="s">
        <v>118</v>
      </c>
      <c r="J136" s="15">
        <v>14242</v>
      </c>
    </row>
    <row r="137" spans="1:10" x14ac:dyDescent="0.2">
      <c r="A137" s="15" t="str">
        <f>_xlfn.XLOOKUP(E137,Program_data!$E$3:$E$1234,Program_data!$E$3:$E$1234,"",0,1)</f>
        <v>Ngrid-NY</v>
      </c>
      <c r="B137" s="15" t="s">
        <v>22</v>
      </c>
      <c r="C137" s="15" t="s">
        <v>29</v>
      </c>
      <c r="D137" s="15" t="s">
        <v>159</v>
      </c>
      <c r="E137" s="15" t="str">
        <f t="shared" si="4"/>
        <v>Ngrid-NY</v>
      </c>
      <c r="F137" s="15" t="s">
        <v>917</v>
      </c>
      <c r="G137" s="15">
        <v>1</v>
      </c>
      <c r="H137" s="116" t="s">
        <v>146</v>
      </c>
      <c r="I137" s="15" t="s">
        <v>116</v>
      </c>
      <c r="J137" s="15">
        <v>23583170</v>
      </c>
    </row>
    <row r="138" spans="1:10" x14ac:dyDescent="0.2">
      <c r="A138" s="15" t="str">
        <f>_xlfn.XLOOKUP(E138,Program_data!$E$3:$E$1234,Program_data!$E$3:$E$1234,"",0,1)</f>
        <v>Ngrid-NY</v>
      </c>
      <c r="B138" s="15" t="s">
        <v>22</v>
      </c>
      <c r="C138" s="15" t="s">
        <v>29</v>
      </c>
      <c r="D138" s="15" t="s">
        <v>159</v>
      </c>
      <c r="E138" s="15" t="str">
        <f t="shared" si="4"/>
        <v>Ngrid-NY</v>
      </c>
      <c r="F138" s="15" t="s">
        <v>918</v>
      </c>
      <c r="G138" s="15">
        <v>1</v>
      </c>
      <c r="H138" s="116" t="s">
        <v>146</v>
      </c>
      <c r="I138" s="15" t="s">
        <v>117</v>
      </c>
      <c r="J138" s="15">
        <v>24650263</v>
      </c>
    </row>
    <row r="139" spans="1:10" x14ac:dyDescent="0.2">
      <c r="A139" s="15" t="str">
        <f>_xlfn.XLOOKUP(E139,Program_data!$E$3:$E$1234,Program_data!$E$3:$E$1234,"",0,1)</f>
        <v>Ngrid-NY</v>
      </c>
      <c r="B139" s="15" t="s">
        <v>22</v>
      </c>
      <c r="C139" s="15" t="s">
        <v>29</v>
      </c>
      <c r="D139" s="15" t="s">
        <v>159</v>
      </c>
      <c r="E139" s="15" t="str">
        <f t="shared" si="4"/>
        <v>Ngrid-NY</v>
      </c>
      <c r="F139" s="15" t="s">
        <v>916</v>
      </c>
      <c r="G139" s="15">
        <v>1</v>
      </c>
      <c r="H139" s="116" t="s">
        <v>146</v>
      </c>
      <c r="I139" s="15" t="s">
        <v>118</v>
      </c>
      <c r="J139" s="15">
        <v>145</v>
      </c>
    </row>
    <row r="140" spans="1:10" x14ac:dyDescent="0.2">
      <c r="A140" s="15" t="str">
        <f>_xlfn.XLOOKUP(E140,Program_data!$E$3:$E$1234,Program_data!$E$3:$E$1234,"",0,1)</f>
        <v>Nicor-IL</v>
      </c>
      <c r="B140" s="15" t="str">
        <f t="shared" si="5"/>
        <v>IL</v>
      </c>
      <c r="C140" s="15" t="s">
        <v>58</v>
      </c>
      <c r="D140" s="15" t="s">
        <v>607</v>
      </c>
      <c r="E140" s="15" t="str">
        <f t="shared" si="4"/>
        <v>Nicor-IL</v>
      </c>
      <c r="F140" s="15" t="s">
        <v>925</v>
      </c>
      <c r="G140" s="15">
        <v>1</v>
      </c>
      <c r="H140" s="116" t="s">
        <v>135</v>
      </c>
      <c r="I140" s="15" t="s">
        <v>118</v>
      </c>
      <c r="J140" s="15">
        <v>182480</v>
      </c>
    </row>
    <row r="141" spans="1:10" x14ac:dyDescent="0.2">
      <c r="A141" s="15" t="str">
        <f>_xlfn.XLOOKUP(E141,Program_data!$E$3:$E$1234,Program_data!$E$3:$E$1234,"",0,1)</f>
        <v>Nicor-IL</v>
      </c>
      <c r="B141" s="15" t="str">
        <f t="shared" si="5"/>
        <v>IL</v>
      </c>
      <c r="C141" s="15" t="s">
        <v>58</v>
      </c>
      <c r="D141" s="15" t="s">
        <v>607</v>
      </c>
      <c r="E141" s="15" t="str">
        <f t="shared" si="4"/>
        <v>Nicor-IL</v>
      </c>
      <c r="F141" s="15" t="s">
        <v>924</v>
      </c>
      <c r="G141" s="15">
        <v>1</v>
      </c>
      <c r="H141" s="116" t="s">
        <v>135</v>
      </c>
      <c r="I141" s="15" t="s">
        <v>117</v>
      </c>
      <c r="J141" s="15">
        <v>23502135</v>
      </c>
    </row>
    <row r="142" spans="1:10" x14ac:dyDescent="0.2">
      <c r="A142" s="15" t="str">
        <f>_xlfn.XLOOKUP(E142,Program_data!$E$3:$E$1234,Program_data!$E$3:$E$1234,"",0,1)</f>
        <v>Nicor-IL</v>
      </c>
      <c r="B142" s="15" t="str">
        <f t="shared" si="5"/>
        <v>IL</v>
      </c>
      <c r="C142" s="15" t="s">
        <v>58</v>
      </c>
      <c r="D142" s="15" t="s">
        <v>607</v>
      </c>
      <c r="E142" s="15" t="str">
        <f t="shared" si="4"/>
        <v>Nicor-IL</v>
      </c>
      <c r="F142" s="15" t="s">
        <v>923</v>
      </c>
      <c r="G142" s="15">
        <v>1</v>
      </c>
      <c r="H142" s="116" t="s">
        <v>135</v>
      </c>
      <c r="I142" s="15" t="s">
        <v>116</v>
      </c>
      <c r="J142" s="15">
        <v>76106892</v>
      </c>
    </row>
    <row r="143" spans="1:10" x14ac:dyDescent="0.2">
      <c r="A143" s="15" t="str">
        <f>_xlfn.XLOOKUP(E143,Program_data!$E$3:$E$1234,Program_data!$E$3:$E$1234,"",0,1)</f>
        <v>Nicor-IL</v>
      </c>
      <c r="B143" s="15" t="str">
        <f t="shared" si="5"/>
        <v>IL</v>
      </c>
      <c r="C143" s="15" t="s">
        <v>58</v>
      </c>
      <c r="D143" s="15" t="s">
        <v>607</v>
      </c>
      <c r="E143" s="15" t="str">
        <f t="shared" si="4"/>
        <v>Nicor-IL</v>
      </c>
      <c r="F143" s="15" t="s">
        <v>914</v>
      </c>
      <c r="G143" s="15">
        <v>1</v>
      </c>
      <c r="H143" s="116" t="s">
        <v>146</v>
      </c>
      <c r="I143" s="15" t="s">
        <v>117</v>
      </c>
      <c r="J143" s="15">
        <v>73123485</v>
      </c>
    </row>
    <row r="144" spans="1:10" x14ac:dyDescent="0.2">
      <c r="A144" s="15" t="str">
        <f>_xlfn.XLOOKUP(E144,Program_data!$E$3:$E$1234,Program_data!$E$3:$E$1234,"",0,1)</f>
        <v>Nicor-IL</v>
      </c>
      <c r="B144" s="15" t="str">
        <f t="shared" ref="B144:B189" si="6">UPPER(LEFT(C144,2))</f>
        <v>IL</v>
      </c>
      <c r="C144" s="15" t="s">
        <v>58</v>
      </c>
      <c r="D144" s="15" t="s">
        <v>607</v>
      </c>
      <c r="E144" s="15" t="str">
        <f t="shared" ref="E144:E189" si="7">D144&amp;"-"&amp;B144</f>
        <v>Nicor-IL</v>
      </c>
      <c r="F144" s="15" t="s">
        <v>913</v>
      </c>
      <c r="G144" s="15">
        <v>1</v>
      </c>
      <c r="H144" s="116" t="s">
        <v>146</v>
      </c>
      <c r="I144" s="15" t="s">
        <v>116</v>
      </c>
      <c r="J144" s="15">
        <v>96138065</v>
      </c>
    </row>
    <row r="145" spans="1:10" x14ac:dyDescent="0.2">
      <c r="A145" s="15" t="str">
        <f>_xlfn.XLOOKUP(E145,Program_data!$E$3:$E$1234,Program_data!$E$3:$E$1234,"",0,1)</f>
        <v>Nicor-IL</v>
      </c>
      <c r="B145" s="15" t="str">
        <f t="shared" si="6"/>
        <v>IL</v>
      </c>
      <c r="C145" s="15" t="s">
        <v>58</v>
      </c>
      <c r="D145" s="15" t="s">
        <v>607</v>
      </c>
      <c r="E145" s="15" t="str">
        <f t="shared" si="7"/>
        <v>Nicor-IL</v>
      </c>
      <c r="F145" s="15" t="s">
        <v>915</v>
      </c>
      <c r="G145" s="15">
        <v>1</v>
      </c>
      <c r="H145" s="116" t="s">
        <v>146</v>
      </c>
      <c r="I145" s="15" t="s">
        <v>118</v>
      </c>
      <c r="J145" s="15">
        <v>39526</v>
      </c>
    </row>
    <row r="146" spans="1:10" x14ac:dyDescent="0.2">
      <c r="A146" s="15" t="str">
        <f>_xlfn.XLOOKUP(E146,Program_data!$E$3:$E$1234,Program_data!$E$3:$E$1234,"",0,1)</f>
        <v>Nicor-IL</v>
      </c>
      <c r="B146" s="15" t="str">
        <f t="shared" si="6"/>
        <v>IL</v>
      </c>
      <c r="C146" s="15" t="s">
        <v>58</v>
      </c>
      <c r="D146" s="15" t="s">
        <v>607</v>
      </c>
      <c r="E146" s="15" t="str">
        <f t="shared" si="7"/>
        <v>Nicor-IL</v>
      </c>
      <c r="F146" s="15" t="s">
        <v>917</v>
      </c>
      <c r="G146" s="15">
        <v>1</v>
      </c>
      <c r="H146" s="116" t="s">
        <v>146</v>
      </c>
      <c r="I146" s="15" t="s">
        <v>116</v>
      </c>
      <c r="J146" s="15">
        <v>50166922</v>
      </c>
    </row>
    <row r="147" spans="1:10" x14ac:dyDescent="0.2">
      <c r="A147" s="15" t="str">
        <f>_xlfn.XLOOKUP(E147,Program_data!$E$3:$E$1234,Program_data!$E$3:$E$1234,"",0,1)</f>
        <v>Nicor-IL</v>
      </c>
      <c r="B147" s="15" t="str">
        <f t="shared" si="6"/>
        <v>IL</v>
      </c>
      <c r="C147" s="15" t="s">
        <v>58</v>
      </c>
      <c r="D147" s="15" t="s">
        <v>607</v>
      </c>
      <c r="E147" s="15" t="str">
        <f t="shared" si="7"/>
        <v>Nicor-IL</v>
      </c>
      <c r="F147" s="15" t="s">
        <v>918</v>
      </c>
      <c r="G147" s="15">
        <v>1</v>
      </c>
      <c r="H147" s="116" t="s">
        <v>146</v>
      </c>
      <c r="I147" s="15" t="s">
        <v>117</v>
      </c>
      <c r="J147" s="15">
        <v>107882333</v>
      </c>
    </row>
    <row r="148" spans="1:10" x14ac:dyDescent="0.2">
      <c r="A148" s="15" t="str">
        <f>_xlfn.XLOOKUP(E148,Program_data!$E$3:$E$1234,Program_data!$E$3:$E$1234,"",0,1)</f>
        <v>Nicor-IL</v>
      </c>
      <c r="B148" s="15" t="str">
        <f t="shared" si="6"/>
        <v>IL</v>
      </c>
      <c r="C148" s="15" t="s">
        <v>58</v>
      </c>
      <c r="D148" s="15" t="s">
        <v>607</v>
      </c>
      <c r="E148" s="15" t="str">
        <f t="shared" si="7"/>
        <v>Nicor-IL</v>
      </c>
      <c r="F148" s="15" t="s">
        <v>916</v>
      </c>
      <c r="G148" s="15">
        <v>1</v>
      </c>
      <c r="H148" s="116" t="s">
        <v>146</v>
      </c>
      <c r="I148" s="15" t="s">
        <v>118</v>
      </c>
      <c r="J148" s="15">
        <v>5654</v>
      </c>
    </row>
    <row r="149" spans="1:10" x14ac:dyDescent="0.2">
      <c r="A149" s="15" t="str">
        <f>_xlfn.XLOOKUP(E149,Program_data!$E$3:$E$1234,Program_data!$E$3:$E$1234,"",0,1)</f>
        <v>North Shore-IL</v>
      </c>
      <c r="B149" s="15" t="str">
        <f t="shared" si="6"/>
        <v>IL</v>
      </c>
      <c r="C149" s="15" t="s">
        <v>58</v>
      </c>
      <c r="D149" s="15" t="s">
        <v>311</v>
      </c>
      <c r="E149" s="15" t="str">
        <f t="shared" si="7"/>
        <v>North Shore-IL</v>
      </c>
      <c r="F149" s="15" t="s">
        <v>923</v>
      </c>
      <c r="G149" s="15">
        <v>1</v>
      </c>
      <c r="H149" s="116" t="s">
        <v>135</v>
      </c>
      <c r="I149" s="15" t="s">
        <v>116</v>
      </c>
      <c r="J149" s="15">
        <v>7000563</v>
      </c>
    </row>
    <row r="150" spans="1:10" x14ac:dyDescent="0.2">
      <c r="A150" s="15" t="str">
        <f>_xlfn.XLOOKUP(E150,Program_data!$E$3:$E$1234,Program_data!$E$3:$E$1234,"",0,1)</f>
        <v>North Shore-IL</v>
      </c>
      <c r="B150" s="15" t="str">
        <f t="shared" si="6"/>
        <v>IL</v>
      </c>
      <c r="C150" s="15" t="s">
        <v>58</v>
      </c>
      <c r="D150" s="15" t="s">
        <v>311</v>
      </c>
      <c r="E150" s="15" t="str">
        <f t="shared" si="7"/>
        <v>North Shore-IL</v>
      </c>
      <c r="F150" s="15" t="s">
        <v>924</v>
      </c>
      <c r="G150" s="15">
        <v>1</v>
      </c>
      <c r="H150" s="116" t="s">
        <v>135</v>
      </c>
      <c r="I150" s="15" t="s">
        <v>117</v>
      </c>
      <c r="J150" s="15">
        <v>1458762</v>
      </c>
    </row>
    <row r="151" spans="1:10" x14ac:dyDescent="0.2">
      <c r="A151" s="15" t="str">
        <f>_xlfn.XLOOKUP(E151,Program_data!$E$3:$E$1234,Program_data!$E$3:$E$1234,"",0,1)</f>
        <v>North Shore-IL</v>
      </c>
      <c r="B151" s="15" t="str">
        <f t="shared" si="6"/>
        <v>IL</v>
      </c>
      <c r="C151" s="15" t="s">
        <v>58</v>
      </c>
      <c r="D151" s="15" t="s">
        <v>311</v>
      </c>
      <c r="E151" s="15" t="str">
        <f t="shared" si="7"/>
        <v>North Shore-IL</v>
      </c>
      <c r="F151" s="15" t="s">
        <v>925</v>
      </c>
      <c r="G151" s="15">
        <v>1</v>
      </c>
      <c r="H151" s="116" t="s">
        <v>135</v>
      </c>
      <c r="I151" s="15" t="s">
        <v>118</v>
      </c>
      <c r="J151" s="15">
        <v>10401</v>
      </c>
    </row>
    <row r="152" spans="1:10" x14ac:dyDescent="0.2">
      <c r="A152" s="15" t="str">
        <f>_xlfn.XLOOKUP(E152,Program_data!$E$3:$E$1234,Program_data!$E$3:$E$1234,"",0,1)</f>
        <v>North Shore-IL</v>
      </c>
      <c r="B152" s="15" t="str">
        <f t="shared" si="6"/>
        <v>IL</v>
      </c>
      <c r="C152" s="15" t="s">
        <v>58</v>
      </c>
      <c r="D152" s="15" t="s">
        <v>311</v>
      </c>
      <c r="E152" s="15" t="str">
        <f t="shared" si="7"/>
        <v>North Shore-IL</v>
      </c>
      <c r="F152" s="15" t="s">
        <v>915</v>
      </c>
      <c r="G152" s="15">
        <v>1</v>
      </c>
      <c r="H152" s="116" t="s">
        <v>146</v>
      </c>
      <c r="I152" s="15" t="s">
        <v>118</v>
      </c>
      <c r="J152" s="15">
        <v>2841</v>
      </c>
    </row>
    <row r="153" spans="1:10" x14ac:dyDescent="0.2">
      <c r="A153" s="15" t="str">
        <f>_xlfn.XLOOKUP(E153,Program_data!$E$3:$E$1234,Program_data!$E$3:$E$1234,"",0,1)</f>
        <v>North Shore-IL</v>
      </c>
      <c r="B153" s="15" t="str">
        <f t="shared" si="6"/>
        <v>IL</v>
      </c>
      <c r="C153" s="15" t="s">
        <v>58</v>
      </c>
      <c r="D153" s="15" t="s">
        <v>311</v>
      </c>
      <c r="E153" s="15" t="str">
        <f t="shared" si="7"/>
        <v>North Shore-IL</v>
      </c>
      <c r="F153" s="15" t="s">
        <v>914</v>
      </c>
      <c r="G153" s="15">
        <v>1</v>
      </c>
      <c r="H153" s="116" t="s">
        <v>146</v>
      </c>
      <c r="I153" s="15" t="s">
        <v>117</v>
      </c>
      <c r="J153" s="15">
        <v>6092622</v>
      </c>
    </row>
    <row r="154" spans="1:10" x14ac:dyDescent="0.2">
      <c r="A154" s="15" t="str">
        <f>_xlfn.XLOOKUP(E154,Program_data!$E$3:$E$1234,Program_data!$E$3:$E$1234,"",0,1)</f>
        <v>North Shore-IL</v>
      </c>
      <c r="B154" s="15" t="str">
        <f t="shared" si="6"/>
        <v>IL</v>
      </c>
      <c r="C154" s="15" t="s">
        <v>58</v>
      </c>
      <c r="D154" s="15" t="s">
        <v>311</v>
      </c>
      <c r="E154" s="15" t="str">
        <f t="shared" si="7"/>
        <v>North Shore-IL</v>
      </c>
      <c r="F154" s="15" t="s">
        <v>913</v>
      </c>
      <c r="G154" s="15">
        <v>1</v>
      </c>
      <c r="H154" s="116" t="s">
        <v>146</v>
      </c>
      <c r="I154" s="15" t="s">
        <v>116</v>
      </c>
      <c r="J154" s="15">
        <v>14960362</v>
      </c>
    </row>
    <row r="155" spans="1:10" x14ac:dyDescent="0.2">
      <c r="A155" s="15" t="str">
        <f>_xlfn.XLOOKUP(E155,Program_data!$E$3:$E$1234,Program_data!$E$3:$E$1234,"",0,1)</f>
        <v>North Shore-IL</v>
      </c>
      <c r="B155" s="15" t="str">
        <f t="shared" si="6"/>
        <v>IL</v>
      </c>
      <c r="C155" s="15" t="s">
        <v>58</v>
      </c>
      <c r="D155" s="15" t="s">
        <v>311</v>
      </c>
      <c r="E155" s="15" t="str">
        <f t="shared" si="7"/>
        <v>North Shore-IL</v>
      </c>
      <c r="F155" s="15" t="s">
        <v>917</v>
      </c>
      <c r="G155" s="15">
        <v>1</v>
      </c>
      <c r="H155" s="116" t="s">
        <v>146</v>
      </c>
      <c r="I155" s="15" t="s">
        <v>116</v>
      </c>
      <c r="J155" s="15">
        <v>7879843</v>
      </c>
    </row>
    <row r="156" spans="1:10" x14ac:dyDescent="0.2">
      <c r="A156" s="15" t="str">
        <f>_xlfn.XLOOKUP(E156,Program_data!$E$3:$E$1234,Program_data!$E$3:$E$1234,"",0,1)</f>
        <v>North Shore-IL</v>
      </c>
      <c r="B156" s="15" t="str">
        <f t="shared" si="6"/>
        <v>IL</v>
      </c>
      <c r="C156" s="15" t="s">
        <v>58</v>
      </c>
      <c r="D156" s="15" t="s">
        <v>311</v>
      </c>
      <c r="E156" s="15" t="str">
        <f t="shared" si="7"/>
        <v>North Shore-IL</v>
      </c>
      <c r="F156" s="15" t="s">
        <v>916</v>
      </c>
      <c r="G156" s="15">
        <v>1</v>
      </c>
      <c r="H156" s="116" t="s">
        <v>146</v>
      </c>
      <c r="I156" s="15" t="s">
        <v>118</v>
      </c>
      <c r="J156" s="15">
        <v>282</v>
      </c>
    </row>
    <row r="157" spans="1:10" x14ac:dyDescent="0.2">
      <c r="A157" s="15" t="str">
        <f>_xlfn.XLOOKUP(E157,Program_data!$E$3:$E$1234,Program_data!$E$3:$E$1234,"",0,1)</f>
        <v>North Shore-IL</v>
      </c>
      <c r="B157" s="15" t="str">
        <f t="shared" si="6"/>
        <v>IL</v>
      </c>
      <c r="C157" s="15" t="s">
        <v>58</v>
      </c>
      <c r="D157" s="15" t="s">
        <v>311</v>
      </c>
      <c r="E157" s="15" t="str">
        <f t="shared" si="7"/>
        <v>North Shore-IL</v>
      </c>
      <c r="F157" s="15" t="s">
        <v>918</v>
      </c>
      <c r="G157" s="15">
        <v>1</v>
      </c>
      <c r="H157" s="116" t="s">
        <v>146</v>
      </c>
      <c r="I157" s="15" t="s">
        <v>117</v>
      </c>
      <c r="J157" s="15">
        <v>4971363</v>
      </c>
    </row>
    <row r="158" spans="1:10" x14ac:dyDescent="0.2">
      <c r="A158" s="15" t="str">
        <f>_xlfn.XLOOKUP(E158,Program_data!$E$3:$E$1234,Program_data!$E$3:$E$1234,"",0,1)</f>
        <v>FOE-WI</v>
      </c>
      <c r="B158" s="15" t="str">
        <f t="shared" si="6"/>
        <v>WI</v>
      </c>
      <c r="C158" s="15" t="s">
        <v>69</v>
      </c>
      <c r="D158" s="15" t="s">
        <v>935</v>
      </c>
      <c r="E158" s="15" t="s">
        <v>890</v>
      </c>
      <c r="F158" s="15" t="s">
        <v>916</v>
      </c>
      <c r="G158" s="15">
        <v>1</v>
      </c>
      <c r="H158" s="116" t="s">
        <v>146</v>
      </c>
      <c r="I158" s="15" t="s">
        <v>118</v>
      </c>
      <c r="J158" s="15">
        <v>2</v>
      </c>
    </row>
    <row r="159" spans="1:10" x14ac:dyDescent="0.2">
      <c r="A159" s="15" t="str">
        <f>_xlfn.XLOOKUP(E159,Program_data!$E$3:$E$1234,Program_data!$E$3:$E$1234,"",0,1)</f>
        <v>FOE-WI</v>
      </c>
      <c r="B159" s="15" t="str">
        <f t="shared" si="6"/>
        <v>WI</v>
      </c>
      <c r="C159" s="15" t="s">
        <v>69</v>
      </c>
      <c r="D159" s="15" t="s">
        <v>935</v>
      </c>
      <c r="E159" s="15" t="s">
        <v>890</v>
      </c>
      <c r="F159" s="15" t="s">
        <v>918</v>
      </c>
      <c r="G159" s="15">
        <v>1</v>
      </c>
      <c r="H159" s="116" t="s">
        <v>146</v>
      </c>
      <c r="I159" s="15" t="s">
        <v>117</v>
      </c>
      <c r="J159" s="15">
        <v>1819914</v>
      </c>
    </row>
    <row r="160" spans="1:10" x14ac:dyDescent="0.2">
      <c r="A160" s="15" t="str">
        <f>_xlfn.XLOOKUP(E160,Program_data!$E$3:$E$1234,Program_data!$E$3:$E$1234,"",0,1)</f>
        <v>Xcel-MN</v>
      </c>
      <c r="B160" s="15" t="s">
        <v>241</v>
      </c>
      <c r="C160" s="15" t="s">
        <v>50</v>
      </c>
      <c r="D160" s="15" t="s">
        <v>242</v>
      </c>
      <c r="E160" s="15" t="str">
        <f t="shared" si="7"/>
        <v>Xcel-MN</v>
      </c>
      <c r="F160" s="15" t="s">
        <v>918</v>
      </c>
      <c r="G160" s="15">
        <v>1</v>
      </c>
      <c r="H160" s="116" t="s">
        <v>146</v>
      </c>
      <c r="I160" s="15" t="s">
        <v>117</v>
      </c>
      <c r="J160" s="117">
        <v>12849790</v>
      </c>
    </row>
    <row r="161" spans="1:10" x14ac:dyDescent="0.2">
      <c r="A161" s="15" t="str">
        <f>_xlfn.XLOOKUP(E161,Program_data!$E$3:$E$1234,Program_data!$E$3:$E$1234,"",0,1)</f>
        <v>Xcel-MN</v>
      </c>
      <c r="B161" s="15" t="s">
        <v>241</v>
      </c>
      <c r="C161" s="15" t="s">
        <v>50</v>
      </c>
      <c r="D161" s="15" t="s">
        <v>242</v>
      </c>
      <c r="E161" s="15" t="str">
        <f t="shared" si="7"/>
        <v>Xcel-MN</v>
      </c>
      <c r="F161" s="15" t="s">
        <v>916</v>
      </c>
      <c r="G161" s="15">
        <v>1</v>
      </c>
      <c r="H161" s="116" t="s">
        <v>146</v>
      </c>
      <c r="I161" s="15" t="s">
        <v>118</v>
      </c>
      <c r="J161" s="117">
        <v>26</v>
      </c>
    </row>
    <row r="162" spans="1:10" x14ac:dyDescent="0.2">
      <c r="A162" s="15" t="str">
        <f>_xlfn.XLOOKUP(E162,Program_data!$E$3:$E$1234,Program_data!$E$3:$E$1234,"",0,1)</f>
        <v>Xcel-MN</v>
      </c>
      <c r="B162" s="15" t="s">
        <v>241</v>
      </c>
      <c r="C162" s="15" t="s">
        <v>50</v>
      </c>
      <c r="D162" s="15" t="s">
        <v>242</v>
      </c>
      <c r="E162" s="15" t="str">
        <f t="shared" si="7"/>
        <v>Xcel-MN</v>
      </c>
      <c r="F162" s="15" t="s">
        <v>917</v>
      </c>
      <c r="G162" s="15">
        <v>1</v>
      </c>
      <c r="H162" s="116" t="s">
        <v>146</v>
      </c>
      <c r="I162" s="15" t="s">
        <v>116</v>
      </c>
      <c r="J162" s="117">
        <v>5603940</v>
      </c>
    </row>
    <row r="163" spans="1:10" x14ac:dyDescent="0.2">
      <c r="A163" s="15" t="str">
        <f>_xlfn.XLOOKUP(E163,Program_data!$E$3:$E$1234,Program_data!$E$3:$E$1234,"",0,1)</f>
        <v>FOE-WI</v>
      </c>
      <c r="B163" s="15" t="str">
        <f t="shared" si="6"/>
        <v>WI</v>
      </c>
      <c r="C163" s="15" t="s">
        <v>69</v>
      </c>
      <c r="D163" s="15" t="s">
        <v>936</v>
      </c>
      <c r="E163" s="15" t="s">
        <v>890</v>
      </c>
      <c r="F163" s="15" t="s">
        <v>916</v>
      </c>
      <c r="G163" s="15">
        <v>1</v>
      </c>
      <c r="H163" s="116" t="s">
        <v>146</v>
      </c>
      <c r="I163" s="15" t="s">
        <v>118</v>
      </c>
      <c r="J163" s="15">
        <v>44</v>
      </c>
    </row>
    <row r="164" spans="1:10" x14ac:dyDescent="0.2">
      <c r="A164" s="15" t="str">
        <f>_xlfn.XLOOKUP(E164,Program_data!$E$3:$E$1234,Program_data!$E$3:$E$1234,"",0,1)</f>
        <v>FOE-WI</v>
      </c>
      <c r="B164" s="15" t="str">
        <f t="shared" si="6"/>
        <v>WI</v>
      </c>
      <c r="C164" s="15" t="s">
        <v>69</v>
      </c>
      <c r="D164" s="15" t="s">
        <v>936</v>
      </c>
      <c r="E164" s="15" t="s">
        <v>890</v>
      </c>
      <c r="F164" s="15" t="s">
        <v>918</v>
      </c>
      <c r="G164" s="15">
        <v>1</v>
      </c>
      <c r="H164" s="116" t="s">
        <v>146</v>
      </c>
      <c r="I164" s="15" t="s">
        <v>117</v>
      </c>
      <c r="J164" s="15">
        <v>5096277</v>
      </c>
    </row>
    <row r="165" spans="1:10" x14ac:dyDescent="0.2">
      <c r="A165" s="15" t="str">
        <f>_xlfn.XLOOKUP(E165,Program_data!$E$3:$E$1234,Program_data!$E$3:$E$1234,"",0,1)</f>
        <v>FOE-WI</v>
      </c>
      <c r="B165" s="15" t="str">
        <f t="shared" si="6"/>
        <v>WI</v>
      </c>
      <c r="C165" s="15" t="s">
        <v>69</v>
      </c>
      <c r="D165" s="15" t="s">
        <v>936</v>
      </c>
      <c r="E165" s="15" t="s">
        <v>890</v>
      </c>
      <c r="F165" s="15" t="s">
        <v>917</v>
      </c>
      <c r="G165" s="15">
        <v>1</v>
      </c>
      <c r="H165" s="116" t="s">
        <v>146</v>
      </c>
      <c r="I165" s="15" t="s">
        <v>116</v>
      </c>
      <c r="J165" s="15">
        <v>4221899</v>
      </c>
    </row>
    <row r="166" spans="1:10" x14ac:dyDescent="0.2">
      <c r="A166" s="15" t="str">
        <f>_xlfn.XLOOKUP(E166,Program_data!$E$3:$E$1234,Program_data!$E$3:$E$1234,"",0,1)</f>
        <v>NW Natural-OR</v>
      </c>
      <c r="B166" s="15" t="str">
        <f t="shared" si="6"/>
        <v>OR</v>
      </c>
      <c r="C166" s="15" t="s">
        <v>92</v>
      </c>
      <c r="D166" s="15" t="s">
        <v>325</v>
      </c>
      <c r="E166" s="15" t="str">
        <f t="shared" si="7"/>
        <v>NW Natural-OR</v>
      </c>
      <c r="F166" s="15" t="s">
        <v>914</v>
      </c>
      <c r="G166" s="15">
        <v>1</v>
      </c>
      <c r="H166" s="116" t="s">
        <v>146</v>
      </c>
      <c r="I166" s="15" t="s">
        <v>117</v>
      </c>
      <c r="J166" s="15">
        <v>851558</v>
      </c>
    </row>
    <row r="167" spans="1:10" x14ac:dyDescent="0.2">
      <c r="A167" s="15" t="str">
        <f>_xlfn.XLOOKUP(E167,Program_data!$E$3:$E$1234,Program_data!$E$3:$E$1234,"",0,1)</f>
        <v>NW Natural-OR</v>
      </c>
      <c r="B167" s="15" t="str">
        <f t="shared" si="6"/>
        <v>OR</v>
      </c>
      <c r="C167" s="15" t="s">
        <v>92</v>
      </c>
      <c r="D167" s="15" t="s">
        <v>325</v>
      </c>
      <c r="E167" s="15" t="str">
        <f t="shared" si="7"/>
        <v>NW Natural-OR</v>
      </c>
      <c r="F167" s="15" t="s">
        <v>915</v>
      </c>
      <c r="G167" s="15">
        <v>1</v>
      </c>
      <c r="H167" s="116" t="s">
        <v>146</v>
      </c>
      <c r="I167" s="15" t="s">
        <v>118</v>
      </c>
      <c r="J167" s="15">
        <v>88</v>
      </c>
    </row>
    <row r="168" spans="1:10" x14ac:dyDescent="0.2">
      <c r="A168" s="15" t="str">
        <f>_xlfn.XLOOKUP(E168,Program_data!$E$3:$E$1234,Program_data!$E$3:$E$1234,"",0,1)</f>
        <v>NW Natural-OR</v>
      </c>
      <c r="B168" s="15" t="str">
        <f t="shared" si="6"/>
        <v>OR</v>
      </c>
      <c r="C168" s="15" t="s">
        <v>92</v>
      </c>
      <c r="D168" s="15" t="s">
        <v>325</v>
      </c>
      <c r="E168" s="15" t="str">
        <f t="shared" si="7"/>
        <v>NW Natural-OR</v>
      </c>
      <c r="F168" s="15" t="s">
        <v>913</v>
      </c>
      <c r="G168" s="15">
        <v>1</v>
      </c>
      <c r="H168" s="116" t="s">
        <v>146</v>
      </c>
      <c r="I168" s="15" t="s">
        <v>116</v>
      </c>
      <c r="J168" s="15">
        <v>1986029</v>
      </c>
    </row>
    <row r="169" spans="1:10" x14ac:dyDescent="0.2">
      <c r="A169" s="15" t="str">
        <f>_xlfn.XLOOKUP(E169,Program_data!$E$3:$E$1234,Program_data!$E$3:$E$1234,"",0,1)</f>
        <v>NW Natural-OR</v>
      </c>
      <c r="B169" s="15" t="str">
        <f t="shared" si="6"/>
        <v>OR</v>
      </c>
      <c r="C169" s="15" t="s">
        <v>92</v>
      </c>
      <c r="D169" s="15" t="s">
        <v>325</v>
      </c>
      <c r="E169" s="15" t="str">
        <f t="shared" si="7"/>
        <v>NW Natural-OR</v>
      </c>
      <c r="F169" s="15" t="s">
        <v>918</v>
      </c>
      <c r="G169" s="15">
        <v>1</v>
      </c>
      <c r="H169" s="116" t="s">
        <v>146</v>
      </c>
      <c r="I169" s="15" t="s">
        <v>117</v>
      </c>
      <c r="J169" s="15">
        <v>34040048</v>
      </c>
    </row>
    <row r="170" spans="1:10" x14ac:dyDescent="0.2">
      <c r="A170" s="15" t="str">
        <f>_xlfn.XLOOKUP(E170,Program_data!$E$3:$E$1234,Program_data!$E$3:$E$1234,"",0,1)</f>
        <v>NW Natural-OR</v>
      </c>
      <c r="B170" s="15" t="str">
        <f t="shared" si="6"/>
        <v>OR</v>
      </c>
      <c r="C170" s="15" t="s">
        <v>92</v>
      </c>
      <c r="D170" s="15" t="s">
        <v>325</v>
      </c>
      <c r="E170" s="15" t="str">
        <f t="shared" si="7"/>
        <v>NW Natural-OR</v>
      </c>
      <c r="F170" s="15" t="s">
        <v>916</v>
      </c>
      <c r="G170" s="15">
        <v>1</v>
      </c>
      <c r="H170" s="116" t="s">
        <v>146</v>
      </c>
      <c r="I170" s="15" t="s">
        <v>118</v>
      </c>
      <c r="J170" s="15">
        <v>200</v>
      </c>
    </row>
    <row r="171" spans="1:10" x14ac:dyDescent="0.2">
      <c r="A171" s="15" t="str">
        <f>_xlfn.XLOOKUP(E171,Program_data!$E$3:$E$1234,Program_data!$E$3:$E$1234,"",0,1)</f>
        <v>NW Natural-OR</v>
      </c>
      <c r="B171" s="15" t="str">
        <f t="shared" si="6"/>
        <v>OR</v>
      </c>
      <c r="C171" s="15" t="s">
        <v>92</v>
      </c>
      <c r="D171" s="15" t="s">
        <v>325</v>
      </c>
      <c r="E171" s="15" t="str">
        <f t="shared" si="7"/>
        <v>NW Natural-OR</v>
      </c>
      <c r="F171" s="15" t="s">
        <v>917</v>
      </c>
      <c r="G171" s="15">
        <v>1</v>
      </c>
      <c r="H171" s="116" t="s">
        <v>146</v>
      </c>
      <c r="I171" s="15" t="s">
        <v>116</v>
      </c>
      <c r="J171" s="15">
        <v>15725073</v>
      </c>
    </row>
    <row r="172" spans="1:10" x14ac:dyDescent="0.2">
      <c r="A172" s="15" t="str">
        <f>_xlfn.XLOOKUP(E172,Program_data!$E$3:$E$1234,Program_data!$E$3:$E$1234,"",0,1)</f>
        <v>Eversource-MA</v>
      </c>
      <c r="B172" s="15" t="str">
        <f t="shared" si="6"/>
        <v>MA</v>
      </c>
      <c r="C172" s="15" t="s">
        <v>10</v>
      </c>
      <c r="D172" s="15" t="s">
        <v>18</v>
      </c>
      <c r="E172" s="15" t="str">
        <f t="shared" si="7"/>
        <v>Eversource-MA</v>
      </c>
      <c r="F172" s="15" t="s">
        <v>924</v>
      </c>
      <c r="G172" s="15">
        <v>1</v>
      </c>
      <c r="H172" s="116" t="s">
        <v>135</v>
      </c>
      <c r="I172" s="15" t="s">
        <v>117</v>
      </c>
      <c r="J172" s="15">
        <v>334137</v>
      </c>
    </row>
    <row r="173" spans="1:10" x14ac:dyDescent="0.2">
      <c r="A173" s="15" t="str">
        <f>_xlfn.XLOOKUP(E173,Program_data!$E$3:$E$1234,Program_data!$E$3:$E$1234,"",0,1)</f>
        <v>Eversource-MA</v>
      </c>
      <c r="B173" s="15" t="str">
        <f t="shared" si="6"/>
        <v>MA</v>
      </c>
      <c r="C173" s="15" t="s">
        <v>10</v>
      </c>
      <c r="D173" s="15" t="s">
        <v>18</v>
      </c>
      <c r="E173" s="15" t="str">
        <f t="shared" si="7"/>
        <v>Eversource-MA</v>
      </c>
      <c r="F173" s="15" t="s">
        <v>923</v>
      </c>
      <c r="G173" s="15">
        <v>1</v>
      </c>
      <c r="H173" s="116" t="s">
        <v>135</v>
      </c>
      <c r="I173" s="15" t="s">
        <v>116</v>
      </c>
      <c r="J173" s="15">
        <v>3039325</v>
      </c>
    </row>
    <row r="174" spans="1:10" x14ac:dyDescent="0.2">
      <c r="A174" s="15" t="str">
        <f>_xlfn.XLOOKUP(E174,Program_data!$E$3:$E$1234,Program_data!$E$3:$E$1234,"",0,1)</f>
        <v>Eversource-MA</v>
      </c>
      <c r="B174" s="15" t="str">
        <f t="shared" si="6"/>
        <v>MA</v>
      </c>
      <c r="C174" s="15" t="s">
        <v>10</v>
      </c>
      <c r="D174" s="15" t="s">
        <v>18</v>
      </c>
      <c r="E174" s="15" t="str">
        <f t="shared" si="7"/>
        <v>Eversource-MA</v>
      </c>
      <c r="F174" s="15" t="s">
        <v>925</v>
      </c>
      <c r="G174" s="15">
        <v>1</v>
      </c>
      <c r="H174" s="116" t="s">
        <v>135</v>
      </c>
      <c r="I174" s="15" t="s">
        <v>118</v>
      </c>
      <c r="J174" s="15">
        <v>3890</v>
      </c>
    </row>
    <row r="175" spans="1:10" x14ac:dyDescent="0.2">
      <c r="A175" s="15" t="str">
        <f>_xlfn.XLOOKUP(E175,Program_data!$E$3:$E$1234,Program_data!$E$3:$E$1234,"",0,1)</f>
        <v>Eversource-MA</v>
      </c>
      <c r="B175" s="15" t="str">
        <f t="shared" si="6"/>
        <v>MA</v>
      </c>
      <c r="C175" s="15" t="s">
        <v>10</v>
      </c>
      <c r="D175" s="15" t="s">
        <v>18</v>
      </c>
      <c r="E175" s="15" t="str">
        <f t="shared" si="7"/>
        <v>Eversource-MA</v>
      </c>
      <c r="F175" s="15" t="s">
        <v>915</v>
      </c>
      <c r="G175" s="15">
        <v>1</v>
      </c>
      <c r="H175" s="116" t="s">
        <v>146</v>
      </c>
      <c r="I175" s="15" t="s">
        <v>118</v>
      </c>
      <c r="J175" s="15">
        <v>4299</v>
      </c>
    </row>
    <row r="176" spans="1:10" x14ac:dyDescent="0.2">
      <c r="A176" s="15" t="str">
        <f>_xlfn.XLOOKUP(E176,Program_data!$E$3:$E$1234,Program_data!$E$3:$E$1234,"",0,1)</f>
        <v>Eversource-MA</v>
      </c>
      <c r="B176" s="15" t="str">
        <f t="shared" si="6"/>
        <v>MA</v>
      </c>
      <c r="C176" s="15" t="s">
        <v>10</v>
      </c>
      <c r="D176" s="15" t="s">
        <v>18</v>
      </c>
      <c r="E176" s="15" t="str">
        <f t="shared" si="7"/>
        <v>Eversource-MA</v>
      </c>
      <c r="F176" s="15" t="s">
        <v>913</v>
      </c>
      <c r="G176" s="15">
        <v>1</v>
      </c>
      <c r="H176" s="116" t="s">
        <v>146</v>
      </c>
      <c r="I176" s="15" t="s">
        <v>116</v>
      </c>
      <c r="J176" s="15">
        <v>66523998</v>
      </c>
    </row>
    <row r="177" spans="1:10" x14ac:dyDescent="0.2">
      <c r="A177" s="15" t="str">
        <f>_xlfn.XLOOKUP(E177,Program_data!$E$3:$E$1234,Program_data!$E$3:$E$1234,"",0,1)</f>
        <v>Eversource-MA</v>
      </c>
      <c r="B177" s="15" t="str">
        <f t="shared" si="6"/>
        <v>MA</v>
      </c>
      <c r="C177" s="15" t="s">
        <v>10</v>
      </c>
      <c r="D177" s="15" t="s">
        <v>18</v>
      </c>
      <c r="E177" s="15" t="str">
        <f t="shared" si="7"/>
        <v>Eversource-MA</v>
      </c>
      <c r="F177" s="15" t="s">
        <v>914</v>
      </c>
      <c r="G177" s="15">
        <v>1</v>
      </c>
      <c r="H177" s="116" t="s">
        <v>146</v>
      </c>
      <c r="I177" s="15" t="s">
        <v>117</v>
      </c>
      <c r="J177" s="15">
        <v>14791329</v>
      </c>
    </row>
    <row r="178" spans="1:10" x14ac:dyDescent="0.2">
      <c r="A178" s="15" t="str">
        <f>_xlfn.XLOOKUP(E178,Program_data!$E$3:$E$1234,Program_data!$E$3:$E$1234,"",0,1)</f>
        <v>Eversource-MA</v>
      </c>
      <c r="B178" s="15" t="str">
        <f t="shared" si="6"/>
        <v>MA</v>
      </c>
      <c r="C178" s="15" t="s">
        <v>10</v>
      </c>
      <c r="D178" s="15" t="s">
        <v>18</v>
      </c>
      <c r="E178" s="15" t="str">
        <f t="shared" si="7"/>
        <v>Eversource-MA</v>
      </c>
      <c r="F178" s="15" t="s">
        <v>917</v>
      </c>
      <c r="G178" s="15">
        <v>1</v>
      </c>
      <c r="H178" s="116" t="s">
        <v>146</v>
      </c>
      <c r="I178" s="15" t="s">
        <v>116</v>
      </c>
      <c r="J178" s="15">
        <v>10741785</v>
      </c>
    </row>
    <row r="179" spans="1:10" x14ac:dyDescent="0.2">
      <c r="A179" s="15" t="str">
        <f>_xlfn.XLOOKUP(E179,Program_data!$E$3:$E$1234,Program_data!$E$3:$E$1234,"",0,1)</f>
        <v>Eversource-MA</v>
      </c>
      <c r="B179" s="15" t="str">
        <f t="shared" si="6"/>
        <v>MA</v>
      </c>
      <c r="C179" s="15" t="s">
        <v>10</v>
      </c>
      <c r="D179" s="15" t="s">
        <v>18</v>
      </c>
      <c r="E179" s="15" t="str">
        <f t="shared" si="7"/>
        <v>Eversource-MA</v>
      </c>
      <c r="F179" s="15" t="s">
        <v>918</v>
      </c>
      <c r="G179" s="15">
        <v>1</v>
      </c>
      <c r="H179" s="116" t="s">
        <v>146</v>
      </c>
      <c r="I179" s="15" t="s">
        <v>117</v>
      </c>
      <c r="J179" s="15">
        <v>4175371</v>
      </c>
    </row>
    <row r="180" spans="1:10" x14ac:dyDescent="0.2">
      <c r="A180" s="15" t="str">
        <f>_xlfn.XLOOKUP(E180,Program_data!$E$3:$E$1234,Program_data!$E$3:$E$1234,"",0,1)</f>
        <v>Eversource-MA</v>
      </c>
      <c r="B180" s="15" t="str">
        <f t="shared" si="6"/>
        <v>MA</v>
      </c>
      <c r="C180" s="15" t="s">
        <v>10</v>
      </c>
      <c r="D180" s="15" t="s">
        <v>18</v>
      </c>
      <c r="E180" s="15" t="str">
        <f t="shared" si="7"/>
        <v>Eversource-MA</v>
      </c>
      <c r="F180" s="15" t="s">
        <v>916</v>
      </c>
      <c r="G180" s="15">
        <v>1</v>
      </c>
      <c r="H180" s="116" t="s">
        <v>146</v>
      </c>
      <c r="I180" s="15" t="s">
        <v>118</v>
      </c>
      <c r="J180" s="15">
        <v>201</v>
      </c>
    </row>
    <row r="181" spans="1:10" x14ac:dyDescent="0.2">
      <c r="A181" s="15" t="str">
        <f>_xlfn.XLOOKUP(E181,Program_data!$E$3:$E$1234,Program_data!$E$3:$E$1234,"",0,1)</f>
        <v/>
      </c>
      <c r="B181" s="15" t="str">
        <f t="shared" si="6"/>
        <v>CA</v>
      </c>
      <c r="C181" s="15" t="s">
        <v>937</v>
      </c>
      <c r="D181" s="15" t="s">
        <v>938</v>
      </c>
      <c r="E181" s="15" t="str">
        <f t="shared" si="7"/>
        <v>PG&amp;E-CA</v>
      </c>
      <c r="F181" s="15" t="s">
        <v>925</v>
      </c>
      <c r="G181" s="15">
        <v>1</v>
      </c>
      <c r="H181" s="116" t="s">
        <v>135</v>
      </c>
      <c r="I181" s="15" t="s">
        <v>118</v>
      </c>
      <c r="J181" s="15">
        <v>362606</v>
      </c>
    </row>
    <row r="182" spans="1:10" x14ac:dyDescent="0.2">
      <c r="A182" s="15" t="str">
        <f>_xlfn.XLOOKUP(E182,Program_data!$E$3:$E$1234,Program_data!$E$3:$E$1234,"",0,1)</f>
        <v/>
      </c>
      <c r="B182" s="15" t="str">
        <f t="shared" si="6"/>
        <v>CA</v>
      </c>
      <c r="C182" s="15" t="s">
        <v>937</v>
      </c>
      <c r="D182" s="15" t="s">
        <v>938</v>
      </c>
      <c r="E182" s="15" t="str">
        <f t="shared" si="7"/>
        <v>PG&amp;E-CA</v>
      </c>
      <c r="F182" s="15" t="s">
        <v>924</v>
      </c>
      <c r="G182" s="15">
        <v>1</v>
      </c>
      <c r="H182" s="116" t="s">
        <v>135</v>
      </c>
      <c r="I182" s="15" t="s">
        <v>117</v>
      </c>
      <c r="J182" s="15">
        <v>16786819</v>
      </c>
    </row>
    <row r="183" spans="1:10" x14ac:dyDescent="0.2">
      <c r="A183" s="15" t="str">
        <f>_xlfn.XLOOKUP(E183,Program_data!$E$3:$E$1234,Program_data!$E$3:$E$1234,"",0,1)</f>
        <v/>
      </c>
      <c r="B183" s="15" t="str">
        <f t="shared" si="6"/>
        <v>CA</v>
      </c>
      <c r="C183" s="15" t="s">
        <v>937</v>
      </c>
      <c r="D183" s="15" t="s">
        <v>938</v>
      </c>
      <c r="E183" s="15" t="str">
        <f t="shared" si="7"/>
        <v>PG&amp;E-CA</v>
      </c>
      <c r="F183" s="15" t="s">
        <v>923</v>
      </c>
      <c r="G183" s="15">
        <v>1</v>
      </c>
      <c r="H183" s="116" t="s">
        <v>135</v>
      </c>
      <c r="I183" s="15" t="s">
        <v>116</v>
      </c>
      <c r="J183" s="15">
        <v>202312895</v>
      </c>
    </row>
    <row r="184" spans="1:10" x14ac:dyDescent="0.2">
      <c r="A184" s="15" t="str">
        <f>_xlfn.XLOOKUP(E184,Program_data!$E$3:$E$1234,Program_data!$E$3:$E$1234,"",0,1)</f>
        <v/>
      </c>
      <c r="B184" s="15" t="str">
        <f t="shared" si="6"/>
        <v>CA</v>
      </c>
      <c r="C184" s="15" t="s">
        <v>937</v>
      </c>
      <c r="D184" s="15" t="s">
        <v>938</v>
      </c>
      <c r="E184" s="15" t="str">
        <f t="shared" si="7"/>
        <v>PG&amp;E-CA</v>
      </c>
      <c r="F184" s="15" t="s">
        <v>914</v>
      </c>
      <c r="G184" s="15">
        <v>1</v>
      </c>
      <c r="H184" s="116" t="s">
        <v>146</v>
      </c>
      <c r="I184" s="15" t="s">
        <v>117</v>
      </c>
      <c r="J184" s="15">
        <v>79162545</v>
      </c>
    </row>
    <row r="185" spans="1:10" x14ac:dyDescent="0.2">
      <c r="A185" s="15" t="str">
        <f>_xlfn.XLOOKUP(E185,Program_data!$E$3:$E$1234,Program_data!$E$3:$E$1234,"",0,1)</f>
        <v/>
      </c>
      <c r="B185" s="15" t="str">
        <f t="shared" si="6"/>
        <v>CA</v>
      </c>
      <c r="C185" s="15" t="s">
        <v>937</v>
      </c>
      <c r="D185" s="15" t="s">
        <v>938</v>
      </c>
      <c r="E185" s="15" t="str">
        <f t="shared" si="7"/>
        <v>PG&amp;E-CA</v>
      </c>
      <c r="F185" s="15" t="s">
        <v>915</v>
      </c>
      <c r="G185" s="15">
        <v>1</v>
      </c>
      <c r="H185" s="116" t="s">
        <v>146</v>
      </c>
      <c r="I185" s="15" t="s">
        <v>118</v>
      </c>
      <c r="J185" s="15">
        <v>31271</v>
      </c>
    </row>
    <row r="186" spans="1:10" x14ac:dyDescent="0.2">
      <c r="A186" s="15" t="str">
        <f>_xlfn.XLOOKUP(E186,Program_data!$E$3:$E$1234,Program_data!$E$3:$E$1234,"",0,1)</f>
        <v/>
      </c>
      <c r="B186" s="15" t="str">
        <f t="shared" si="6"/>
        <v>CA</v>
      </c>
      <c r="C186" s="15" t="s">
        <v>937</v>
      </c>
      <c r="D186" s="15" t="s">
        <v>938</v>
      </c>
      <c r="E186" s="15" t="str">
        <f t="shared" si="7"/>
        <v>PG&amp;E-CA</v>
      </c>
      <c r="F186" s="15" t="s">
        <v>913</v>
      </c>
      <c r="G186" s="15">
        <v>1</v>
      </c>
      <c r="H186" s="116" t="s">
        <v>146</v>
      </c>
      <c r="I186" s="15" t="s">
        <v>116</v>
      </c>
      <c r="J186" s="15">
        <v>274778569</v>
      </c>
    </row>
    <row r="187" spans="1:10" x14ac:dyDescent="0.2">
      <c r="A187" s="15" t="str">
        <f>_xlfn.XLOOKUP(E187,Program_data!$E$3:$E$1234,Program_data!$E$3:$E$1234,"",0,1)</f>
        <v/>
      </c>
      <c r="B187" s="15" t="str">
        <f t="shared" si="6"/>
        <v>CA</v>
      </c>
      <c r="C187" s="15" t="s">
        <v>937</v>
      </c>
      <c r="D187" s="15" t="s">
        <v>938</v>
      </c>
      <c r="E187" s="15" t="str">
        <f t="shared" si="7"/>
        <v>PG&amp;E-CA</v>
      </c>
      <c r="F187" s="15" t="s">
        <v>916</v>
      </c>
      <c r="G187" s="15">
        <v>1</v>
      </c>
      <c r="H187" s="116" t="s">
        <v>146</v>
      </c>
      <c r="I187" s="15" t="s">
        <v>118</v>
      </c>
      <c r="J187" s="15">
        <v>3216</v>
      </c>
    </row>
    <row r="188" spans="1:10" x14ac:dyDescent="0.2">
      <c r="A188" s="15" t="str">
        <f>_xlfn.XLOOKUP(E188,Program_data!$E$3:$E$1234,Program_data!$E$3:$E$1234,"",0,1)</f>
        <v/>
      </c>
      <c r="B188" s="15" t="str">
        <f t="shared" si="6"/>
        <v>CA</v>
      </c>
      <c r="C188" s="15" t="s">
        <v>937</v>
      </c>
      <c r="D188" s="15" t="s">
        <v>938</v>
      </c>
      <c r="E188" s="15" t="str">
        <f t="shared" si="7"/>
        <v>PG&amp;E-CA</v>
      </c>
      <c r="F188" s="15" t="s">
        <v>918</v>
      </c>
      <c r="G188" s="15">
        <v>1</v>
      </c>
      <c r="H188" s="116" t="s">
        <v>146</v>
      </c>
      <c r="I188" s="15" t="s">
        <v>117</v>
      </c>
      <c r="J188" s="15">
        <v>199448715</v>
      </c>
    </row>
    <row r="189" spans="1:10" x14ac:dyDescent="0.2">
      <c r="A189" s="15" t="str">
        <f>_xlfn.XLOOKUP(E189,Program_data!$E$3:$E$1234,Program_data!$E$3:$E$1234,"",0,1)</f>
        <v/>
      </c>
      <c r="B189" s="15" t="str">
        <f t="shared" si="6"/>
        <v>CA</v>
      </c>
      <c r="C189" s="15" t="s">
        <v>937</v>
      </c>
      <c r="D189" s="15" t="s">
        <v>938</v>
      </c>
      <c r="E189" s="15" t="str">
        <f t="shared" si="7"/>
        <v>PG&amp;E-CA</v>
      </c>
      <c r="F189" s="15" t="s">
        <v>917</v>
      </c>
      <c r="G189" s="15">
        <v>1</v>
      </c>
      <c r="H189" s="116" t="s">
        <v>146</v>
      </c>
      <c r="I189" s="15" t="s">
        <v>116</v>
      </c>
      <c r="J189" s="15">
        <v>351571468</v>
      </c>
    </row>
    <row r="190" spans="1:10" x14ac:dyDescent="0.2">
      <c r="A190" s="15" t="str">
        <f>_xlfn.XLOOKUP(E190,Program_data!$E$3:$E$1234,Program_data!$E$3:$E$1234,"",0,1)</f>
        <v>Peoples-IL</v>
      </c>
      <c r="B190" s="15" t="str">
        <f t="shared" ref="B190:B233" si="8">UPPER(LEFT(C190,2))</f>
        <v>IL</v>
      </c>
      <c r="C190" s="15" t="s">
        <v>58</v>
      </c>
      <c r="D190" s="15" t="s">
        <v>629</v>
      </c>
      <c r="E190" s="15" t="str">
        <f t="shared" ref="E190:E233" si="9">D190&amp;"-"&amp;B190</f>
        <v>Peoples-IL</v>
      </c>
      <c r="F190" s="15" t="s">
        <v>925</v>
      </c>
      <c r="G190" s="15">
        <v>1</v>
      </c>
      <c r="H190" s="116" t="s">
        <v>135</v>
      </c>
      <c r="I190" s="15" t="s">
        <v>118</v>
      </c>
      <c r="J190" s="15">
        <v>45265</v>
      </c>
    </row>
    <row r="191" spans="1:10" x14ac:dyDescent="0.2">
      <c r="A191" s="15" t="str">
        <f>_xlfn.XLOOKUP(E191,Program_data!$E$3:$E$1234,Program_data!$E$3:$E$1234,"",0,1)</f>
        <v>Peoples-IL</v>
      </c>
      <c r="B191" s="15" t="str">
        <f t="shared" si="8"/>
        <v>IL</v>
      </c>
      <c r="C191" s="15" t="s">
        <v>58</v>
      </c>
      <c r="D191" s="15" t="s">
        <v>629</v>
      </c>
      <c r="E191" s="15" t="str">
        <f t="shared" si="9"/>
        <v>Peoples-IL</v>
      </c>
      <c r="F191" s="15" t="s">
        <v>923</v>
      </c>
      <c r="G191" s="15">
        <v>1</v>
      </c>
      <c r="H191" s="116" t="s">
        <v>135</v>
      </c>
      <c r="I191" s="15" t="s">
        <v>116</v>
      </c>
      <c r="J191" s="15">
        <v>96200346</v>
      </c>
    </row>
    <row r="192" spans="1:10" x14ac:dyDescent="0.2">
      <c r="A192" s="15" t="str">
        <f>_xlfn.XLOOKUP(E192,Program_data!$E$3:$E$1234,Program_data!$E$3:$E$1234,"",0,1)</f>
        <v>Peoples-IL</v>
      </c>
      <c r="B192" s="15" t="str">
        <f t="shared" si="8"/>
        <v>IL</v>
      </c>
      <c r="C192" s="15" t="s">
        <v>58</v>
      </c>
      <c r="D192" s="15" t="s">
        <v>629</v>
      </c>
      <c r="E192" s="15" t="str">
        <f t="shared" si="9"/>
        <v>Peoples-IL</v>
      </c>
      <c r="F192" s="15" t="s">
        <v>924</v>
      </c>
      <c r="G192" s="15">
        <v>1</v>
      </c>
      <c r="H192" s="116" t="s">
        <v>135</v>
      </c>
      <c r="I192" s="15" t="s">
        <v>117</v>
      </c>
      <c r="J192" s="15">
        <v>16937806</v>
      </c>
    </row>
    <row r="193" spans="1:10" x14ac:dyDescent="0.2">
      <c r="A193" s="15" t="str">
        <f>_xlfn.XLOOKUP(E193,Program_data!$E$3:$E$1234,Program_data!$E$3:$E$1234,"",0,1)</f>
        <v>Peoples-IL</v>
      </c>
      <c r="B193" s="15" t="str">
        <f t="shared" si="8"/>
        <v>IL</v>
      </c>
      <c r="C193" s="15" t="s">
        <v>58</v>
      </c>
      <c r="D193" s="15" t="s">
        <v>629</v>
      </c>
      <c r="E193" s="15" t="str">
        <f t="shared" si="9"/>
        <v>Peoples-IL</v>
      </c>
      <c r="F193" s="15" t="s">
        <v>914</v>
      </c>
      <c r="G193" s="15">
        <v>1</v>
      </c>
      <c r="H193" s="116" t="s">
        <v>146</v>
      </c>
      <c r="I193" s="15" t="s">
        <v>117</v>
      </c>
      <c r="J193" s="15">
        <v>32787600</v>
      </c>
    </row>
    <row r="194" spans="1:10" x14ac:dyDescent="0.2">
      <c r="A194" s="15" t="str">
        <f>_xlfn.XLOOKUP(E194,Program_data!$E$3:$E$1234,Program_data!$E$3:$E$1234,"",0,1)</f>
        <v>Peoples-IL</v>
      </c>
      <c r="B194" s="15" t="str">
        <f t="shared" si="8"/>
        <v>IL</v>
      </c>
      <c r="C194" s="15" t="s">
        <v>58</v>
      </c>
      <c r="D194" s="15" t="s">
        <v>629</v>
      </c>
      <c r="E194" s="15" t="str">
        <f t="shared" si="9"/>
        <v>Peoples-IL</v>
      </c>
      <c r="F194" s="15" t="s">
        <v>915</v>
      </c>
      <c r="G194" s="15">
        <v>1</v>
      </c>
      <c r="H194" s="116" t="s">
        <v>146</v>
      </c>
      <c r="I194" s="15" t="s">
        <v>118</v>
      </c>
      <c r="J194" s="15">
        <v>10788</v>
      </c>
    </row>
    <row r="195" spans="1:10" x14ac:dyDescent="0.2">
      <c r="A195" s="15" t="str">
        <f>_xlfn.XLOOKUP(E195,Program_data!$E$3:$E$1234,Program_data!$E$3:$E$1234,"",0,1)</f>
        <v>Peoples-IL</v>
      </c>
      <c r="B195" s="15" t="str">
        <f t="shared" si="8"/>
        <v>IL</v>
      </c>
      <c r="C195" s="15" t="s">
        <v>58</v>
      </c>
      <c r="D195" s="15" t="s">
        <v>629</v>
      </c>
      <c r="E195" s="15" t="str">
        <f t="shared" si="9"/>
        <v>Peoples-IL</v>
      </c>
      <c r="F195" s="15" t="s">
        <v>913</v>
      </c>
      <c r="G195" s="15">
        <v>1</v>
      </c>
      <c r="H195" s="116" t="s">
        <v>146</v>
      </c>
      <c r="I195" s="15" t="s">
        <v>116</v>
      </c>
      <c r="J195" s="15">
        <v>127530290</v>
      </c>
    </row>
    <row r="196" spans="1:10" x14ac:dyDescent="0.2">
      <c r="A196" s="15" t="str">
        <f>_xlfn.XLOOKUP(E196,Program_data!$E$3:$E$1234,Program_data!$E$3:$E$1234,"",0,1)</f>
        <v>Peoples-IL</v>
      </c>
      <c r="B196" s="15" t="str">
        <f t="shared" si="8"/>
        <v>IL</v>
      </c>
      <c r="C196" s="15" t="s">
        <v>58</v>
      </c>
      <c r="D196" s="15" t="s">
        <v>629</v>
      </c>
      <c r="E196" s="15" t="str">
        <f t="shared" si="9"/>
        <v>Peoples-IL</v>
      </c>
      <c r="F196" s="15" t="s">
        <v>917</v>
      </c>
      <c r="G196" s="15">
        <v>1</v>
      </c>
      <c r="H196" s="116" t="s">
        <v>146</v>
      </c>
      <c r="I196" s="15" t="s">
        <v>116</v>
      </c>
      <c r="J196" s="15">
        <v>37142171</v>
      </c>
    </row>
    <row r="197" spans="1:10" x14ac:dyDescent="0.2">
      <c r="A197" s="15" t="str">
        <f>_xlfn.XLOOKUP(E197,Program_data!$E$3:$E$1234,Program_data!$E$3:$E$1234,"",0,1)</f>
        <v>Peoples-IL</v>
      </c>
      <c r="B197" s="15" t="str">
        <f t="shared" si="8"/>
        <v>IL</v>
      </c>
      <c r="C197" s="15" t="s">
        <v>58</v>
      </c>
      <c r="D197" s="15" t="s">
        <v>629</v>
      </c>
      <c r="E197" s="15" t="str">
        <f t="shared" si="9"/>
        <v>Peoples-IL</v>
      </c>
      <c r="F197" s="15" t="s">
        <v>918</v>
      </c>
      <c r="G197" s="15">
        <v>1</v>
      </c>
      <c r="H197" s="116" t="s">
        <v>146</v>
      </c>
      <c r="I197" s="15" t="s">
        <v>117</v>
      </c>
      <c r="J197" s="15">
        <v>10828638</v>
      </c>
    </row>
    <row r="198" spans="1:10" x14ac:dyDescent="0.2">
      <c r="A198" s="15" t="str">
        <f>_xlfn.XLOOKUP(E198,Program_data!$E$3:$E$1234,Program_data!$E$3:$E$1234,"",0,1)</f>
        <v>Peoples-IL</v>
      </c>
      <c r="B198" s="15" t="str">
        <f t="shared" si="8"/>
        <v>IL</v>
      </c>
      <c r="C198" s="15" t="s">
        <v>58</v>
      </c>
      <c r="D198" s="15" t="s">
        <v>629</v>
      </c>
      <c r="E198" s="15" t="str">
        <f t="shared" si="9"/>
        <v>Peoples-IL</v>
      </c>
      <c r="F198" s="15" t="s">
        <v>916</v>
      </c>
      <c r="G198" s="15">
        <v>1</v>
      </c>
      <c r="H198" s="116" t="s">
        <v>146</v>
      </c>
      <c r="I198" s="15" t="s">
        <v>118</v>
      </c>
      <c r="J198" s="15">
        <v>773</v>
      </c>
    </row>
    <row r="199" spans="1:10" x14ac:dyDescent="0.2">
      <c r="A199" s="15" t="str">
        <f>_xlfn.XLOOKUP(E199,Program_data!$E$3:$E$1234,Program_data!$E$3:$E$1234,"",0,1)</f>
        <v>Xcel-CO</v>
      </c>
      <c r="B199" s="15" t="str">
        <f t="shared" si="8"/>
        <v>CO</v>
      </c>
      <c r="C199" s="15" t="s">
        <v>72</v>
      </c>
      <c r="D199" s="15" t="s">
        <v>242</v>
      </c>
      <c r="E199" s="15" t="str">
        <f t="shared" si="9"/>
        <v>Xcel-CO</v>
      </c>
      <c r="F199" s="15" t="s">
        <v>917</v>
      </c>
      <c r="G199" s="15">
        <v>1</v>
      </c>
      <c r="H199" s="116" t="s">
        <v>146</v>
      </c>
      <c r="I199" s="15" t="s">
        <v>116</v>
      </c>
      <c r="J199" s="15">
        <v>70128528</v>
      </c>
    </row>
    <row r="200" spans="1:10" x14ac:dyDescent="0.2">
      <c r="A200" s="15" t="str">
        <f>_xlfn.XLOOKUP(E200,Program_data!$E$3:$E$1234,Program_data!$E$3:$E$1234,"",0,1)</f>
        <v>Xcel-CO</v>
      </c>
      <c r="B200" s="15" t="str">
        <f t="shared" si="8"/>
        <v>CO</v>
      </c>
      <c r="C200" s="15" t="s">
        <v>72</v>
      </c>
      <c r="D200" s="15" t="s">
        <v>242</v>
      </c>
      <c r="E200" s="15" t="str">
        <f t="shared" si="9"/>
        <v>Xcel-CO</v>
      </c>
      <c r="F200" s="15" t="s">
        <v>918</v>
      </c>
      <c r="G200" s="15">
        <v>1</v>
      </c>
      <c r="H200" s="116" t="s">
        <v>146</v>
      </c>
      <c r="I200" s="15" t="s">
        <v>117</v>
      </c>
      <c r="J200" s="15">
        <v>49224655</v>
      </c>
    </row>
    <row r="201" spans="1:10" x14ac:dyDescent="0.2">
      <c r="A201" s="15" t="str">
        <f>_xlfn.XLOOKUP(E201,Program_data!$E$3:$E$1234,Program_data!$E$3:$E$1234,"",0,1)</f>
        <v>Xcel-CO</v>
      </c>
      <c r="B201" s="15" t="str">
        <f t="shared" si="8"/>
        <v>CO</v>
      </c>
      <c r="C201" s="15" t="s">
        <v>72</v>
      </c>
      <c r="D201" s="15" t="s">
        <v>242</v>
      </c>
      <c r="E201" s="15" t="str">
        <f t="shared" si="9"/>
        <v>Xcel-CO</v>
      </c>
      <c r="F201" s="15" t="s">
        <v>916</v>
      </c>
      <c r="G201" s="15">
        <v>1</v>
      </c>
      <c r="H201" s="116" t="s">
        <v>146</v>
      </c>
      <c r="I201" s="15" t="s">
        <v>118</v>
      </c>
      <c r="J201" s="15">
        <v>8097</v>
      </c>
    </row>
    <row r="202" spans="1:10" x14ac:dyDescent="0.2">
      <c r="A202" s="15" t="str">
        <f>_xlfn.XLOOKUP(E202,Program_data!$E$3:$E$1234,Program_data!$E$3:$E$1234,"",0,1)</f>
        <v>PSEG-NJ</v>
      </c>
      <c r="B202" s="15" t="s">
        <v>37</v>
      </c>
      <c r="C202" s="15" t="s">
        <v>939</v>
      </c>
      <c r="D202" s="15" t="s">
        <v>460</v>
      </c>
      <c r="E202" s="15" t="str">
        <f t="shared" si="9"/>
        <v>PSEG-NJ</v>
      </c>
      <c r="F202" s="15" t="s">
        <v>924</v>
      </c>
      <c r="G202" s="15">
        <v>1</v>
      </c>
      <c r="H202" s="116" t="s">
        <v>135</v>
      </c>
      <c r="I202" s="15" t="s">
        <v>117</v>
      </c>
      <c r="J202" s="15">
        <v>3572433</v>
      </c>
    </row>
    <row r="203" spans="1:10" x14ac:dyDescent="0.2">
      <c r="A203" s="15" t="str">
        <f>_xlfn.XLOOKUP(E203,Program_data!$E$3:$E$1234,Program_data!$E$3:$E$1234,"",0,1)</f>
        <v>PSEG-NJ</v>
      </c>
      <c r="B203" s="15" t="s">
        <v>37</v>
      </c>
      <c r="C203" s="15" t="s">
        <v>939</v>
      </c>
      <c r="D203" s="15" t="s">
        <v>460</v>
      </c>
      <c r="E203" s="15" t="str">
        <f t="shared" si="9"/>
        <v>PSEG-NJ</v>
      </c>
      <c r="F203" s="15" t="s">
        <v>925</v>
      </c>
      <c r="G203" s="15">
        <v>1</v>
      </c>
      <c r="H203" s="116" t="s">
        <v>135</v>
      </c>
      <c r="I203" s="15" t="s">
        <v>118</v>
      </c>
      <c r="J203" s="15">
        <v>48137</v>
      </c>
    </row>
    <row r="204" spans="1:10" x14ac:dyDescent="0.2">
      <c r="A204" s="15" t="str">
        <f>_xlfn.XLOOKUP(E204,Program_data!$E$3:$E$1234,Program_data!$E$3:$E$1234,"",0,1)</f>
        <v>PSEG-NJ</v>
      </c>
      <c r="B204" s="15" t="s">
        <v>37</v>
      </c>
      <c r="C204" s="15" t="s">
        <v>939</v>
      </c>
      <c r="D204" s="15" t="s">
        <v>460</v>
      </c>
      <c r="E204" s="15" t="str">
        <f t="shared" si="9"/>
        <v>PSEG-NJ</v>
      </c>
      <c r="F204" s="15" t="s">
        <v>923</v>
      </c>
      <c r="G204" s="15">
        <v>1</v>
      </c>
      <c r="H204" s="116" t="s">
        <v>135</v>
      </c>
      <c r="I204" s="15" t="s">
        <v>116</v>
      </c>
      <c r="J204" s="15">
        <v>19459915</v>
      </c>
    </row>
    <row r="205" spans="1:10" x14ac:dyDescent="0.2">
      <c r="A205" s="15" t="str">
        <f>_xlfn.XLOOKUP(E205,Program_data!$E$3:$E$1234,Program_data!$E$3:$E$1234,"",0,1)</f>
        <v>PSEG-NJ</v>
      </c>
      <c r="B205" s="15" t="s">
        <v>37</v>
      </c>
      <c r="C205" s="15" t="s">
        <v>939</v>
      </c>
      <c r="D205" s="15" t="s">
        <v>460</v>
      </c>
      <c r="E205" s="15" t="str">
        <f t="shared" si="9"/>
        <v>PSEG-NJ</v>
      </c>
      <c r="F205" s="15" t="s">
        <v>913</v>
      </c>
      <c r="G205" s="15">
        <v>1</v>
      </c>
      <c r="H205" s="116" t="s">
        <v>146</v>
      </c>
      <c r="I205" s="15" t="s">
        <v>116</v>
      </c>
      <c r="J205" s="15">
        <v>175364134</v>
      </c>
    </row>
    <row r="206" spans="1:10" x14ac:dyDescent="0.2">
      <c r="A206" s="15" t="str">
        <f>_xlfn.XLOOKUP(E206,Program_data!$E$3:$E$1234,Program_data!$E$3:$E$1234,"",0,1)</f>
        <v>PSEG-NJ</v>
      </c>
      <c r="B206" s="15" t="s">
        <v>37</v>
      </c>
      <c r="C206" s="15" t="s">
        <v>939</v>
      </c>
      <c r="D206" s="15" t="s">
        <v>460</v>
      </c>
      <c r="E206" s="15" t="str">
        <f t="shared" si="9"/>
        <v>PSEG-NJ</v>
      </c>
      <c r="F206" s="15" t="s">
        <v>914</v>
      </c>
      <c r="G206" s="15">
        <v>1</v>
      </c>
      <c r="H206" s="116" t="s">
        <v>146</v>
      </c>
      <c r="I206" s="15" t="s">
        <v>117</v>
      </c>
      <c r="J206" s="15">
        <v>62015714</v>
      </c>
    </row>
    <row r="207" spans="1:10" x14ac:dyDescent="0.2">
      <c r="A207" s="15" t="str">
        <f>_xlfn.XLOOKUP(E207,Program_data!$E$3:$E$1234,Program_data!$E$3:$E$1234,"",0,1)</f>
        <v>PSEG-NJ</v>
      </c>
      <c r="B207" s="15" t="s">
        <v>37</v>
      </c>
      <c r="C207" s="15" t="s">
        <v>939</v>
      </c>
      <c r="D207" s="15" t="s">
        <v>460</v>
      </c>
      <c r="E207" s="15" t="str">
        <f t="shared" si="9"/>
        <v>PSEG-NJ</v>
      </c>
      <c r="F207" s="15" t="s">
        <v>915</v>
      </c>
      <c r="G207" s="15">
        <v>1</v>
      </c>
      <c r="H207" s="116" t="s">
        <v>146</v>
      </c>
      <c r="I207" s="15" t="s">
        <v>118</v>
      </c>
      <c r="J207" s="15">
        <v>26248</v>
      </c>
    </row>
    <row r="208" spans="1:10" x14ac:dyDescent="0.2">
      <c r="A208" s="15" t="str">
        <f>_xlfn.XLOOKUP(E208,Program_data!$E$3:$E$1234,Program_data!$E$3:$E$1234,"",0,1)</f>
        <v>PSEG-NJ</v>
      </c>
      <c r="B208" s="15" t="s">
        <v>37</v>
      </c>
      <c r="C208" s="15" t="s">
        <v>939</v>
      </c>
      <c r="D208" s="15" t="s">
        <v>460</v>
      </c>
      <c r="E208" s="15" t="str">
        <f t="shared" si="9"/>
        <v>PSEG-NJ</v>
      </c>
      <c r="F208" s="15" t="s">
        <v>916</v>
      </c>
      <c r="G208" s="15">
        <v>1</v>
      </c>
      <c r="H208" s="116" t="s">
        <v>146</v>
      </c>
      <c r="I208" s="15" t="s">
        <v>118</v>
      </c>
      <c r="J208" s="15">
        <v>1093</v>
      </c>
    </row>
    <row r="209" spans="1:10" x14ac:dyDescent="0.2">
      <c r="A209" s="15" t="str">
        <f>_xlfn.XLOOKUP(E209,Program_data!$E$3:$E$1234,Program_data!$E$3:$E$1234,"",0,1)</f>
        <v>PSEG-NJ</v>
      </c>
      <c r="B209" s="15" t="s">
        <v>37</v>
      </c>
      <c r="C209" s="15" t="s">
        <v>939</v>
      </c>
      <c r="D209" s="15" t="s">
        <v>460</v>
      </c>
      <c r="E209" s="15" t="str">
        <f t="shared" si="9"/>
        <v>PSEG-NJ</v>
      </c>
      <c r="F209" s="15" t="s">
        <v>918</v>
      </c>
      <c r="G209" s="15">
        <v>1</v>
      </c>
      <c r="H209" s="116" t="s">
        <v>146</v>
      </c>
      <c r="I209" s="15" t="s">
        <v>117</v>
      </c>
      <c r="J209" s="15">
        <v>15719084</v>
      </c>
    </row>
    <row r="210" spans="1:10" x14ac:dyDescent="0.2">
      <c r="A210" s="15" t="str">
        <f>_xlfn.XLOOKUP(E210,Program_data!$E$3:$E$1234,Program_data!$E$3:$E$1234,"",0,1)</f>
        <v>PSEG-NJ</v>
      </c>
      <c r="B210" s="15" t="s">
        <v>37</v>
      </c>
      <c r="C210" s="15" t="s">
        <v>939</v>
      </c>
      <c r="D210" s="15" t="s">
        <v>460</v>
      </c>
      <c r="E210" s="15" t="str">
        <f t="shared" si="9"/>
        <v>PSEG-NJ</v>
      </c>
      <c r="F210" s="15" t="s">
        <v>917</v>
      </c>
      <c r="G210" s="15">
        <v>1</v>
      </c>
      <c r="H210" s="116" t="s">
        <v>146</v>
      </c>
      <c r="I210" s="15" t="s">
        <v>116</v>
      </c>
      <c r="J210" s="15">
        <v>27128209</v>
      </c>
    </row>
    <row r="211" spans="1:10" x14ac:dyDescent="0.2">
      <c r="A211" s="15" t="str">
        <f>_xlfn.XLOOKUP(E211,Program_data!$E$3:$E$1234,Program_data!$E$3:$E$1234,"",0,1)</f>
        <v>PSE-WA</v>
      </c>
      <c r="B211" s="15" t="str">
        <f t="shared" si="8"/>
        <v>WA</v>
      </c>
      <c r="C211" s="15" t="s">
        <v>940</v>
      </c>
      <c r="D211" s="15" t="s">
        <v>424</v>
      </c>
      <c r="E211" s="15" t="str">
        <f t="shared" si="9"/>
        <v>PSE-WA</v>
      </c>
      <c r="F211" s="15" t="s">
        <v>914</v>
      </c>
      <c r="G211" s="15">
        <v>1</v>
      </c>
      <c r="H211" s="116" t="s">
        <v>146</v>
      </c>
      <c r="I211" s="15" t="s">
        <v>117</v>
      </c>
      <c r="J211" s="15">
        <v>5118500</v>
      </c>
    </row>
    <row r="212" spans="1:10" x14ac:dyDescent="0.2">
      <c r="A212" s="15" t="str">
        <f>_xlfn.XLOOKUP(E212,Program_data!$E$3:$E$1234,Program_data!$E$3:$E$1234,"",0,1)</f>
        <v>PSE-WA</v>
      </c>
      <c r="B212" s="15" t="str">
        <f t="shared" si="8"/>
        <v>WA</v>
      </c>
      <c r="C212" s="15" t="s">
        <v>940</v>
      </c>
      <c r="D212" s="15" t="s">
        <v>424</v>
      </c>
      <c r="E212" s="15" t="str">
        <f t="shared" si="9"/>
        <v>PSE-WA</v>
      </c>
      <c r="F212" s="15" t="s">
        <v>915</v>
      </c>
      <c r="G212" s="15">
        <v>1</v>
      </c>
      <c r="H212" s="116" t="s">
        <v>146</v>
      </c>
      <c r="I212" s="15" t="s">
        <v>118</v>
      </c>
      <c r="J212" s="15">
        <v>111</v>
      </c>
    </row>
    <row r="213" spans="1:10" x14ac:dyDescent="0.2">
      <c r="A213" s="15" t="str">
        <f>_xlfn.XLOOKUP(E213,Program_data!$E$3:$E$1234,Program_data!$E$3:$E$1234,"",0,1)</f>
        <v>PSE-WA</v>
      </c>
      <c r="B213" s="15" t="str">
        <f t="shared" si="8"/>
        <v>WA</v>
      </c>
      <c r="C213" s="15" t="s">
        <v>940</v>
      </c>
      <c r="D213" s="15" t="s">
        <v>424</v>
      </c>
      <c r="E213" s="15" t="str">
        <f t="shared" si="9"/>
        <v>PSE-WA</v>
      </c>
      <c r="F213" s="15" t="s">
        <v>913</v>
      </c>
      <c r="G213" s="15">
        <v>1</v>
      </c>
      <c r="H213" s="116" t="s">
        <v>146</v>
      </c>
      <c r="I213" s="15" t="s">
        <v>116</v>
      </c>
      <c r="J213" s="15">
        <v>6875000</v>
      </c>
    </row>
    <row r="214" spans="1:10" x14ac:dyDescent="0.2">
      <c r="A214" s="15" t="str">
        <f>_xlfn.XLOOKUP(E214,Program_data!$E$3:$E$1234,Program_data!$E$3:$E$1234,"",0,1)</f>
        <v>PSE-WA</v>
      </c>
      <c r="B214" s="15" t="str">
        <f t="shared" si="8"/>
        <v>WA</v>
      </c>
      <c r="C214" s="15" t="s">
        <v>940</v>
      </c>
      <c r="D214" s="15" t="s">
        <v>424</v>
      </c>
      <c r="E214" s="15" t="str">
        <f t="shared" si="9"/>
        <v>PSE-WA</v>
      </c>
      <c r="F214" s="15" t="s">
        <v>917</v>
      </c>
      <c r="G214" s="15">
        <v>1</v>
      </c>
      <c r="H214" s="116" t="s">
        <v>146</v>
      </c>
      <c r="I214" s="15" t="s">
        <v>116</v>
      </c>
      <c r="J214" s="15">
        <v>13229000</v>
      </c>
    </row>
    <row r="215" spans="1:10" x14ac:dyDescent="0.2">
      <c r="A215" s="15" t="str">
        <f>_xlfn.XLOOKUP(E215,Program_data!$E$3:$E$1234,Program_data!$E$3:$E$1234,"",0,1)</f>
        <v>PSE-WA</v>
      </c>
      <c r="B215" s="15" t="str">
        <f t="shared" si="8"/>
        <v>WA</v>
      </c>
      <c r="C215" s="15" t="s">
        <v>940</v>
      </c>
      <c r="D215" s="15" t="s">
        <v>424</v>
      </c>
      <c r="E215" s="15" t="str">
        <f t="shared" si="9"/>
        <v>PSE-WA</v>
      </c>
      <c r="F215" s="15" t="s">
        <v>916</v>
      </c>
      <c r="G215" s="15">
        <v>1</v>
      </c>
      <c r="H215" s="116" t="s">
        <v>146</v>
      </c>
      <c r="I215" s="15" t="s">
        <v>118</v>
      </c>
      <c r="J215" s="15">
        <v>109</v>
      </c>
    </row>
    <row r="216" spans="1:10" x14ac:dyDescent="0.2">
      <c r="A216" s="15" t="str">
        <f>_xlfn.XLOOKUP(E216,Program_data!$E$3:$E$1234,Program_data!$E$3:$E$1234,"",0,1)</f>
        <v>PSE-WA</v>
      </c>
      <c r="B216" s="15" t="str">
        <f t="shared" si="8"/>
        <v>WA</v>
      </c>
      <c r="C216" s="15" t="s">
        <v>940</v>
      </c>
      <c r="D216" s="15" t="s">
        <v>424</v>
      </c>
      <c r="E216" s="15" t="str">
        <f t="shared" si="9"/>
        <v>PSE-WA</v>
      </c>
      <c r="F216" s="15" t="s">
        <v>918</v>
      </c>
      <c r="G216" s="15">
        <v>1</v>
      </c>
      <c r="H216" s="116" t="s">
        <v>146</v>
      </c>
      <c r="I216" s="15" t="s">
        <v>117</v>
      </c>
      <c r="J216" s="15">
        <v>16862000</v>
      </c>
    </row>
    <row r="217" spans="1:10" x14ac:dyDescent="0.2">
      <c r="A217" s="15" t="str">
        <f>_xlfn.XLOOKUP(E217,Program_data!$E$3:$E$1234,Program_data!$E$3:$E$1234,"",0,1)</f>
        <v>QUESTAR-UT</v>
      </c>
      <c r="B217" s="15" t="str">
        <f t="shared" si="8"/>
        <v>UT</v>
      </c>
      <c r="C217" s="15" t="s">
        <v>98</v>
      </c>
      <c r="D217" s="15" t="s">
        <v>448</v>
      </c>
      <c r="E217" s="15" t="str">
        <f t="shared" si="9"/>
        <v>QUESTAR-UT</v>
      </c>
      <c r="F217" s="15" t="s">
        <v>914</v>
      </c>
      <c r="G217" s="15">
        <v>1</v>
      </c>
      <c r="H217" s="116" t="s">
        <v>146</v>
      </c>
      <c r="I217" s="15" t="s">
        <v>117</v>
      </c>
      <c r="J217" s="15">
        <v>15705288</v>
      </c>
    </row>
    <row r="218" spans="1:10" x14ac:dyDescent="0.2">
      <c r="A218" s="15" t="str">
        <f>_xlfn.XLOOKUP(E218,Program_data!$E$3:$E$1234,Program_data!$E$3:$E$1234,"",0,1)</f>
        <v>QUESTAR-UT</v>
      </c>
      <c r="B218" s="15" t="str">
        <f t="shared" si="8"/>
        <v>UT</v>
      </c>
      <c r="C218" s="15" t="s">
        <v>98</v>
      </c>
      <c r="D218" s="15" t="s">
        <v>448</v>
      </c>
      <c r="E218" s="15" t="str">
        <f t="shared" si="9"/>
        <v>QUESTAR-UT</v>
      </c>
      <c r="F218" s="15" t="s">
        <v>915</v>
      </c>
      <c r="G218" s="15">
        <v>1</v>
      </c>
      <c r="H218" s="116" t="s">
        <v>146</v>
      </c>
      <c r="I218" s="15" t="s">
        <v>118</v>
      </c>
      <c r="J218" s="15">
        <v>804</v>
      </c>
    </row>
    <row r="219" spans="1:10" x14ac:dyDescent="0.2">
      <c r="A219" s="15" t="str">
        <f>_xlfn.XLOOKUP(E219,Program_data!$E$3:$E$1234,Program_data!$E$3:$E$1234,"",0,1)</f>
        <v>QUESTAR-UT</v>
      </c>
      <c r="B219" s="15" t="str">
        <f t="shared" si="8"/>
        <v>UT</v>
      </c>
      <c r="C219" s="15" t="s">
        <v>98</v>
      </c>
      <c r="D219" s="15" t="s">
        <v>448</v>
      </c>
      <c r="E219" s="15" t="str">
        <f t="shared" si="9"/>
        <v>QUESTAR-UT</v>
      </c>
      <c r="F219" s="15" t="s">
        <v>913</v>
      </c>
      <c r="G219" s="15">
        <v>1</v>
      </c>
      <c r="H219" s="116" t="s">
        <v>146</v>
      </c>
      <c r="I219" s="15" t="s">
        <v>116</v>
      </c>
      <c r="J219" s="15">
        <v>18339599</v>
      </c>
    </row>
    <row r="220" spans="1:10" x14ac:dyDescent="0.2">
      <c r="A220" s="15" t="str">
        <f>_xlfn.XLOOKUP(E220,Program_data!$E$3:$E$1234,Program_data!$E$3:$E$1234,"",0,1)</f>
        <v>QUESTAR-UT</v>
      </c>
      <c r="B220" s="15" t="str">
        <f t="shared" si="8"/>
        <v>UT</v>
      </c>
      <c r="C220" s="15" t="s">
        <v>98</v>
      </c>
      <c r="D220" s="15" t="s">
        <v>448</v>
      </c>
      <c r="E220" s="15" t="str">
        <f t="shared" si="9"/>
        <v>QUESTAR-UT</v>
      </c>
      <c r="F220" s="15" t="s">
        <v>917</v>
      </c>
      <c r="G220" s="15">
        <v>1</v>
      </c>
      <c r="H220" s="116" t="s">
        <v>146</v>
      </c>
      <c r="I220" s="15" t="s">
        <v>116</v>
      </c>
      <c r="J220" s="15">
        <v>19022956</v>
      </c>
    </row>
    <row r="221" spans="1:10" x14ac:dyDescent="0.2">
      <c r="A221" s="15" t="str">
        <f>_xlfn.XLOOKUP(E221,Program_data!$E$3:$E$1234,Program_data!$E$3:$E$1234,"",0,1)</f>
        <v>QUESTAR-UT</v>
      </c>
      <c r="B221" s="15" t="str">
        <f t="shared" si="8"/>
        <v>UT</v>
      </c>
      <c r="C221" s="15" t="s">
        <v>98</v>
      </c>
      <c r="D221" s="15" t="s">
        <v>448</v>
      </c>
      <c r="E221" s="15" t="str">
        <f t="shared" si="9"/>
        <v>QUESTAR-UT</v>
      </c>
      <c r="F221" s="15" t="s">
        <v>918</v>
      </c>
      <c r="G221" s="15">
        <v>1</v>
      </c>
      <c r="H221" s="116" t="s">
        <v>146</v>
      </c>
      <c r="I221" s="15" t="s">
        <v>117</v>
      </c>
      <c r="J221" s="15">
        <v>34520582</v>
      </c>
    </row>
    <row r="222" spans="1:10" x14ac:dyDescent="0.2">
      <c r="A222" s="15" t="str">
        <f>_xlfn.XLOOKUP(E222,Program_data!$E$3:$E$1234,Program_data!$E$3:$E$1234,"",0,1)</f>
        <v>QUESTAR-UT</v>
      </c>
      <c r="B222" s="15" t="str">
        <f t="shared" si="8"/>
        <v>UT</v>
      </c>
      <c r="C222" s="15" t="s">
        <v>98</v>
      </c>
      <c r="D222" s="15" t="s">
        <v>448</v>
      </c>
      <c r="E222" s="15" t="str">
        <f t="shared" si="9"/>
        <v>QUESTAR-UT</v>
      </c>
      <c r="F222" s="15" t="s">
        <v>916</v>
      </c>
      <c r="G222" s="15">
        <v>1</v>
      </c>
      <c r="H222" s="116" t="s">
        <v>146</v>
      </c>
      <c r="I222" s="15" t="s">
        <v>118</v>
      </c>
      <c r="J222" s="15">
        <v>309</v>
      </c>
    </row>
    <row r="223" spans="1:10" x14ac:dyDescent="0.2">
      <c r="A223" s="15" t="str">
        <f>_xlfn.XLOOKUP(E223,Program_data!$E$3:$E$1234,Program_data!$E$3:$E$1234,"",0,1)</f>
        <v/>
      </c>
      <c r="B223" s="15" t="str">
        <f t="shared" si="8"/>
        <v>CA</v>
      </c>
      <c r="C223" s="15" t="s">
        <v>937</v>
      </c>
      <c r="D223" s="15" t="s">
        <v>941</v>
      </c>
      <c r="E223" s="15" t="str">
        <f t="shared" si="9"/>
        <v>SDG&amp;E-CA</v>
      </c>
      <c r="F223" s="15" t="s">
        <v>923</v>
      </c>
      <c r="G223" s="15">
        <v>1</v>
      </c>
      <c r="H223" s="116" t="s">
        <v>135</v>
      </c>
      <c r="I223" s="15" t="s">
        <v>116</v>
      </c>
      <c r="J223" s="15">
        <v>2133518</v>
      </c>
    </row>
    <row r="224" spans="1:10" x14ac:dyDescent="0.2">
      <c r="A224" s="15" t="str">
        <f>_xlfn.XLOOKUP(E224,Program_data!$E$3:$E$1234,Program_data!$E$3:$E$1234,"",0,1)</f>
        <v/>
      </c>
      <c r="B224" s="15" t="str">
        <f t="shared" si="8"/>
        <v>CA</v>
      </c>
      <c r="C224" s="15" t="s">
        <v>937</v>
      </c>
      <c r="D224" s="15" t="s">
        <v>941</v>
      </c>
      <c r="E224" s="15" t="str">
        <f t="shared" si="9"/>
        <v>SDG&amp;E-CA</v>
      </c>
      <c r="F224" s="15" t="s">
        <v>924</v>
      </c>
      <c r="G224" s="15">
        <v>1</v>
      </c>
      <c r="H224" s="116" t="s">
        <v>135</v>
      </c>
      <c r="I224" s="15" t="s">
        <v>117</v>
      </c>
      <c r="J224" s="15">
        <v>141512</v>
      </c>
    </row>
    <row r="225" spans="1:10" x14ac:dyDescent="0.2">
      <c r="A225" s="15" t="str">
        <f>_xlfn.XLOOKUP(E225,Program_data!$E$3:$E$1234,Program_data!$E$3:$E$1234,"",0,1)</f>
        <v/>
      </c>
      <c r="B225" s="15" t="str">
        <f t="shared" si="8"/>
        <v>CA</v>
      </c>
      <c r="C225" s="15" t="s">
        <v>937</v>
      </c>
      <c r="D225" s="15" t="s">
        <v>941</v>
      </c>
      <c r="E225" s="15" t="str">
        <f t="shared" si="9"/>
        <v>SDG&amp;E-CA</v>
      </c>
      <c r="F225" s="15" t="s">
        <v>925</v>
      </c>
      <c r="G225" s="15">
        <v>1</v>
      </c>
      <c r="H225" s="116" t="s">
        <v>135</v>
      </c>
      <c r="I225" s="15" t="s">
        <v>118</v>
      </c>
      <c r="J225" s="15">
        <v>1250</v>
      </c>
    </row>
    <row r="226" spans="1:10" x14ac:dyDescent="0.2">
      <c r="A226" s="15" t="str">
        <f>_xlfn.XLOOKUP(E226,Program_data!$E$3:$E$1234,Program_data!$E$3:$E$1234,"",0,1)</f>
        <v/>
      </c>
      <c r="B226" s="15" t="str">
        <f t="shared" si="8"/>
        <v>CA</v>
      </c>
      <c r="C226" s="15" t="s">
        <v>937</v>
      </c>
      <c r="D226" s="15" t="s">
        <v>941</v>
      </c>
      <c r="E226" s="15" t="str">
        <f t="shared" si="9"/>
        <v>SDG&amp;E-CA</v>
      </c>
      <c r="F226" s="15" t="s">
        <v>915</v>
      </c>
      <c r="G226" s="15">
        <v>1</v>
      </c>
      <c r="H226" s="116" t="s">
        <v>146</v>
      </c>
      <c r="I226" s="15" t="s">
        <v>118</v>
      </c>
      <c r="J226" s="15">
        <v>1312</v>
      </c>
    </row>
    <row r="227" spans="1:10" x14ac:dyDescent="0.2">
      <c r="A227" s="15" t="str">
        <f>_xlfn.XLOOKUP(E227,Program_data!$E$3:$E$1234,Program_data!$E$3:$E$1234,"",0,1)</f>
        <v/>
      </c>
      <c r="B227" s="15" t="str">
        <f t="shared" si="8"/>
        <v>CA</v>
      </c>
      <c r="C227" s="15" t="s">
        <v>937</v>
      </c>
      <c r="D227" s="15" t="s">
        <v>941</v>
      </c>
      <c r="E227" s="15" t="str">
        <f t="shared" si="9"/>
        <v>SDG&amp;E-CA</v>
      </c>
      <c r="F227" s="15" t="s">
        <v>914</v>
      </c>
      <c r="G227" s="15">
        <v>1</v>
      </c>
      <c r="H227" s="116" t="s">
        <v>146</v>
      </c>
      <c r="I227" s="15" t="s">
        <v>117</v>
      </c>
      <c r="J227" s="15">
        <v>4192525</v>
      </c>
    </row>
    <row r="228" spans="1:10" x14ac:dyDescent="0.2">
      <c r="A228" s="15" t="str">
        <f>_xlfn.XLOOKUP(E228,Program_data!$E$3:$E$1234,Program_data!$E$3:$E$1234,"",0,1)</f>
        <v/>
      </c>
      <c r="B228" s="15" t="str">
        <f t="shared" si="8"/>
        <v>CA</v>
      </c>
      <c r="C228" s="15" t="s">
        <v>937</v>
      </c>
      <c r="D228" s="15" t="s">
        <v>941</v>
      </c>
      <c r="E228" s="15" t="str">
        <f t="shared" si="9"/>
        <v>SDG&amp;E-CA</v>
      </c>
      <c r="F228" s="15" t="s">
        <v>913</v>
      </c>
      <c r="G228" s="15">
        <v>1</v>
      </c>
      <c r="H228" s="116" t="s">
        <v>146</v>
      </c>
      <c r="I228" s="15" t="s">
        <v>116</v>
      </c>
      <c r="J228" s="15">
        <v>18409348</v>
      </c>
    </row>
    <row r="229" spans="1:10" x14ac:dyDescent="0.2">
      <c r="A229" s="15" t="str">
        <f>_xlfn.XLOOKUP(E229,Program_data!$E$3:$E$1234,Program_data!$E$3:$E$1234,"",0,1)</f>
        <v/>
      </c>
      <c r="B229" s="15" t="str">
        <f t="shared" si="8"/>
        <v>CA</v>
      </c>
      <c r="C229" s="15" t="s">
        <v>937</v>
      </c>
      <c r="D229" s="15" t="s">
        <v>941</v>
      </c>
      <c r="E229" s="15" t="str">
        <f t="shared" si="9"/>
        <v>SDG&amp;E-CA</v>
      </c>
      <c r="F229" s="15" t="s">
        <v>917</v>
      </c>
      <c r="G229" s="15">
        <v>1</v>
      </c>
      <c r="H229" s="116" t="s">
        <v>146</v>
      </c>
      <c r="I229" s="15" t="s">
        <v>116</v>
      </c>
      <c r="J229" s="15">
        <v>17245036</v>
      </c>
    </row>
    <row r="230" spans="1:10" x14ac:dyDescent="0.2">
      <c r="A230" s="15" t="str">
        <f>_xlfn.XLOOKUP(E230,Program_data!$E$3:$E$1234,Program_data!$E$3:$E$1234,"",0,1)</f>
        <v/>
      </c>
      <c r="B230" s="15" t="str">
        <f t="shared" si="8"/>
        <v>CA</v>
      </c>
      <c r="C230" s="15" t="s">
        <v>937</v>
      </c>
      <c r="D230" s="15" t="s">
        <v>941</v>
      </c>
      <c r="E230" s="15" t="str">
        <f t="shared" si="9"/>
        <v>SDG&amp;E-CA</v>
      </c>
      <c r="F230" s="15" t="s">
        <v>916</v>
      </c>
      <c r="G230" s="15">
        <v>1</v>
      </c>
      <c r="H230" s="116" t="s">
        <v>146</v>
      </c>
      <c r="I230" s="15" t="s">
        <v>118</v>
      </c>
      <c r="J230" s="15">
        <v>131</v>
      </c>
    </row>
    <row r="231" spans="1:10" x14ac:dyDescent="0.2">
      <c r="A231" s="15" t="str">
        <f>_xlfn.XLOOKUP(E231,Program_data!$E$3:$E$1234,Program_data!$E$3:$E$1234,"",0,1)</f>
        <v/>
      </c>
      <c r="B231" s="15" t="str">
        <f t="shared" si="8"/>
        <v>CA</v>
      </c>
      <c r="C231" s="15" t="s">
        <v>937</v>
      </c>
      <c r="D231" s="15" t="s">
        <v>941</v>
      </c>
      <c r="E231" s="15" t="str">
        <f t="shared" si="9"/>
        <v>SDG&amp;E-CA</v>
      </c>
      <c r="F231" s="15" t="s">
        <v>918</v>
      </c>
      <c r="G231" s="15">
        <v>1</v>
      </c>
      <c r="H231" s="116" t="s">
        <v>146</v>
      </c>
      <c r="I231" s="15" t="s">
        <v>117</v>
      </c>
      <c r="J231" s="15">
        <v>11886610</v>
      </c>
    </row>
    <row r="232" spans="1:10" x14ac:dyDescent="0.2">
      <c r="A232" s="15" t="str">
        <f>_xlfn.XLOOKUP(E232,Program_data!$E$3:$E$1234,Program_data!$E$3:$E$1234,"",0,1)</f>
        <v/>
      </c>
      <c r="B232" s="15" t="str">
        <f t="shared" si="8"/>
        <v>CA</v>
      </c>
      <c r="C232" s="15" t="s">
        <v>937</v>
      </c>
      <c r="D232" s="15" t="s">
        <v>942</v>
      </c>
      <c r="E232" s="15" t="str">
        <f t="shared" si="9"/>
        <v>SCG-CA</v>
      </c>
      <c r="F232" s="15" t="s">
        <v>924</v>
      </c>
      <c r="G232" s="15">
        <v>1</v>
      </c>
      <c r="H232" s="116" t="s">
        <v>135</v>
      </c>
      <c r="I232" s="15" t="s">
        <v>117</v>
      </c>
      <c r="J232" s="117">
        <v>2394190</v>
      </c>
    </row>
    <row r="233" spans="1:10" x14ac:dyDescent="0.2">
      <c r="A233" s="15" t="str">
        <f>_xlfn.XLOOKUP(E233,Program_data!$E$3:$E$1234,Program_data!$E$3:$E$1234,"",0,1)</f>
        <v/>
      </c>
      <c r="B233" s="15" t="str">
        <f t="shared" si="8"/>
        <v>CA</v>
      </c>
      <c r="C233" s="15" t="s">
        <v>937</v>
      </c>
      <c r="D233" s="15" t="s">
        <v>942</v>
      </c>
      <c r="E233" s="15" t="str">
        <f t="shared" si="9"/>
        <v>SCG-CA</v>
      </c>
      <c r="F233" s="15" t="s">
        <v>923</v>
      </c>
      <c r="G233" s="15">
        <v>1</v>
      </c>
      <c r="H233" s="116" t="s">
        <v>135</v>
      </c>
      <c r="I233" s="15" t="s">
        <v>116</v>
      </c>
      <c r="J233" s="117">
        <v>21842925</v>
      </c>
    </row>
    <row r="234" spans="1:10" x14ac:dyDescent="0.2">
      <c r="A234" s="15" t="str">
        <f>_xlfn.XLOOKUP(E234,Program_data!$E$3:$E$1234,Program_data!$E$3:$E$1234,"",0,1)</f>
        <v/>
      </c>
      <c r="B234" s="15" t="str">
        <f t="shared" ref="B234:B273" si="10">UPPER(LEFT(C234,2))</f>
        <v>CA</v>
      </c>
      <c r="C234" s="15" t="s">
        <v>937</v>
      </c>
      <c r="D234" s="15" t="s">
        <v>942</v>
      </c>
      <c r="E234" s="15" t="str">
        <f t="shared" ref="E234:E264" si="11">D234&amp;"-"&amp;B234</f>
        <v>SCG-CA</v>
      </c>
      <c r="F234" s="15" t="s">
        <v>925</v>
      </c>
      <c r="G234" s="15">
        <v>1</v>
      </c>
      <c r="H234" s="116" t="s">
        <v>135</v>
      </c>
      <c r="I234" s="15" t="s">
        <v>118</v>
      </c>
      <c r="J234" s="117">
        <v>44751</v>
      </c>
    </row>
    <row r="235" spans="1:10" x14ac:dyDescent="0.2">
      <c r="A235" s="15" t="str">
        <f>_xlfn.XLOOKUP(E235,Program_data!$E$3:$E$1234,Program_data!$E$3:$E$1234,"",0,1)</f>
        <v/>
      </c>
      <c r="B235" s="15" t="str">
        <f t="shared" si="10"/>
        <v>CA</v>
      </c>
      <c r="C235" s="15" t="s">
        <v>937</v>
      </c>
      <c r="D235" s="15" t="s">
        <v>942</v>
      </c>
      <c r="E235" s="15" t="str">
        <f t="shared" si="11"/>
        <v>SCG-CA</v>
      </c>
      <c r="F235" s="15" t="s">
        <v>914</v>
      </c>
      <c r="G235" s="15">
        <v>1</v>
      </c>
      <c r="H235" s="116" t="s">
        <v>146</v>
      </c>
      <c r="I235" s="15" t="s">
        <v>117</v>
      </c>
      <c r="J235" s="117">
        <v>28129350</v>
      </c>
    </row>
    <row r="236" spans="1:10" x14ac:dyDescent="0.2">
      <c r="A236" s="15" t="str">
        <f>_xlfn.XLOOKUP(E236,Program_data!$E$3:$E$1234,Program_data!$E$3:$E$1234,"",0,1)</f>
        <v/>
      </c>
      <c r="B236" s="15" t="str">
        <f t="shared" si="10"/>
        <v>CA</v>
      </c>
      <c r="C236" s="15" t="s">
        <v>937</v>
      </c>
      <c r="D236" s="15" t="s">
        <v>942</v>
      </c>
      <c r="E236" s="15" t="str">
        <f t="shared" si="11"/>
        <v>SCG-CA</v>
      </c>
      <c r="F236" s="15" t="s">
        <v>913</v>
      </c>
      <c r="G236" s="15">
        <v>1</v>
      </c>
      <c r="H236" s="116" t="s">
        <v>146</v>
      </c>
      <c r="I236" s="15" t="s">
        <v>116</v>
      </c>
      <c r="J236" s="117">
        <v>321549126</v>
      </c>
    </row>
    <row r="237" spans="1:10" x14ac:dyDescent="0.2">
      <c r="A237" s="15" t="str">
        <f>_xlfn.XLOOKUP(E237,Program_data!$E$3:$E$1234,Program_data!$E$3:$E$1234,"",0,1)</f>
        <v/>
      </c>
      <c r="B237" s="15" t="str">
        <f t="shared" si="10"/>
        <v>CA</v>
      </c>
      <c r="C237" s="15" t="s">
        <v>937</v>
      </c>
      <c r="D237" s="15" t="s">
        <v>942</v>
      </c>
      <c r="E237" s="15" t="str">
        <f t="shared" si="11"/>
        <v>SCG-CA</v>
      </c>
      <c r="F237" s="15" t="s">
        <v>915</v>
      </c>
      <c r="G237" s="15">
        <v>1</v>
      </c>
      <c r="H237" s="116" t="s">
        <v>146</v>
      </c>
      <c r="I237" s="15" t="s">
        <v>118</v>
      </c>
      <c r="J237" s="117">
        <v>8222</v>
      </c>
    </row>
    <row r="238" spans="1:10" x14ac:dyDescent="0.2">
      <c r="A238" s="15" t="str">
        <f>_xlfn.XLOOKUP(E238,Program_data!$E$3:$E$1234,Program_data!$E$3:$E$1234,"",0,1)</f>
        <v/>
      </c>
      <c r="B238" s="15" t="str">
        <f t="shared" si="10"/>
        <v>CA</v>
      </c>
      <c r="C238" s="15" t="s">
        <v>937</v>
      </c>
      <c r="D238" s="15" t="s">
        <v>942</v>
      </c>
      <c r="E238" s="15" t="str">
        <f t="shared" si="11"/>
        <v>SCG-CA</v>
      </c>
      <c r="F238" s="15" t="s">
        <v>916</v>
      </c>
      <c r="G238" s="15">
        <v>1</v>
      </c>
      <c r="H238" s="116" t="s">
        <v>146</v>
      </c>
      <c r="I238" s="15" t="s">
        <v>118</v>
      </c>
      <c r="J238" s="117">
        <v>860</v>
      </c>
    </row>
    <row r="239" spans="1:10" x14ac:dyDescent="0.2">
      <c r="A239" s="15" t="str">
        <f>_xlfn.XLOOKUP(E239,Program_data!$E$3:$E$1234,Program_data!$E$3:$E$1234,"",0,1)</f>
        <v/>
      </c>
      <c r="B239" s="15" t="str">
        <f t="shared" si="10"/>
        <v>CA</v>
      </c>
      <c r="C239" s="15" t="s">
        <v>937</v>
      </c>
      <c r="D239" s="15" t="s">
        <v>942</v>
      </c>
      <c r="E239" s="15" t="str">
        <f t="shared" si="11"/>
        <v>SCG-CA</v>
      </c>
      <c r="F239" s="15" t="s">
        <v>917</v>
      </c>
      <c r="G239" s="15">
        <v>1</v>
      </c>
      <c r="H239" s="116" t="s">
        <v>146</v>
      </c>
      <c r="I239" s="15" t="s">
        <v>116</v>
      </c>
      <c r="J239" s="117">
        <v>244741115</v>
      </c>
    </row>
    <row r="240" spans="1:10" x14ac:dyDescent="0.2">
      <c r="A240" s="15" t="str">
        <f>_xlfn.XLOOKUP(E240,Program_data!$E$3:$E$1234,Program_data!$E$3:$E$1234,"",0,1)</f>
        <v/>
      </c>
      <c r="B240" s="15" t="str">
        <f t="shared" si="10"/>
        <v>CA</v>
      </c>
      <c r="C240" s="15" t="s">
        <v>937</v>
      </c>
      <c r="D240" s="15" t="s">
        <v>942</v>
      </c>
      <c r="E240" s="15" t="str">
        <f t="shared" si="11"/>
        <v>SCG-CA</v>
      </c>
      <c r="F240" s="15" t="s">
        <v>918</v>
      </c>
      <c r="G240" s="15">
        <v>1</v>
      </c>
      <c r="H240" s="116" t="s">
        <v>146</v>
      </c>
      <c r="I240" s="15" t="s">
        <v>117</v>
      </c>
      <c r="J240" s="117">
        <v>240823491</v>
      </c>
    </row>
    <row r="241" spans="1:10" x14ac:dyDescent="0.2">
      <c r="A241" s="15" t="str">
        <f>_xlfn.XLOOKUP(E241,Program_data!$E$3:$E$1234,Program_data!$E$3:$E$1234,"",0,1)</f>
        <v>SoCTGas-CT</v>
      </c>
      <c r="B241" s="15" t="s">
        <v>17</v>
      </c>
      <c r="C241" s="15" t="s">
        <v>23</v>
      </c>
      <c r="D241" s="15" t="s">
        <v>309</v>
      </c>
      <c r="E241" s="15" t="str">
        <f t="shared" si="11"/>
        <v>SoCTGas-CT</v>
      </c>
      <c r="F241" s="15" t="s">
        <v>924</v>
      </c>
      <c r="G241" s="15">
        <v>1</v>
      </c>
      <c r="H241" s="116" t="s">
        <v>135</v>
      </c>
      <c r="I241" s="15" t="s">
        <v>117</v>
      </c>
      <c r="J241" s="15">
        <v>535819</v>
      </c>
    </row>
    <row r="242" spans="1:10" x14ac:dyDescent="0.2">
      <c r="A242" s="15" t="str">
        <f>_xlfn.XLOOKUP(E242,Program_data!$E$3:$E$1234,Program_data!$E$3:$E$1234,"",0,1)</f>
        <v>SoCTGas-CT</v>
      </c>
      <c r="B242" s="15" t="s">
        <v>17</v>
      </c>
      <c r="C242" s="15" t="s">
        <v>23</v>
      </c>
      <c r="D242" s="15" t="s">
        <v>309</v>
      </c>
      <c r="E242" s="15" t="str">
        <f t="shared" si="11"/>
        <v>SoCTGas-CT</v>
      </c>
      <c r="F242" s="15" t="s">
        <v>923</v>
      </c>
      <c r="G242" s="15">
        <v>1</v>
      </c>
      <c r="H242" s="116" t="s">
        <v>135</v>
      </c>
      <c r="I242" s="15" t="s">
        <v>116</v>
      </c>
      <c r="J242" s="15">
        <v>2065571</v>
      </c>
    </row>
    <row r="243" spans="1:10" x14ac:dyDescent="0.2">
      <c r="A243" s="15" t="str">
        <f>_xlfn.XLOOKUP(E243,Program_data!$E$3:$E$1234,Program_data!$E$3:$E$1234,"",0,1)</f>
        <v>SoCTGas-CT</v>
      </c>
      <c r="B243" s="15" t="s">
        <v>17</v>
      </c>
      <c r="C243" s="15" t="s">
        <v>23</v>
      </c>
      <c r="D243" s="15" t="s">
        <v>309</v>
      </c>
      <c r="E243" s="15" t="str">
        <f t="shared" si="11"/>
        <v>SoCTGas-CT</v>
      </c>
      <c r="F243" s="15" t="s">
        <v>925</v>
      </c>
      <c r="G243" s="15">
        <v>1</v>
      </c>
      <c r="H243" s="116" t="s">
        <v>135</v>
      </c>
      <c r="I243" s="15" t="s">
        <v>118</v>
      </c>
      <c r="J243" s="15">
        <v>349</v>
      </c>
    </row>
    <row r="244" spans="1:10" x14ac:dyDescent="0.2">
      <c r="A244" s="15" t="str">
        <f>_xlfn.XLOOKUP(E244,Program_data!$E$3:$E$1234,Program_data!$E$3:$E$1234,"",0,1)</f>
        <v>SoCTGas-CT</v>
      </c>
      <c r="B244" s="15" t="s">
        <v>17</v>
      </c>
      <c r="C244" s="15" t="s">
        <v>23</v>
      </c>
      <c r="D244" s="15" t="s">
        <v>309</v>
      </c>
      <c r="E244" s="15" t="str">
        <f t="shared" si="11"/>
        <v>SoCTGas-CT</v>
      </c>
      <c r="F244" s="15" t="s">
        <v>913</v>
      </c>
      <c r="G244" s="15">
        <v>1</v>
      </c>
      <c r="H244" s="116" t="s">
        <v>146</v>
      </c>
      <c r="I244" s="15" t="s">
        <v>116</v>
      </c>
      <c r="J244" s="15">
        <v>10332518</v>
      </c>
    </row>
    <row r="245" spans="1:10" x14ac:dyDescent="0.2">
      <c r="A245" s="15" t="str">
        <f>_xlfn.XLOOKUP(E245,Program_data!$E$3:$E$1234,Program_data!$E$3:$E$1234,"",0,1)</f>
        <v>SoCTGas-CT</v>
      </c>
      <c r="B245" s="15" t="s">
        <v>17</v>
      </c>
      <c r="C245" s="15" t="s">
        <v>23</v>
      </c>
      <c r="D245" s="15" t="s">
        <v>309</v>
      </c>
      <c r="E245" s="15" t="str">
        <f t="shared" si="11"/>
        <v>SoCTGas-CT</v>
      </c>
      <c r="F245" s="15" t="s">
        <v>914</v>
      </c>
      <c r="G245" s="15">
        <v>1</v>
      </c>
      <c r="H245" s="116" t="s">
        <v>146</v>
      </c>
      <c r="I245" s="15" t="s">
        <v>117</v>
      </c>
      <c r="J245" s="15">
        <v>3166759</v>
      </c>
    </row>
    <row r="246" spans="1:10" x14ac:dyDescent="0.2">
      <c r="A246" s="15" t="str">
        <f>_xlfn.XLOOKUP(E246,Program_data!$E$3:$E$1234,Program_data!$E$3:$E$1234,"",0,1)</f>
        <v>SoCTGas-CT</v>
      </c>
      <c r="B246" s="15" t="s">
        <v>17</v>
      </c>
      <c r="C246" s="15" t="s">
        <v>23</v>
      </c>
      <c r="D246" s="15" t="s">
        <v>309</v>
      </c>
      <c r="E246" s="15" t="str">
        <f t="shared" si="11"/>
        <v>SoCTGas-CT</v>
      </c>
      <c r="F246" s="15" t="s">
        <v>915</v>
      </c>
      <c r="G246" s="15">
        <v>1</v>
      </c>
      <c r="H246" s="116" t="s">
        <v>146</v>
      </c>
      <c r="I246" s="15" t="s">
        <v>118</v>
      </c>
      <c r="J246" s="15">
        <v>1006</v>
      </c>
    </row>
    <row r="247" spans="1:10" x14ac:dyDescent="0.2">
      <c r="A247" s="15" t="str">
        <f>_xlfn.XLOOKUP(E247,Program_data!$E$3:$E$1234,Program_data!$E$3:$E$1234,"",0,1)</f>
        <v>SoCTGas-CT</v>
      </c>
      <c r="B247" s="15" t="s">
        <v>17</v>
      </c>
      <c r="C247" s="15" t="s">
        <v>23</v>
      </c>
      <c r="D247" s="15" t="s">
        <v>309</v>
      </c>
      <c r="E247" s="15" t="str">
        <f t="shared" si="11"/>
        <v>SoCTGas-CT</v>
      </c>
      <c r="F247" s="15" t="s">
        <v>918</v>
      </c>
      <c r="G247" s="15">
        <v>1</v>
      </c>
      <c r="H247" s="116" t="s">
        <v>146</v>
      </c>
      <c r="I247" s="15" t="s">
        <v>117</v>
      </c>
      <c r="J247" s="15">
        <v>30985</v>
      </c>
    </row>
    <row r="248" spans="1:10" x14ac:dyDescent="0.2">
      <c r="A248" s="15" t="str">
        <f>_xlfn.XLOOKUP(E248,Program_data!$E$3:$E$1234,Program_data!$E$3:$E$1234,"",0,1)</f>
        <v>SoCTGas-CT</v>
      </c>
      <c r="B248" s="15" t="s">
        <v>17</v>
      </c>
      <c r="C248" s="15" t="s">
        <v>23</v>
      </c>
      <c r="D248" s="15" t="s">
        <v>309</v>
      </c>
      <c r="E248" s="15" t="str">
        <f t="shared" si="11"/>
        <v>SoCTGas-CT</v>
      </c>
      <c r="F248" s="15" t="s">
        <v>917</v>
      </c>
      <c r="G248" s="15">
        <v>1</v>
      </c>
      <c r="H248" s="116" t="s">
        <v>146</v>
      </c>
      <c r="I248" s="15" t="s">
        <v>116</v>
      </c>
      <c r="J248" s="15">
        <v>125447</v>
      </c>
    </row>
    <row r="249" spans="1:10" x14ac:dyDescent="0.2">
      <c r="A249" s="15" t="str">
        <f>_xlfn.XLOOKUP(E249,Program_data!$E$3:$E$1234,Program_data!$E$3:$E$1234,"",0,1)</f>
        <v>SoCTGas-CT</v>
      </c>
      <c r="B249" s="15" t="s">
        <v>17</v>
      </c>
      <c r="C249" s="15" t="s">
        <v>23</v>
      </c>
      <c r="D249" s="15" t="s">
        <v>309</v>
      </c>
      <c r="E249" s="15" t="str">
        <f t="shared" si="11"/>
        <v>SoCTGas-CT</v>
      </c>
      <c r="F249" s="15" t="s">
        <v>916</v>
      </c>
      <c r="G249" s="15">
        <v>1</v>
      </c>
      <c r="H249" s="116" t="s">
        <v>146</v>
      </c>
      <c r="I249" s="15" t="s">
        <v>118</v>
      </c>
      <c r="J249" s="15">
        <v>12</v>
      </c>
    </row>
    <row r="250" spans="1:10" x14ac:dyDescent="0.2">
      <c r="A250" s="15" t="str">
        <f>_xlfn.XLOOKUP(E250,Program_data!$E$3:$E$1234,Program_data!$E$3:$E$1234,"",0,1)</f>
        <v/>
      </c>
      <c r="B250" s="15" t="s">
        <v>22</v>
      </c>
      <c r="C250" s="15" t="s">
        <v>29</v>
      </c>
      <c r="D250" s="15" t="s">
        <v>943</v>
      </c>
      <c r="E250" s="15" t="str">
        <f t="shared" si="11"/>
        <v>Brooklyn Gas-NY</v>
      </c>
      <c r="F250" s="15" t="s">
        <v>923</v>
      </c>
      <c r="G250" s="15">
        <v>1</v>
      </c>
      <c r="H250" s="116" t="s">
        <v>135</v>
      </c>
      <c r="I250" s="15" t="s">
        <v>116</v>
      </c>
      <c r="J250" s="15">
        <v>195238831</v>
      </c>
    </row>
    <row r="251" spans="1:10" x14ac:dyDescent="0.2">
      <c r="A251" s="15" t="str">
        <f>_xlfn.XLOOKUP(E251,Program_data!$E$3:$E$1234,Program_data!$E$3:$E$1234,"",0,1)</f>
        <v/>
      </c>
      <c r="B251" s="15" t="s">
        <v>22</v>
      </c>
      <c r="C251" s="15" t="s">
        <v>29</v>
      </c>
      <c r="D251" s="15" t="s">
        <v>943</v>
      </c>
      <c r="E251" s="15" t="str">
        <f t="shared" si="11"/>
        <v>Brooklyn Gas-NY</v>
      </c>
      <c r="F251" s="15" t="s">
        <v>924</v>
      </c>
      <c r="G251" s="15">
        <v>1</v>
      </c>
      <c r="H251" s="116" t="s">
        <v>135</v>
      </c>
      <c r="I251" s="15" t="s">
        <v>117</v>
      </c>
      <c r="J251" s="15">
        <v>32292537</v>
      </c>
    </row>
    <row r="252" spans="1:10" x14ac:dyDescent="0.2">
      <c r="A252" s="15" t="str">
        <f>_xlfn.XLOOKUP(E252,Program_data!$E$3:$E$1234,Program_data!$E$3:$E$1234,"",0,1)</f>
        <v/>
      </c>
      <c r="B252" s="15" t="s">
        <v>22</v>
      </c>
      <c r="C252" s="15" t="s">
        <v>29</v>
      </c>
      <c r="D252" s="15" t="s">
        <v>943</v>
      </c>
      <c r="E252" s="15" t="str">
        <f t="shared" si="11"/>
        <v>Brooklyn Gas-NY</v>
      </c>
      <c r="F252" s="15" t="s">
        <v>925</v>
      </c>
      <c r="G252" s="15">
        <v>1</v>
      </c>
      <c r="H252" s="116" t="s">
        <v>135</v>
      </c>
      <c r="I252" s="15" t="s">
        <v>118</v>
      </c>
      <c r="J252" s="15">
        <v>118094</v>
      </c>
    </row>
    <row r="253" spans="1:10" x14ac:dyDescent="0.2">
      <c r="A253" s="15" t="str">
        <f>_xlfn.XLOOKUP(E253,Program_data!$E$3:$E$1234,Program_data!$E$3:$E$1234,"",0,1)</f>
        <v/>
      </c>
      <c r="B253" s="15" t="s">
        <v>22</v>
      </c>
      <c r="C253" s="15" t="s">
        <v>29</v>
      </c>
      <c r="D253" s="15" t="s">
        <v>943</v>
      </c>
      <c r="E253" s="15" t="str">
        <f t="shared" si="11"/>
        <v>Brooklyn Gas-NY</v>
      </c>
      <c r="F253" s="15" t="s">
        <v>915</v>
      </c>
      <c r="G253" s="15">
        <v>1</v>
      </c>
      <c r="H253" s="116" t="s">
        <v>146</v>
      </c>
      <c r="I253" s="15" t="s">
        <v>118</v>
      </c>
      <c r="J253" s="15">
        <v>10426</v>
      </c>
    </row>
    <row r="254" spans="1:10" x14ac:dyDescent="0.2">
      <c r="A254" s="15" t="str">
        <f>_xlfn.XLOOKUP(E254,Program_data!$E$3:$E$1234,Program_data!$E$3:$E$1234,"",0,1)</f>
        <v/>
      </c>
      <c r="B254" s="15" t="s">
        <v>22</v>
      </c>
      <c r="C254" s="15" t="s">
        <v>29</v>
      </c>
      <c r="D254" s="15" t="s">
        <v>943</v>
      </c>
      <c r="E254" s="15" t="str">
        <f t="shared" si="11"/>
        <v>Brooklyn Gas-NY</v>
      </c>
      <c r="F254" s="15" t="s">
        <v>913</v>
      </c>
      <c r="G254" s="15">
        <v>1</v>
      </c>
      <c r="H254" s="116" t="s">
        <v>146</v>
      </c>
      <c r="I254" s="15" t="s">
        <v>116</v>
      </c>
      <c r="J254" s="15">
        <v>55768286</v>
      </c>
    </row>
    <row r="255" spans="1:10" x14ac:dyDescent="0.2">
      <c r="A255" s="15" t="str">
        <f>_xlfn.XLOOKUP(E255,Program_data!$E$3:$E$1234,Program_data!$E$3:$E$1234,"",0,1)</f>
        <v/>
      </c>
      <c r="B255" s="15" t="s">
        <v>22</v>
      </c>
      <c r="C255" s="15" t="s">
        <v>29</v>
      </c>
      <c r="D255" s="15" t="s">
        <v>943</v>
      </c>
      <c r="E255" s="15" t="str">
        <f t="shared" si="11"/>
        <v>Brooklyn Gas-NY</v>
      </c>
      <c r="F255" s="15" t="s">
        <v>914</v>
      </c>
      <c r="G255" s="15">
        <v>1</v>
      </c>
      <c r="H255" s="116" t="s">
        <v>146</v>
      </c>
      <c r="I255" s="15" t="s">
        <v>117</v>
      </c>
      <c r="J255" s="15">
        <v>12621028</v>
      </c>
    </row>
    <row r="256" spans="1:10" x14ac:dyDescent="0.2">
      <c r="A256" s="15" t="str">
        <f>_xlfn.XLOOKUP(E256,Program_data!$E$3:$E$1234,Program_data!$E$3:$E$1234,"",0,1)</f>
        <v/>
      </c>
      <c r="B256" s="15" t="s">
        <v>22</v>
      </c>
      <c r="C256" s="15" t="s">
        <v>29</v>
      </c>
      <c r="D256" s="15" t="s">
        <v>943</v>
      </c>
      <c r="E256" s="15" t="str">
        <f t="shared" si="11"/>
        <v>Brooklyn Gas-NY</v>
      </c>
      <c r="F256" s="15" t="s">
        <v>917</v>
      </c>
      <c r="G256" s="15">
        <v>1</v>
      </c>
      <c r="H256" s="116" t="s">
        <v>146</v>
      </c>
      <c r="I256" s="15" t="s">
        <v>116</v>
      </c>
      <c r="J256" s="15">
        <v>8461740</v>
      </c>
    </row>
    <row r="257" spans="1:10" x14ac:dyDescent="0.2">
      <c r="A257" s="15" t="str">
        <f>_xlfn.XLOOKUP(E257,Program_data!$E$3:$E$1234,Program_data!$E$3:$E$1234,"",0,1)</f>
        <v/>
      </c>
      <c r="B257" s="15" t="s">
        <v>22</v>
      </c>
      <c r="C257" s="15" t="s">
        <v>29</v>
      </c>
      <c r="D257" s="15" t="s">
        <v>943</v>
      </c>
      <c r="E257" s="15" t="str">
        <f t="shared" si="11"/>
        <v>Brooklyn Gas-NY</v>
      </c>
      <c r="F257" s="15" t="s">
        <v>916</v>
      </c>
      <c r="G257" s="15">
        <v>1</v>
      </c>
      <c r="H257" s="116" t="s">
        <v>146</v>
      </c>
      <c r="I257" s="15" t="s">
        <v>118</v>
      </c>
      <c r="J257" s="15">
        <v>801</v>
      </c>
    </row>
    <row r="258" spans="1:10" x14ac:dyDescent="0.2">
      <c r="A258" s="15" t="str">
        <f>_xlfn.XLOOKUP(E258,Program_data!$E$3:$E$1234,Program_data!$E$3:$E$1234,"",0,1)</f>
        <v/>
      </c>
      <c r="B258" s="15" t="s">
        <v>22</v>
      </c>
      <c r="C258" s="15" t="s">
        <v>29</v>
      </c>
      <c r="D258" s="15" t="s">
        <v>943</v>
      </c>
      <c r="E258" s="15" t="str">
        <f t="shared" si="11"/>
        <v>Brooklyn Gas-NY</v>
      </c>
      <c r="F258" s="15" t="s">
        <v>918</v>
      </c>
      <c r="G258" s="15">
        <v>1</v>
      </c>
      <c r="H258" s="116" t="s">
        <v>146</v>
      </c>
      <c r="I258" s="15" t="s">
        <v>117</v>
      </c>
      <c r="J258" s="15">
        <v>3418875</v>
      </c>
    </row>
    <row r="259" spans="1:10" x14ac:dyDescent="0.2">
      <c r="A259" s="15" t="str">
        <f>_xlfn.XLOOKUP(E259,Program_data!$E$3:$E$1234,Program_data!$E$3:$E$1234,"",0,1)</f>
        <v/>
      </c>
      <c r="B259" s="15" t="s">
        <v>920</v>
      </c>
      <c r="C259" s="15" t="s">
        <v>921</v>
      </c>
      <c r="D259" s="15" t="s">
        <v>944</v>
      </c>
      <c r="E259" s="15" t="str">
        <f t="shared" si="11"/>
        <v>Washington Gas-MD</v>
      </c>
      <c r="F259" s="15" t="s">
        <v>925</v>
      </c>
      <c r="G259" s="15">
        <v>1</v>
      </c>
      <c r="H259" s="116" t="s">
        <v>135</v>
      </c>
      <c r="I259" s="15" t="s">
        <v>118</v>
      </c>
      <c r="J259" s="15">
        <v>81259</v>
      </c>
    </row>
    <row r="260" spans="1:10" x14ac:dyDescent="0.2">
      <c r="A260" s="15" t="str">
        <f>_xlfn.XLOOKUP(E260,Program_data!$E$3:$E$1234,Program_data!$E$3:$E$1234,"",0,1)</f>
        <v/>
      </c>
      <c r="B260" s="15" t="s">
        <v>920</v>
      </c>
      <c r="C260" s="15" t="s">
        <v>921</v>
      </c>
      <c r="D260" s="15" t="s">
        <v>944</v>
      </c>
      <c r="E260" s="15" t="str">
        <f t="shared" si="11"/>
        <v>Washington Gas-MD</v>
      </c>
      <c r="F260" s="15" t="s">
        <v>924</v>
      </c>
      <c r="G260" s="15">
        <v>1</v>
      </c>
      <c r="H260" s="116" t="s">
        <v>135</v>
      </c>
      <c r="I260" s="15" t="s">
        <v>117</v>
      </c>
      <c r="J260" s="15">
        <v>9534388</v>
      </c>
    </row>
    <row r="261" spans="1:10" x14ac:dyDescent="0.2">
      <c r="A261" s="15" t="str">
        <f>_xlfn.XLOOKUP(E261,Program_data!$E$3:$E$1234,Program_data!$E$3:$E$1234,"",0,1)</f>
        <v/>
      </c>
      <c r="B261" s="15" t="s">
        <v>920</v>
      </c>
      <c r="C261" s="15" t="s">
        <v>921</v>
      </c>
      <c r="D261" s="15" t="s">
        <v>944</v>
      </c>
      <c r="E261" s="15" t="str">
        <f t="shared" si="11"/>
        <v>Washington Gas-MD</v>
      </c>
      <c r="F261" s="15" t="s">
        <v>923</v>
      </c>
      <c r="G261" s="15">
        <v>1</v>
      </c>
      <c r="H261" s="116" t="s">
        <v>135</v>
      </c>
      <c r="I261" s="15" t="s">
        <v>116</v>
      </c>
      <c r="J261" s="15">
        <v>54566113</v>
      </c>
    </row>
    <row r="262" spans="1:10" x14ac:dyDescent="0.2">
      <c r="A262" s="15" t="str">
        <f>_xlfn.XLOOKUP(E262,Program_data!$E$3:$E$1234,Program_data!$E$3:$E$1234,"",0,1)</f>
        <v/>
      </c>
      <c r="B262" s="15" t="s">
        <v>920</v>
      </c>
      <c r="C262" s="15" t="s">
        <v>921</v>
      </c>
      <c r="D262" s="15" t="s">
        <v>944</v>
      </c>
      <c r="E262" s="15" t="str">
        <f t="shared" si="11"/>
        <v>Washington Gas-MD</v>
      </c>
      <c r="F262" s="15" t="s">
        <v>914</v>
      </c>
      <c r="G262" s="15">
        <v>1</v>
      </c>
      <c r="H262" s="116" t="s">
        <v>146</v>
      </c>
      <c r="I262" s="15" t="s">
        <v>117</v>
      </c>
      <c r="J262" s="15">
        <v>24627530</v>
      </c>
    </row>
    <row r="263" spans="1:10" x14ac:dyDescent="0.2">
      <c r="A263" s="15" t="str">
        <f>_xlfn.XLOOKUP(E263,Program_data!$E$3:$E$1234,Program_data!$E$3:$E$1234,"",0,1)</f>
        <v/>
      </c>
      <c r="B263" s="15" t="s">
        <v>920</v>
      </c>
      <c r="C263" s="15" t="s">
        <v>921</v>
      </c>
      <c r="D263" s="15" t="s">
        <v>944</v>
      </c>
      <c r="E263" s="15" t="str">
        <f t="shared" si="11"/>
        <v>Washington Gas-MD</v>
      </c>
      <c r="F263" s="15" t="s">
        <v>913</v>
      </c>
      <c r="G263" s="15">
        <v>1</v>
      </c>
      <c r="H263" s="116" t="s">
        <v>146</v>
      </c>
      <c r="I263" s="15" t="s">
        <v>116</v>
      </c>
      <c r="J263" s="15">
        <v>76705062</v>
      </c>
    </row>
    <row r="264" spans="1:10" x14ac:dyDescent="0.2">
      <c r="A264" s="15" t="str">
        <f>_xlfn.XLOOKUP(E264,Program_data!$E$3:$E$1234,Program_data!$E$3:$E$1234,"",0,1)</f>
        <v/>
      </c>
      <c r="B264" s="15" t="s">
        <v>920</v>
      </c>
      <c r="C264" s="15" t="s">
        <v>921</v>
      </c>
      <c r="D264" s="15" t="s">
        <v>944</v>
      </c>
      <c r="E264" s="15" t="str">
        <f t="shared" si="11"/>
        <v>Washington Gas-MD</v>
      </c>
      <c r="F264" s="15" t="s">
        <v>915</v>
      </c>
      <c r="G264" s="15">
        <v>1</v>
      </c>
      <c r="H264" s="116" t="s">
        <v>146</v>
      </c>
      <c r="I264" s="15" t="s">
        <v>118</v>
      </c>
      <c r="J264" s="15">
        <v>9887</v>
      </c>
    </row>
    <row r="265" spans="1:10" x14ac:dyDescent="0.2">
      <c r="A265" s="15" t="str">
        <f>_xlfn.XLOOKUP(E265,Program_data!$E$3:$E$1234,Program_data!$E$3:$E$1234,"",0,1)</f>
        <v>FOE-WI</v>
      </c>
      <c r="B265" s="15" t="str">
        <f t="shared" si="10"/>
        <v>WI</v>
      </c>
      <c r="C265" s="15" t="s">
        <v>69</v>
      </c>
      <c r="D265" s="15" t="s">
        <v>945</v>
      </c>
      <c r="E265" s="15" t="s">
        <v>890</v>
      </c>
      <c r="F265" s="15" t="s">
        <v>913</v>
      </c>
      <c r="G265" s="15">
        <v>1</v>
      </c>
      <c r="H265" s="116" t="s">
        <v>146</v>
      </c>
      <c r="I265" s="15" t="s">
        <v>116</v>
      </c>
      <c r="J265" s="15">
        <v>1246682</v>
      </c>
    </row>
    <row r="266" spans="1:10" x14ac:dyDescent="0.2">
      <c r="A266" s="15" t="str">
        <f>_xlfn.XLOOKUP(E266,Program_data!$E$3:$E$1234,Program_data!$E$3:$E$1234,"",0,1)</f>
        <v>FOE-WI</v>
      </c>
      <c r="B266" s="15" t="str">
        <f t="shared" si="10"/>
        <v>WI</v>
      </c>
      <c r="C266" s="15" t="s">
        <v>69</v>
      </c>
      <c r="D266" s="15" t="s">
        <v>945</v>
      </c>
      <c r="E266" s="15" t="s">
        <v>890</v>
      </c>
      <c r="F266" s="15" t="s">
        <v>914</v>
      </c>
      <c r="G266" s="15">
        <v>1</v>
      </c>
      <c r="H266" s="116" t="s">
        <v>146</v>
      </c>
      <c r="I266" s="15" t="s">
        <v>117</v>
      </c>
      <c r="J266" s="15">
        <v>1417893</v>
      </c>
    </row>
    <row r="267" spans="1:10" x14ac:dyDescent="0.2">
      <c r="A267" s="15" t="str">
        <f>_xlfn.XLOOKUP(E267,Program_data!$E$3:$E$1234,Program_data!$E$3:$E$1234,"",0,1)</f>
        <v>FOE-WI</v>
      </c>
      <c r="B267" s="15" t="str">
        <f t="shared" si="10"/>
        <v>WI</v>
      </c>
      <c r="C267" s="15" t="s">
        <v>69</v>
      </c>
      <c r="D267" s="15" t="s">
        <v>945</v>
      </c>
      <c r="E267" s="15" t="s">
        <v>890</v>
      </c>
      <c r="F267" s="15" t="s">
        <v>915</v>
      </c>
      <c r="G267" s="15">
        <v>1</v>
      </c>
      <c r="H267" s="116" t="s">
        <v>146</v>
      </c>
      <c r="I267" s="15" t="s">
        <v>118</v>
      </c>
      <c r="J267" s="15">
        <v>91</v>
      </c>
    </row>
    <row r="268" spans="1:10" x14ac:dyDescent="0.2">
      <c r="A268" s="15" t="str">
        <f>_xlfn.XLOOKUP(E268,Program_data!$E$3:$E$1234,Program_data!$E$3:$E$1234,"",0,1)</f>
        <v>FOE-WI</v>
      </c>
      <c r="B268" s="15" t="str">
        <f t="shared" si="10"/>
        <v>WI</v>
      </c>
      <c r="C268" s="15" t="s">
        <v>69</v>
      </c>
      <c r="D268" s="15" t="s">
        <v>945</v>
      </c>
      <c r="E268" s="15" t="s">
        <v>890</v>
      </c>
      <c r="F268" s="15" t="s">
        <v>918</v>
      </c>
      <c r="G268" s="15">
        <v>1</v>
      </c>
      <c r="H268" s="116" t="s">
        <v>146</v>
      </c>
      <c r="I268" s="15" t="s">
        <v>117</v>
      </c>
      <c r="J268" s="15">
        <v>20846628</v>
      </c>
    </row>
    <row r="269" spans="1:10" x14ac:dyDescent="0.2">
      <c r="A269" s="15" t="str">
        <f>_xlfn.XLOOKUP(E269,Program_data!$E$3:$E$1234,Program_data!$E$3:$E$1234,"",0,1)</f>
        <v>FOE-WI</v>
      </c>
      <c r="B269" s="15" t="str">
        <f t="shared" si="10"/>
        <v>WI</v>
      </c>
      <c r="C269" s="15" t="s">
        <v>69</v>
      </c>
      <c r="D269" s="15" t="s">
        <v>945</v>
      </c>
      <c r="E269" s="15" t="s">
        <v>890</v>
      </c>
      <c r="F269" s="15" t="s">
        <v>917</v>
      </c>
      <c r="G269" s="15">
        <v>1</v>
      </c>
      <c r="H269" s="116" t="s">
        <v>146</v>
      </c>
      <c r="I269" s="15" t="s">
        <v>116</v>
      </c>
      <c r="J269" s="15">
        <v>15543849</v>
      </c>
    </row>
    <row r="270" spans="1:10" x14ac:dyDescent="0.2">
      <c r="A270" s="15" t="str">
        <f>_xlfn.XLOOKUP(E270,Program_data!$E$3:$E$1234,Program_data!$E$3:$E$1234,"",0,1)</f>
        <v>FOE-WI</v>
      </c>
      <c r="B270" s="15" t="str">
        <f t="shared" si="10"/>
        <v>WI</v>
      </c>
      <c r="C270" s="15" t="s">
        <v>69</v>
      </c>
      <c r="D270" s="15" t="s">
        <v>945</v>
      </c>
      <c r="E270" s="15" t="s">
        <v>890</v>
      </c>
      <c r="F270" s="15" t="s">
        <v>916</v>
      </c>
      <c r="G270" s="15">
        <v>1</v>
      </c>
      <c r="H270" s="116" t="s">
        <v>146</v>
      </c>
      <c r="I270" s="15" t="s">
        <v>118</v>
      </c>
      <c r="J270" s="15">
        <v>843</v>
      </c>
    </row>
    <row r="271" spans="1:10" x14ac:dyDescent="0.2">
      <c r="A271" s="15" t="str">
        <f>_xlfn.XLOOKUP(E271,Program_data!$E$3:$E$1234,Program_data!$E$3:$E$1234,"",0,1)</f>
        <v>FOE-WI</v>
      </c>
      <c r="B271" s="15" t="str">
        <f t="shared" si="10"/>
        <v>WI</v>
      </c>
      <c r="C271" s="15" t="s">
        <v>69</v>
      </c>
      <c r="D271" s="15" t="s">
        <v>946</v>
      </c>
      <c r="E271" s="15" t="s">
        <v>890</v>
      </c>
      <c r="F271" s="15" t="s">
        <v>914</v>
      </c>
      <c r="G271" s="15">
        <v>1</v>
      </c>
      <c r="H271" s="116" t="s">
        <v>146</v>
      </c>
      <c r="I271" s="15" t="s">
        <v>117</v>
      </c>
      <c r="J271" s="15">
        <v>2209508</v>
      </c>
    </row>
    <row r="272" spans="1:10" x14ac:dyDescent="0.2">
      <c r="A272" s="15" t="str">
        <f>_xlfn.XLOOKUP(E272,Program_data!$E$3:$E$1234,Program_data!$E$3:$E$1234,"",0,1)</f>
        <v>FOE-WI</v>
      </c>
      <c r="B272" s="15" t="str">
        <f t="shared" si="10"/>
        <v>WI</v>
      </c>
      <c r="C272" s="15" t="s">
        <v>69</v>
      </c>
      <c r="D272" s="15" t="s">
        <v>946</v>
      </c>
      <c r="E272" s="15" t="s">
        <v>890</v>
      </c>
      <c r="F272" s="15" t="s">
        <v>913</v>
      </c>
      <c r="G272" s="15">
        <v>1</v>
      </c>
      <c r="H272" s="116" t="s">
        <v>146</v>
      </c>
      <c r="I272" s="15" t="s">
        <v>116</v>
      </c>
      <c r="J272" s="15">
        <v>3271605</v>
      </c>
    </row>
    <row r="273" spans="1:10" x14ac:dyDescent="0.2">
      <c r="A273" s="15" t="str">
        <f>_xlfn.XLOOKUP(E273,Program_data!$E$3:$E$1234,Program_data!$E$3:$E$1234,"",0,1)</f>
        <v>FOE-WI</v>
      </c>
      <c r="B273" s="15" t="str">
        <f t="shared" si="10"/>
        <v>WI</v>
      </c>
      <c r="C273" s="15" t="s">
        <v>69</v>
      </c>
      <c r="D273" s="15" t="s">
        <v>946</v>
      </c>
      <c r="E273" s="15" t="s">
        <v>890</v>
      </c>
      <c r="F273" s="15" t="s">
        <v>915</v>
      </c>
      <c r="G273" s="15">
        <v>1</v>
      </c>
      <c r="H273" s="116" t="s">
        <v>146</v>
      </c>
      <c r="I273" s="15" t="s">
        <v>118</v>
      </c>
      <c r="J273" s="15">
        <v>295</v>
      </c>
    </row>
    <row r="274" spans="1:10" x14ac:dyDescent="0.2">
      <c r="A274" s="15" t="str">
        <f>_xlfn.XLOOKUP(E274,Program_data!$E$3:$E$1234,Program_data!$E$3:$E$1234,"",0,1)</f>
        <v>FOE-WI</v>
      </c>
      <c r="B274" s="15" t="str">
        <f t="shared" ref="B274:B312" si="12">UPPER(LEFT(C274,2))</f>
        <v>WI</v>
      </c>
      <c r="C274" s="15" t="s">
        <v>69</v>
      </c>
      <c r="D274" s="15" t="s">
        <v>946</v>
      </c>
      <c r="E274" s="15" t="s">
        <v>890</v>
      </c>
      <c r="F274" s="15" t="s">
        <v>917</v>
      </c>
      <c r="G274" s="15">
        <v>1</v>
      </c>
      <c r="H274" s="116" t="s">
        <v>146</v>
      </c>
      <c r="I274" s="15" t="s">
        <v>116</v>
      </c>
      <c r="J274" s="15">
        <v>38505327</v>
      </c>
    </row>
    <row r="275" spans="1:10" x14ac:dyDescent="0.2">
      <c r="A275" s="15" t="str">
        <f>_xlfn.XLOOKUP(E275,Program_data!$E$3:$E$1234,Program_data!$E$3:$E$1234,"",0,1)</f>
        <v>FOE-WI</v>
      </c>
      <c r="B275" s="15" t="str">
        <f t="shared" si="12"/>
        <v>WI</v>
      </c>
      <c r="C275" s="15" t="s">
        <v>69</v>
      </c>
      <c r="D275" s="15" t="s">
        <v>946</v>
      </c>
      <c r="E275" s="15" t="s">
        <v>890</v>
      </c>
      <c r="F275" s="15" t="s">
        <v>918</v>
      </c>
      <c r="G275" s="15">
        <v>1</v>
      </c>
      <c r="H275" s="116" t="s">
        <v>146</v>
      </c>
      <c r="I275" s="15" t="s">
        <v>117</v>
      </c>
      <c r="J275" s="15">
        <v>55202309</v>
      </c>
    </row>
    <row r="276" spans="1:10" x14ac:dyDescent="0.2">
      <c r="A276" s="15" t="str">
        <f>_xlfn.XLOOKUP(E276,Program_data!$E$3:$E$1234,Program_data!$E$3:$E$1234,"",0,1)</f>
        <v>FOE-WI</v>
      </c>
      <c r="B276" s="15" t="str">
        <f t="shared" si="12"/>
        <v>WI</v>
      </c>
      <c r="C276" s="15" t="s">
        <v>69</v>
      </c>
      <c r="D276" s="15" t="s">
        <v>946</v>
      </c>
      <c r="E276" s="15" t="s">
        <v>890</v>
      </c>
      <c r="F276" s="15" t="s">
        <v>916</v>
      </c>
      <c r="G276" s="15">
        <v>1</v>
      </c>
      <c r="H276" s="116" t="s">
        <v>146</v>
      </c>
      <c r="I276" s="15" t="s">
        <v>118</v>
      </c>
      <c r="J276" s="15">
        <v>1230</v>
      </c>
    </row>
    <row r="277" spans="1:10" x14ac:dyDescent="0.2">
      <c r="A277" s="15" t="str">
        <f>_xlfn.XLOOKUP(E277,Program_data!$E$3:$E$1234,Program_data!$E$3:$E$1234,"",0,1)</f>
        <v>FOE-WI</v>
      </c>
      <c r="B277" s="15" t="str">
        <f t="shared" si="12"/>
        <v>WI</v>
      </c>
      <c r="C277" s="15" t="s">
        <v>69</v>
      </c>
      <c r="D277" s="15" t="s">
        <v>947</v>
      </c>
      <c r="E277" s="15" t="s">
        <v>890</v>
      </c>
      <c r="F277" s="15" t="s">
        <v>918</v>
      </c>
      <c r="G277" s="15">
        <v>1</v>
      </c>
      <c r="H277" s="116" t="s">
        <v>146</v>
      </c>
      <c r="I277" s="15" t="s">
        <v>117</v>
      </c>
      <c r="J277" s="15">
        <v>20046420</v>
      </c>
    </row>
    <row r="278" spans="1:10" x14ac:dyDescent="0.2">
      <c r="A278" s="15" t="str">
        <f>_xlfn.XLOOKUP(E278,Program_data!$E$3:$E$1234,Program_data!$E$3:$E$1234,"",0,1)</f>
        <v>FOE-WI</v>
      </c>
      <c r="B278" s="15" t="str">
        <f t="shared" si="12"/>
        <v>WI</v>
      </c>
      <c r="C278" s="15" t="s">
        <v>69</v>
      </c>
      <c r="D278" s="15" t="s">
        <v>947</v>
      </c>
      <c r="E278" s="15" t="s">
        <v>890</v>
      </c>
      <c r="F278" s="15" t="s">
        <v>917</v>
      </c>
      <c r="G278" s="15">
        <v>1</v>
      </c>
      <c r="H278" s="116" t="s">
        <v>146</v>
      </c>
      <c r="I278" s="15" t="s">
        <v>116</v>
      </c>
      <c r="J278" s="15">
        <v>11882452</v>
      </c>
    </row>
    <row r="279" spans="1:10" x14ac:dyDescent="0.2">
      <c r="A279" s="15" t="str">
        <f>_xlfn.XLOOKUP(E279,Program_data!$E$3:$E$1234,Program_data!$E$3:$E$1234,"",0,1)</f>
        <v>FOE-WI</v>
      </c>
      <c r="B279" s="15" t="str">
        <f t="shared" si="12"/>
        <v>WI</v>
      </c>
      <c r="C279" s="15" t="s">
        <v>69</v>
      </c>
      <c r="D279" s="15" t="s">
        <v>947</v>
      </c>
      <c r="E279" s="15" t="s">
        <v>890</v>
      </c>
      <c r="F279" s="15" t="s">
        <v>916</v>
      </c>
      <c r="G279" s="15">
        <v>1</v>
      </c>
      <c r="H279" s="116" t="s">
        <v>146</v>
      </c>
      <c r="I279" s="15" t="s">
        <v>118</v>
      </c>
      <c r="J279" s="15">
        <v>287</v>
      </c>
    </row>
    <row r="280" spans="1:10" x14ac:dyDescent="0.2">
      <c r="A280" s="15" t="str">
        <f>_xlfn.XLOOKUP(E280,Program_data!$E$3:$E$1234,Program_data!$E$3:$E$1234,"",0,1)</f>
        <v>FOE-WI</v>
      </c>
      <c r="B280" s="15" t="str">
        <f t="shared" si="12"/>
        <v>WI</v>
      </c>
      <c r="C280" s="15" t="s">
        <v>69</v>
      </c>
      <c r="D280" s="15" t="s">
        <v>948</v>
      </c>
      <c r="E280" s="15" t="s">
        <v>890</v>
      </c>
      <c r="F280" s="15" t="s">
        <v>915</v>
      </c>
      <c r="G280" s="15">
        <v>1</v>
      </c>
      <c r="H280" s="116" t="s">
        <v>146</v>
      </c>
      <c r="I280" s="15" t="s">
        <v>118</v>
      </c>
      <c r="J280" s="15">
        <v>900</v>
      </c>
    </row>
    <row r="281" spans="1:10" x14ac:dyDescent="0.2">
      <c r="A281" s="15" t="str">
        <f>_xlfn.XLOOKUP(E281,Program_data!$E$3:$E$1234,Program_data!$E$3:$E$1234,"",0,1)</f>
        <v>FOE-WI</v>
      </c>
      <c r="B281" s="15" t="str">
        <f t="shared" si="12"/>
        <v>WI</v>
      </c>
      <c r="C281" s="15" t="s">
        <v>69</v>
      </c>
      <c r="D281" s="15" t="s">
        <v>948</v>
      </c>
      <c r="E281" s="15" t="s">
        <v>890</v>
      </c>
      <c r="F281" s="15" t="s">
        <v>914</v>
      </c>
      <c r="G281" s="15">
        <v>1</v>
      </c>
      <c r="H281" s="116" t="s">
        <v>146</v>
      </c>
      <c r="I281" s="15" t="s">
        <v>117</v>
      </c>
      <c r="J281" s="15">
        <v>27238890</v>
      </c>
    </row>
    <row r="282" spans="1:10" x14ac:dyDescent="0.2">
      <c r="A282" s="15" t="str">
        <f>_xlfn.XLOOKUP(E282,Program_data!$E$3:$E$1234,Program_data!$E$3:$E$1234,"",0,1)</f>
        <v>FOE-WI</v>
      </c>
      <c r="B282" s="15" t="str">
        <f t="shared" si="12"/>
        <v>WI</v>
      </c>
      <c r="C282" s="15" t="s">
        <v>69</v>
      </c>
      <c r="D282" s="15" t="s">
        <v>948</v>
      </c>
      <c r="E282" s="15" t="s">
        <v>890</v>
      </c>
      <c r="F282" s="15" t="s">
        <v>913</v>
      </c>
      <c r="G282" s="15">
        <v>1</v>
      </c>
      <c r="H282" s="116" t="s">
        <v>146</v>
      </c>
      <c r="I282" s="15" t="s">
        <v>116</v>
      </c>
      <c r="J282" s="15">
        <v>12524797</v>
      </c>
    </row>
    <row r="283" spans="1:10" x14ac:dyDescent="0.2">
      <c r="A283" s="15" t="str">
        <f>_xlfn.XLOOKUP(E283,Program_data!$E$3:$E$1234,Program_data!$E$3:$E$1234,"",0,1)</f>
        <v>FOE-WI</v>
      </c>
      <c r="B283" s="15" t="str">
        <f t="shared" si="12"/>
        <v>WI</v>
      </c>
      <c r="C283" s="15" t="s">
        <v>69</v>
      </c>
      <c r="D283" s="15" t="s">
        <v>948</v>
      </c>
      <c r="E283" s="15" t="s">
        <v>890</v>
      </c>
      <c r="F283" s="15" t="s">
        <v>918</v>
      </c>
      <c r="G283" s="15">
        <v>1</v>
      </c>
      <c r="H283" s="116" t="s">
        <v>146</v>
      </c>
      <c r="I283" s="15" t="s">
        <v>117</v>
      </c>
      <c r="J283" s="15">
        <v>18089029</v>
      </c>
    </row>
    <row r="284" spans="1:10" x14ac:dyDescent="0.2">
      <c r="A284" s="15" t="str">
        <f>_xlfn.XLOOKUP(E284,Program_data!$E$3:$E$1234,Program_data!$E$3:$E$1234,"",0,1)</f>
        <v>FOE-WI</v>
      </c>
      <c r="B284" s="15" t="str">
        <f t="shared" si="12"/>
        <v>WI</v>
      </c>
      <c r="C284" s="15" t="s">
        <v>69</v>
      </c>
      <c r="D284" s="15" t="s">
        <v>948</v>
      </c>
      <c r="E284" s="15" t="s">
        <v>890</v>
      </c>
      <c r="F284" s="15" t="s">
        <v>917</v>
      </c>
      <c r="G284" s="15">
        <v>1</v>
      </c>
      <c r="H284" s="116" t="s">
        <v>146</v>
      </c>
      <c r="I284" s="15" t="s">
        <v>116</v>
      </c>
      <c r="J284" s="15">
        <v>10505549</v>
      </c>
    </row>
    <row r="285" spans="1:10" x14ac:dyDescent="0.2">
      <c r="A285" s="15" t="str">
        <f>_xlfn.XLOOKUP(E285,Program_data!$E$3:$E$1234,Program_data!$E$3:$E$1234,"",0,1)</f>
        <v>FOE-WI</v>
      </c>
      <c r="B285" s="15" t="str">
        <f t="shared" si="12"/>
        <v>WI</v>
      </c>
      <c r="C285" s="15" t="s">
        <v>69</v>
      </c>
      <c r="D285" s="15" t="s">
        <v>948</v>
      </c>
      <c r="E285" s="15" t="s">
        <v>890</v>
      </c>
      <c r="F285" s="15" t="s">
        <v>916</v>
      </c>
      <c r="G285" s="15">
        <v>1</v>
      </c>
      <c r="H285" s="116" t="s">
        <v>146</v>
      </c>
      <c r="I285" s="15" t="s">
        <v>118</v>
      </c>
      <c r="J285" s="15">
        <v>43</v>
      </c>
    </row>
    <row r="286" spans="1:10" x14ac:dyDescent="0.2">
      <c r="A286" s="15" t="str">
        <f>_xlfn.XLOOKUP(E286,Program_data!$E$3:$E$1234,Program_data!$E$3:$E$1234,"",0,1)</f>
        <v>Eversource-CT</v>
      </c>
      <c r="B286" s="15" t="s">
        <v>17</v>
      </c>
      <c r="C286" s="15" t="s">
        <v>23</v>
      </c>
      <c r="D286" s="15" t="s">
        <v>18</v>
      </c>
      <c r="E286" s="15" t="str">
        <f t="shared" ref="E286:E312" si="13">D286&amp;"-"&amp;B286</f>
        <v>Eversource-CT</v>
      </c>
      <c r="F286" s="15" t="s">
        <v>923</v>
      </c>
      <c r="G286" s="15">
        <v>1</v>
      </c>
      <c r="H286" s="116" t="s">
        <v>135</v>
      </c>
      <c r="I286" s="15" t="s">
        <v>116</v>
      </c>
      <c r="J286" s="15">
        <v>4199523</v>
      </c>
    </row>
    <row r="287" spans="1:10" x14ac:dyDescent="0.2">
      <c r="A287" s="15" t="str">
        <f>_xlfn.XLOOKUP(E287,Program_data!$E$3:$E$1234,Program_data!$E$3:$E$1234,"",0,1)</f>
        <v>Eversource-CT</v>
      </c>
      <c r="B287" s="15" t="s">
        <v>17</v>
      </c>
      <c r="C287" s="15" t="s">
        <v>23</v>
      </c>
      <c r="D287" s="15" t="s">
        <v>18</v>
      </c>
      <c r="E287" s="15" t="str">
        <f t="shared" si="13"/>
        <v>Eversource-CT</v>
      </c>
      <c r="F287" s="15" t="s">
        <v>925</v>
      </c>
      <c r="G287" s="15">
        <v>1</v>
      </c>
      <c r="H287" s="116" t="s">
        <v>135</v>
      </c>
      <c r="I287" s="15" t="s">
        <v>118</v>
      </c>
      <c r="J287" s="15">
        <v>510</v>
      </c>
    </row>
    <row r="288" spans="1:10" x14ac:dyDescent="0.2">
      <c r="A288" s="15" t="str">
        <f>_xlfn.XLOOKUP(E288,Program_data!$E$3:$E$1234,Program_data!$E$3:$E$1234,"",0,1)</f>
        <v>Eversource-CT</v>
      </c>
      <c r="B288" s="15" t="s">
        <v>17</v>
      </c>
      <c r="C288" s="15" t="s">
        <v>23</v>
      </c>
      <c r="D288" s="15" t="s">
        <v>18</v>
      </c>
      <c r="E288" s="15" t="str">
        <f t="shared" si="13"/>
        <v>Eversource-CT</v>
      </c>
      <c r="F288" s="15" t="s">
        <v>924</v>
      </c>
      <c r="G288" s="15">
        <v>1</v>
      </c>
      <c r="H288" s="116" t="s">
        <v>135</v>
      </c>
      <c r="I288" s="15" t="s">
        <v>117</v>
      </c>
      <c r="J288" s="15">
        <v>723275</v>
      </c>
    </row>
    <row r="289" spans="1:10" x14ac:dyDescent="0.2">
      <c r="A289" s="15" t="str">
        <f>_xlfn.XLOOKUP(E289,Program_data!$E$3:$E$1234,Program_data!$E$3:$E$1234,"",0,1)</f>
        <v>Eversource-CT</v>
      </c>
      <c r="B289" s="15" t="s">
        <v>17</v>
      </c>
      <c r="C289" s="15" t="s">
        <v>23</v>
      </c>
      <c r="D289" s="15" t="s">
        <v>18</v>
      </c>
      <c r="E289" s="15" t="str">
        <f t="shared" si="13"/>
        <v>Eversource-CT</v>
      </c>
      <c r="F289" s="15" t="s">
        <v>915</v>
      </c>
      <c r="G289" s="15">
        <v>1</v>
      </c>
      <c r="H289" s="116" t="s">
        <v>146</v>
      </c>
      <c r="I289" s="15" t="s">
        <v>118</v>
      </c>
      <c r="J289" s="15">
        <v>1369</v>
      </c>
    </row>
    <row r="290" spans="1:10" x14ac:dyDescent="0.2">
      <c r="A290" s="15" t="str">
        <f>_xlfn.XLOOKUP(E290,Program_data!$E$3:$E$1234,Program_data!$E$3:$E$1234,"",0,1)</f>
        <v>Eversource-CT</v>
      </c>
      <c r="B290" s="15" t="s">
        <v>17</v>
      </c>
      <c r="C290" s="15" t="s">
        <v>23</v>
      </c>
      <c r="D290" s="15" t="s">
        <v>18</v>
      </c>
      <c r="E290" s="15" t="str">
        <f t="shared" si="13"/>
        <v>Eversource-CT</v>
      </c>
      <c r="F290" s="15" t="s">
        <v>913</v>
      </c>
      <c r="G290" s="15">
        <v>1</v>
      </c>
      <c r="H290" s="116" t="s">
        <v>146</v>
      </c>
      <c r="I290" s="15" t="s">
        <v>116</v>
      </c>
      <c r="J290" s="15">
        <v>29299359</v>
      </c>
    </row>
    <row r="291" spans="1:10" x14ac:dyDescent="0.2">
      <c r="A291" s="15" t="str">
        <f>_xlfn.XLOOKUP(E291,Program_data!$E$3:$E$1234,Program_data!$E$3:$E$1234,"",0,1)</f>
        <v>Eversource-CT</v>
      </c>
      <c r="B291" s="15" t="s">
        <v>17</v>
      </c>
      <c r="C291" s="15" t="s">
        <v>23</v>
      </c>
      <c r="D291" s="15" t="s">
        <v>18</v>
      </c>
      <c r="E291" s="15" t="str">
        <f t="shared" si="13"/>
        <v>Eversource-CT</v>
      </c>
      <c r="F291" s="15" t="s">
        <v>914</v>
      </c>
      <c r="G291" s="15">
        <v>1</v>
      </c>
      <c r="H291" s="116" t="s">
        <v>146</v>
      </c>
      <c r="I291" s="15" t="s">
        <v>117</v>
      </c>
      <c r="J291" s="15">
        <v>6819486</v>
      </c>
    </row>
    <row r="292" spans="1:10" x14ac:dyDescent="0.2">
      <c r="A292" s="15" t="str">
        <f>_xlfn.XLOOKUP(E292,Program_data!$E$3:$E$1234,Program_data!$E$3:$E$1234,"",0,1)</f>
        <v>Eversource-CT</v>
      </c>
      <c r="B292" s="15" t="s">
        <v>17</v>
      </c>
      <c r="C292" s="15" t="s">
        <v>23</v>
      </c>
      <c r="D292" s="15" t="s">
        <v>18</v>
      </c>
      <c r="E292" s="15" t="str">
        <f t="shared" si="13"/>
        <v>Eversource-CT</v>
      </c>
      <c r="F292" s="15" t="s">
        <v>917</v>
      </c>
      <c r="G292" s="15">
        <v>1</v>
      </c>
      <c r="H292" s="116" t="s">
        <v>146</v>
      </c>
      <c r="I292" s="15" t="s">
        <v>116</v>
      </c>
      <c r="J292" s="15">
        <v>30464644</v>
      </c>
    </row>
    <row r="293" spans="1:10" x14ac:dyDescent="0.2">
      <c r="A293" s="15" t="str">
        <f>_xlfn.XLOOKUP(E293,Program_data!$E$3:$E$1234,Program_data!$E$3:$E$1234,"",0,1)</f>
        <v>Eversource-CT</v>
      </c>
      <c r="B293" s="15" t="s">
        <v>17</v>
      </c>
      <c r="C293" s="15" t="s">
        <v>23</v>
      </c>
      <c r="D293" s="15" t="s">
        <v>18</v>
      </c>
      <c r="E293" s="15" t="str">
        <f t="shared" si="13"/>
        <v>Eversource-CT</v>
      </c>
      <c r="F293" s="15" t="s">
        <v>916</v>
      </c>
      <c r="G293" s="15">
        <v>1</v>
      </c>
      <c r="H293" s="116" t="s">
        <v>146</v>
      </c>
      <c r="I293" s="15" t="s">
        <v>118</v>
      </c>
      <c r="J293" s="15">
        <v>193</v>
      </c>
    </row>
    <row r="294" spans="1:10" x14ac:dyDescent="0.2">
      <c r="A294" s="15" t="str">
        <f>_xlfn.XLOOKUP(E294,Program_data!$E$3:$E$1234,Program_data!$E$3:$E$1234,"",0,1)</f>
        <v>Eversource-CT</v>
      </c>
      <c r="B294" s="15" t="s">
        <v>17</v>
      </c>
      <c r="C294" s="15" t="s">
        <v>23</v>
      </c>
      <c r="D294" s="15" t="s">
        <v>18</v>
      </c>
      <c r="E294" s="15" t="str">
        <f t="shared" si="13"/>
        <v>Eversource-CT</v>
      </c>
      <c r="F294" s="15" t="s">
        <v>918</v>
      </c>
      <c r="G294" s="15">
        <v>1</v>
      </c>
      <c r="H294" s="116" t="s">
        <v>146</v>
      </c>
      <c r="I294" s="15" t="s">
        <v>117</v>
      </c>
      <c r="J294" s="15">
        <v>11026067</v>
      </c>
    </row>
    <row r="295" spans="1:10" x14ac:dyDescent="0.2">
      <c r="A295" s="15" t="str">
        <f>_xlfn.XLOOKUP(E295,Program_data!$E$3:$E$1234,Program_data!$E$3:$E$1234,"",0,1)</f>
        <v>Ameren-IL</v>
      </c>
      <c r="B295" s="15" t="str">
        <f t="shared" si="12"/>
        <v>IL</v>
      </c>
      <c r="C295" s="15" t="s">
        <v>58</v>
      </c>
      <c r="D295" s="15" t="s">
        <v>169</v>
      </c>
      <c r="E295" s="15" t="str">
        <f t="shared" si="13"/>
        <v>Ameren-IL</v>
      </c>
      <c r="F295" s="15" t="s">
        <v>949</v>
      </c>
      <c r="H295" s="116" t="s">
        <v>135</v>
      </c>
      <c r="I295" s="15" t="s">
        <v>116</v>
      </c>
      <c r="J295" s="15">
        <v>656607163</v>
      </c>
    </row>
    <row r="296" spans="1:10" x14ac:dyDescent="0.2">
      <c r="A296" s="15" t="str">
        <f>_xlfn.XLOOKUP(E296,Program_data!$E$3:$E$1234,Program_data!$E$3:$E$1234,"",0,1)</f>
        <v>Ameren-IL</v>
      </c>
      <c r="B296" s="15" t="str">
        <f t="shared" si="12"/>
        <v>IL</v>
      </c>
      <c r="C296" s="15" t="s">
        <v>58</v>
      </c>
      <c r="D296" s="15" t="s">
        <v>169</v>
      </c>
      <c r="E296" s="15" t="str">
        <f t="shared" si="13"/>
        <v>Ameren-IL</v>
      </c>
      <c r="F296" s="15" t="s">
        <v>950</v>
      </c>
      <c r="H296" s="116" t="s">
        <v>135</v>
      </c>
      <c r="I296" s="15" t="s">
        <v>118</v>
      </c>
      <c r="J296" s="15">
        <v>746102</v>
      </c>
    </row>
    <row r="297" spans="1:10" x14ac:dyDescent="0.2">
      <c r="A297" s="15" t="str">
        <f>_xlfn.XLOOKUP(E297,Program_data!$E$3:$E$1234,Program_data!$E$3:$E$1234,"",0,1)</f>
        <v>Ameren-IL</v>
      </c>
      <c r="B297" s="15" t="str">
        <f t="shared" si="12"/>
        <v>IL</v>
      </c>
      <c r="C297" s="15" t="s">
        <v>58</v>
      </c>
      <c r="D297" s="15" t="s">
        <v>169</v>
      </c>
      <c r="E297" s="15" t="str">
        <f t="shared" si="13"/>
        <v>Ameren-IL</v>
      </c>
      <c r="F297" s="15" t="s">
        <v>951</v>
      </c>
      <c r="H297" s="116" t="s">
        <v>135</v>
      </c>
      <c r="I297" s="15" t="s">
        <v>117</v>
      </c>
      <c r="J297" s="15">
        <v>52227229</v>
      </c>
    </row>
    <row r="298" spans="1:10" x14ac:dyDescent="0.2">
      <c r="A298" s="15" t="str">
        <f>_xlfn.XLOOKUP(E298,Program_data!$E$3:$E$1234,Program_data!$E$3:$E$1234,"",0,1)</f>
        <v>Ameren-IL</v>
      </c>
      <c r="B298" s="15" t="str">
        <f t="shared" si="12"/>
        <v>IL</v>
      </c>
      <c r="C298" s="15" t="s">
        <v>58</v>
      </c>
      <c r="D298" s="15" t="s">
        <v>169</v>
      </c>
      <c r="E298" s="15" t="str">
        <f t="shared" si="13"/>
        <v>Ameren-IL</v>
      </c>
      <c r="F298" s="15" t="s">
        <v>952</v>
      </c>
      <c r="H298" s="116" t="s">
        <v>146</v>
      </c>
      <c r="I298" s="15" t="s">
        <v>117</v>
      </c>
      <c r="J298" s="15">
        <v>15107351</v>
      </c>
    </row>
    <row r="299" spans="1:10" x14ac:dyDescent="0.2">
      <c r="A299" s="15" t="str">
        <f>_xlfn.XLOOKUP(E299,Program_data!$E$3:$E$1234,Program_data!$E$3:$E$1234,"",0,1)</f>
        <v>Ameren-IL</v>
      </c>
      <c r="B299" s="15" t="str">
        <f t="shared" si="12"/>
        <v>IL</v>
      </c>
      <c r="C299" s="15" t="s">
        <v>58</v>
      </c>
      <c r="D299" s="15" t="s">
        <v>169</v>
      </c>
      <c r="E299" s="15" t="str">
        <f t="shared" si="13"/>
        <v>Ameren-IL</v>
      </c>
      <c r="F299" s="15" t="s">
        <v>953</v>
      </c>
      <c r="H299" s="116" t="s">
        <v>146</v>
      </c>
      <c r="I299" s="15" t="s">
        <v>116</v>
      </c>
      <c r="J299" s="15">
        <v>170730621</v>
      </c>
    </row>
    <row r="300" spans="1:10" x14ac:dyDescent="0.2">
      <c r="A300" s="15" t="str">
        <f>_xlfn.XLOOKUP(E300,Program_data!$E$3:$E$1234,Program_data!$E$3:$E$1234,"",0,1)</f>
        <v>Ameren-IL</v>
      </c>
      <c r="B300" s="15" t="str">
        <f t="shared" si="12"/>
        <v>IL</v>
      </c>
      <c r="C300" s="15" t="s">
        <v>58</v>
      </c>
      <c r="D300" s="15" t="s">
        <v>169</v>
      </c>
      <c r="E300" s="15" t="str">
        <f t="shared" si="13"/>
        <v>Ameren-IL</v>
      </c>
      <c r="F300" s="15" t="s">
        <v>954</v>
      </c>
      <c r="H300" s="116" t="s">
        <v>146</v>
      </c>
      <c r="I300" s="15" t="s">
        <v>118</v>
      </c>
      <c r="J300" s="15">
        <v>59672</v>
      </c>
    </row>
    <row r="301" spans="1:10" x14ac:dyDescent="0.2">
      <c r="A301" s="15" t="str">
        <f>_xlfn.XLOOKUP(E301,Program_data!$E$3:$E$1234,Program_data!$E$3:$E$1234,"",0,1)</f>
        <v>Ameren-IL</v>
      </c>
      <c r="B301" s="15" t="str">
        <f t="shared" si="12"/>
        <v>IL</v>
      </c>
      <c r="C301" s="15" t="s">
        <v>58</v>
      </c>
      <c r="D301" s="15" t="s">
        <v>169</v>
      </c>
      <c r="E301" s="15" t="str">
        <f t="shared" si="13"/>
        <v>Ameren-IL</v>
      </c>
      <c r="F301" s="15" t="s">
        <v>955</v>
      </c>
      <c r="H301" s="116" t="s">
        <v>146</v>
      </c>
      <c r="I301" s="15" t="s">
        <v>117</v>
      </c>
      <c r="J301" s="15">
        <v>3993456</v>
      </c>
    </row>
    <row r="302" spans="1:10" x14ac:dyDescent="0.2">
      <c r="A302" s="15" t="str">
        <f>_xlfn.XLOOKUP(E302,Program_data!$E$3:$E$1234,Program_data!$E$3:$E$1234,"",0,1)</f>
        <v>Ameren-IL</v>
      </c>
      <c r="B302" s="15" t="str">
        <f t="shared" si="12"/>
        <v>IL</v>
      </c>
      <c r="C302" s="15" t="s">
        <v>58</v>
      </c>
      <c r="D302" s="15" t="s">
        <v>169</v>
      </c>
      <c r="E302" s="15" t="str">
        <f t="shared" si="13"/>
        <v>Ameren-IL</v>
      </c>
      <c r="F302" s="15" t="s">
        <v>956</v>
      </c>
      <c r="H302" s="116" t="s">
        <v>146</v>
      </c>
      <c r="I302" s="15" t="s">
        <v>118</v>
      </c>
      <c r="J302" s="15">
        <v>245</v>
      </c>
    </row>
    <row r="303" spans="1:10" x14ac:dyDescent="0.2">
      <c r="A303" s="15" t="str">
        <f>_xlfn.XLOOKUP(E303,Program_data!$E$3:$E$1234,Program_data!$E$3:$E$1234,"",0,1)</f>
        <v>Ameren-IL</v>
      </c>
      <c r="B303" s="15" t="str">
        <f t="shared" si="12"/>
        <v>IL</v>
      </c>
      <c r="C303" s="15" t="s">
        <v>58</v>
      </c>
      <c r="D303" s="15" t="s">
        <v>169</v>
      </c>
      <c r="E303" s="15" t="str">
        <f t="shared" si="13"/>
        <v>Ameren-IL</v>
      </c>
      <c r="F303" s="15" t="s">
        <v>957</v>
      </c>
      <c r="H303" s="116" t="s">
        <v>146</v>
      </c>
      <c r="I303" s="15" t="s">
        <v>116</v>
      </c>
      <c r="J303" s="15">
        <v>33800545</v>
      </c>
    </row>
    <row r="304" spans="1:10" x14ac:dyDescent="0.2">
      <c r="A304" s="15" t="str">
        <f>_xlfn.XLOOKUP(E304,Program_data!$E$3:$E$1234,Program_data!$E$3:$E$1234,"",0,1)</f>
        <v/>
      </c>
      <c r="B304" s="15" t="str">
        <f t="shared" si="12"/>
        <v>CO</v>
      </c>
      <c r="C304" s="15" t="s">
        <v>72</v>
      </c>
      <c r="D304" s="15" t="s">
        <v>919</v>
      </c>
      <c r="E304" s="15" t="str">
        <f t="shared" si="13"/>
        <v>Atmos-CO</v>
      </c>
      <c r="F304" s="15" t="s">
        <v>950</v>
      </c>
      <c r="H304" s="116" t="s">
        <v>135</v>
      </c>
      <c r="I304" s="15" t="s">
        <v>118</v>
      </c>
      <c r="J304" s="15">
        <v>113699</v>
      </c>
    </row>
    <row r="305" spans="1:10" x14ac:dyDescent="0.2">
      <c r="A305" s="15" t="str">
        <f>_xlfn.XLOOKUP(E305,Program_data!$E$3:$E$1234,Program_data!$E$3:$E$1234,"",0,1)</f>
        <v/>
      </c>
      <c r="B305" s="15" t="str">
        <f t="shared" si="12"/>
        <v>CO</v>
      </c>
      <c r="C305" s="15" t="s">
        <v>72</v>
      </c>
      <c r="D305" s="15" t="s">
        <v>919</v>
      </c>
      <c r="E305" s="15" t="str">
        <f t="shared" si="13"/>
        <v>Atmos-CO</v>
      </c>
      <c r="F305" s="15" t="s">
        <v>951</v>
      </c>
      <c r="H305" s="116" t="s">
        <v>135</v>
      </c>
      <c r="I305" s="15" t="s">
        <v>117</v>
      </c>
      <c r="J305" s="15">
        <v>7886246</v>
      </c>
    </row>
    <row r="306" spans="1:10" x14ac:dyDescent="0.2">
      <c r="A306" s="15" t="str">
        <f>_xlfn.XLOOKUP(E306,Program_data!$E$3:$E$1234,Program_data!$E$3:$E$1234,"",0,1)</f>
        <v/>
      </c>
      <c r="B306" s="15" t="str">
        <f t="shared" si="12"/>
        <v>CO</v>
      </c>
      <c r="C306" s="15" t="s">
        <v>72</v>
      </c>
      <c r="D306" s="15" t="s">
        <v>919</v>
      </c>
      <c r="E306" s="15" t="str">
        <f t="shared" si="13"/>
        <v>Atmos-CO</v>
      </c>
      <c r="F306" s="15" t="s">
        <v>949</v>
      </c>
      <c r="H306" s="116" t="s">
        <v>135</v>
      </c>
      <c r="I306" s="15" t="s">
        <v>116</v>
      </c>
      <c r="J306" s="15">
        <v>71843748</v>
      </c>
    </row>
    <row r="307" spans="1:10" x14ac:dyDescent="0.2">
      <c r="A307" s="15" t="str">
        <f>_xlfn.XLOOKUP(E307,Program_data!$E$3:$E$1234,Program_data!$E$3:$E$1234,"",0,1)</f>
        <v/>
      </c>
      <c r="B307" s="15" t="str">
        <f t="shared" si="12"/>
        <v>CO</v>
      </c>
      <c r="C307" s="15" t="s">
        <v>72</v>
      </c>
      <c r="D307" s="15" t="s">
        <v>919</v>
      </c>
      <c r="E307" s="15" t="str">
        <f t="shared" si="13"/>
        <v>Atmos-CO</v>
      </c>
      <c r="F307" s="15" t="s">
        <v>952</v>
      </c>
      <c r="H307" s="116" t="s">
        <v>146</v>
      </c>
      <c r="I307" s="15" t="s">
        <v>117</v>
      </c>
      <c r="J307" s="15">
        <v>5006878</v>
      </c>
    </row>
    <row r="308" spans="1:10" x14ac:dyDescent="0.2">
      <c r="A308" s="15" t="str">
        <f>_xlfn.XLOOKUP(E308,Program_data!$E$3:$E$1234,Program_data!$E$3:$E$1234,"",0,1)</f>
        <v/>
      </c>
      <c r="B308" s="15" t="str">
        <f t="shared" si="12"/>
        <v>CO</v>
      </c>
      <c r="C308" s="15" t="s">
        <v>72</v>
      </c>
      <c r="D308" s="15" t="s">
        <v>919</v>
      </c>
      <c r="E308" s="15" t="str">
        <f t="shared" si="13"/>
        <v>Atmos-CO</v>
      </c>
      <c r="F308" s="15" t="s">
        <v>954</v>
      </c>
      <c r="H308" s="116" t="s">
        <v>146</v>
      </c>
      <c r="I308" s="15" t="s">
        <v>118</v>
      </c>
      <c r="J308" s="15">
        <v>12474</v>
      </c>
    </row>
    <row r="309" spans="1:10" x14ac:dyDescent="0.2">
      <c r="A309" s="15" t="str">
        <f>_xlfn.XLOOKUP(E309,Program_data!$E$3:$E$1234,Program_data!$E$3:$E$1234,"",0,1)</f>
        <v/>
      </c>
      <c r="B309" s="15" t="str">
        <f t="shared" si="12"/>
        <v>CO</v>
      </c>
      <c r="C309" s="15" t="s">
        <v>72</v>
      </c>
      <c r="D309" s="15" t="s">
        <v>919</v>
      </c>
      <c r="E309" s="15" t="str">
        <f t="shared" si="13"/>
        <v>Atmos-CO</v>
      </c>
      <c r="F309" s="15" t="s">
        <v>953</v>
      </c>
      <c r="H309" s="116" t="s">
        <v>146</v>
      </c>
      <c r="I309" s="15" t="s">
        <v>116</v>
      </c>
      <c r="J309" s="15">
        <v>34496668</v>
      </c>
    </row>
    <row r="310" spans="1:10" x14ac:dyDescent="0.2">
      <c r="A310" s="15" t="str">
        <f>_xlfn.XLOOKUP(E310,Program_data!$E$3:$E$1234,Program_data!$E$3:$E$1234,"",0,1)</f>
        <v/>
      </c>
      <c r="B310" s="15" t="str">
        <f t="shared" si="12"/>
        <v>CO</v>
      </c>
      <c r="C310" s="15" t="s">
        <v>72</v>
      </c>
      <c r="D310" s="15" t="s">
        <v>919</v>
      </c>
      <c r="E310" s="15" t="str">
        <f t="shared" si="13"/>
        <v>Atmos-CO</v>
      </c>
      <c r="F310" s="15" t="s">
        <v>957</v>
      </c>
      <c r="H310" s="116" t="s">
        <v>146</v>
      </c>
      <c r="I310" s="15" t="s">
        <v>116</v>
      </c>
      <c r="J310" s="15">
        <v>40545</v>
      </c>
    </row>
    <row r="311" spans="1:10" x14ac:dyDescent="0.2">
      <c r="A311" s="15" t="str">
        <f>_xlfn.XLOOKUP(E311,Program_data!$E$3:$E$1234,Program_data!$E$3:$E$1234,"",0,1)</f>
        <v/>
      </c>
      <c r="B311" s="15" t="str">
        <f t="shared" si="12"/>
        <v>CO</v>
      </c>
      <c r="C311" s="15" t="s">
        <v>72</v>
      </c>
      <c r="D311" s="15" t="s">
        <v>919</v>
      </c>
      <c r="E311" s="15" t="str">
        <f t="shared" si="13"/>
        <v>Atmos-CO</v>
      </c>
      <c r="F311" s="15" t="s">
        <v>955</v>
      </c>
      <c r="H311" s="116" t="s">
        <v>146</v>
      </c>
      <c r="I311" s="15" t="s">
        <v>117</v>
      </c>
      <c r="J311" s="15">
        <v>6267</v>
      </c>
    </row>
    <row r="312" spans="1:10" x14ac:dyDescent="0.2">
      <c r="A312" s="15" t="str">
        <f>_xlfn.XLOOKUP(E312,Program_data!$E$3:$E$1234,Program_data!$E$3:$E$1234,"",0,1)</f>
        <v/>
      </c>
      <c r="B312" s="15" t="str">
        <f t="shared" si="12"/>
        <v>CO</v>
      </c>
      <c r="C312" s="15" t="s">
        <v>72</v>
      </c>
      <c r="D312" s="15" t="s">
        <v>919</v>
      </c>
      <c r="E312" s="15" t="str">
        <f t="shared" si="13"/>
        <v>Atmos-CO</v>
      </c>
      <c r="F312" s="15" t="s">
        <v>956</v>
      </c>
      <c r="H312" s="116" t="s">
        <v>146</v>
      </c>
      <c r="I312" s="15" t="s">
        <v>118</v>
      </c>
      <c r="J312" s="15">
        <v>12</v>
      </c>
    </row>
    <row r="313" spans="1:10" x14ac:dyDescent="0.2">
      <c r="A313" s="15" t="str">
        <f>_xlfn.XLOOKUP(E313,Program_data!$E$3:$E$1234,Program_data!$E$3:$E$1234,"",0,1)</f>
        <v/>
      </c>
      <c r="B313" s="15" t="str">
        <f t="shared" ref="B313:B348" si="14">UPPER(LEFT(C313,2))</f>
        <v>OR</v>
      </c>
      <c r="C313" s="15" t="s">
        <v>92</v>
      </c>
      <c r="D313" s="15" t="s">
        <v>86</v>
      </c>
      <c r="E313" s="15" t="str">
        <f t="shared" ref="E313:E353" si="15">D313&amp;"-"&amp;B313</f>
        <v>Avista-OR</v>
      </c>
      <c r="F313" s="15" t="s">
        <v>951</v>
      </c>
      <c r="H313" s="116" t="s">
        <v>135</v>
      </c>
      <c r="I313" s="15" t="s">
        <v>117</v>
      </c>
      <c r="J313" s="15">
        <v>4833721</v>
      </c>
    </row>
    <row r="314" spans="1:10" x14ac:dyDescent="0.2">
      <c r="A314" s="15" t="str">
        <f>_xlfn.XLOOKUP(E314,Program_data!$E$3:$E$1234,Program_data!$E$3:$E$1234,"",0,1)</f>
        <v/>
      </c>
      <c r="B314" s="15" t="str">
        <f t="shared" si="14"/>
        <v>OR</v>
      </c>
      <c r="C314" s="15" t="s">
        <v>92</v>
      </c>
      <c r="D314" s="15" t="s">
        <v>86</v>
      </c>
      <c r="E314" s="15" t="str">
        <f t="shared" si="15"/>
        <v>Avista-OR</v>
      </c>
      <c r="F314" s="15" t="s">
        <v>949</v>
      </c>
      <c r="H314" s="116" t="s">
        <v>135</v>
      </c>
      <c r="I314" s="15" t="s">
        <v>116</v>
      </c>
      <c r="J314" s="15">
        <v>66871276</v>
      </c>
    </row>
    <row r="315" spans="1:10" x14ac:dyDescent="0.2">
      <c r="A315" s="15" t="str">
        <f>_xlfn.XLOOKUP(E315,Program_data!$E$3:$E$1234,Program_data!$E$3:$E$1234,"",0,1)</f>
        <v/>
      </c>
      <c r="B315" s="15" t="str">
        <f t="shared" si="14"/>
        <v>OR</v>
      </c>
      <c r="C315" s="15" t="s">
        <v>92</v>
      </c>
      <c r="D315" s="15" t="s">
        <v>86</v>
      </c>
      <c r="E315" s="15" t="str">
        <f t="shared" si="15"/>
        <v>Avista-OR</v>
      </c>
      <c r="F315" s="15" t="s">
        <v>950</v>
      </c>
      <c r="H315" s="116" t="s">
        <v>135</v>
      </c>
      <c r="I315" s="15" t="s">
        <v>118</v>
      </c>
      <c r="J315" s="15">
        <v>92971</v>
      </c>
    </row>
    <row r="316" spans="1:10" x14ac:dyDescent="0.2">
      <c r="A316" s="15" t="str">
        <f>_xlfn.XLOOKUP(E316,Program_data!$E$3:$E$1234,Program_data!$E$3:$E$1234,"",0,1)</f>
        <v/>
      </c>
      <c r="B316" s="15" t="str">
        <f t="shared" si="14"/>
        <v>OR</v>
      </c>
      <c r="C316" s="15" t="s">
        <v>92</v>
      </c>
      <c r="D316" s="15" t="s">
        <v>86</v>
      </c>
      <c r="E316" s="15" t="str">
        <f t="shared" si="15"/>
        <v>Avista-OR</v>
      </c>
      <c r="F316" s="15" t="s">
        <v>953</v>
      </c>
      <c r="H316" s="116" t="s">
        <v>146</v>
      </c>
      <c r="I316" s="15" t="s">
        <v>116</v>
      </c>
      <c r="J316" s="15">
        <v>33463224</v>
      </c>
    </row>
    <row r="317" spans="1:10" x14ac:dyDescent="0.2">
      <c r="A317" s="15" t="str">
        <f>_xlfn.XLOOKUP(E317,Program_data!$E$3:$E$1234,Program_data!$E$3:$E$1234,"",0,1)</f>
        <v/>
      </c>
      <c r="B317" s="15" t="str">
        <f t="shared" si="14"/>
        <v>OR</v>
      </c>
      <c r="C317" s="15" t="s">
        <v>92</v>
      </c>
      <c r="D317" s="15" t="s">
        <v>86</v>
      </c>
      <c r="E317" s="15" t="str">
        <f t="shared" si="15"/>
        <v>Avista-OR</v>
      </c>
      <c r="F317" s="15" t="s">
        <v>954</v>
      </c>
      <c r="H317" s="116" t="s">
        <v>146</v>
      </c>
      <c r="I317" s="15" t="s">
        <v>118</v>
      </c>
      <c r="J317" s="15">
        <v>11966</v>
      </c>
    </row>
    <row r="318" spans="1:10" x14ac:dyDescent="0.2">
      <c r="A318" s="15" t="str">
        <f>_xlfn.XLOOKUP(E318,Program_data!$E$3:$E$1234,Program_data!$E$3:$E$1234,"",0,1)</f>
        <v/>
      </c>
      <c r="B318" s="15" t="str">
        <f t="shared" si="14"/>
        <v>OR</v>
      </c>
      <c r="C318" s="15" t="s">
        <v>92</v>
      </c>
      <c r="D318" s="15" t="s">
        <v>86</v>
      </c>
      <c r="E318" s="15" t="str">
        <f t="shared" si="15"/>
        <v>Avista-OR</v>
      </c>
      <c r="F318" s="15" t="s">
        <v>952</v>
      </c>
      <c r="H318" s="116" t="s">
        <v>146</v>
      </c>
      <c r="I318" s="15" t="s">
        <v>117</v>
      </c>
      <c r="J318" s="15">
        <v>3390109</v>
      </c>
    </row>
    <row r="319" spans="1:10" x14ac:dyDescent="0.2">
      <c r="A319" s="15" t="str">
        <f>_xlfn.XLOOKUP(E319,Program_data!$E$3:$E$1234,Program_data!$E$3:$E$1234,"",0,1)</f>
        <v/>
      </c>
      <c r="B319" s="15" t="str">
        <f t="shared" si="14"/>
        <v>OR</v>
      </c>
      <c r="C319" s="15" t="s">
        <v>92</v>
      </c>
      <c r="D319" s="15" t="s">
        <v>86</v>
      </c>
      <c r="E319" s="15" t="str">
        <f t="shared" si="15"/>
        <v>Avista-OR</v>
      </c>
      <c r="F319" s="15" t="s">
        <v>957</v>
      </c>
      <c r="H319" s="116" t="s">
        <v>146</v>
      </c>
      <c r="I319" s="15" t="s">
        <v>116</v>
      </c>
      <c r="J319" s="15">
        <v>3508814</v>
      </c>
    </row>
    <row r="320" spans="1:10" x14ac:dyDescent="0.2">
      <c r="A320" s="15" t="str">
        <f>_xlfn.XLOOKUP(E320,Program_data!$E$3:$E$1234,Program_data!$E$3:$E$1234,"",0,1)</f>
        <v/>
      </c>
      <c r="B320" s="15" t="str">
        <f t="shared" si="14"/>
        <v>OR</v>
      </c>
      <c r="C320" s="15" t="s">
        <v>92</v>
      </c>
      <c r="D320" s="15" t="s">
        <v>86</v>
      </c>
      <c r="E320" s="15" t="str">
        <f t="shared" si="15"/>
        <v>Avista-OR</v>
      </c>
      <c r="F320" s="15" t="s">
        <v>955</v>
      </c>
      <c r="H320" s="116" t="s">
        <v>146</v>
      </c>
      <c r="I320" s="15" t="s">
        <v>117</v>
      </c>
      <c r="J320" s="15">
        <v>1129524</v>
      </c>
    </row>
    <row r="321" spans="1:10" x14ac:dyDescent="0.2">
      <c r="A321" s="15" t="str">
        <f>_xlfn.XLOOKUP(E321,Program_data!$E$3:$E$1234,Program_data!$E$3:$E$1234,"",0,1)</f>
        <v/>
      </c>
      <c r="B321" s="15" t="str">
        <f t="shared" si="14"/>
        <v>OR</v>
      </c>
      <c r="C321" s="15" t="s">
        <v>92</v>
      </c>
      <c r="D321" s="15" t="s">
        <v>86</v>
      </c>
      <c r="E321" s="15" t="str">
        <f t="shared" si="15"/>
        <v>Avista-OR</v>
      </c>
      <c r="F321" s="15" t="s">
        <v>956</v>
      </c>
      <c r="H321" s="116" t="s">
        <v>146</v>
      </c>
      <c r="I321" s="15" t="s">
        <v>118</v>
      </c>
      <c r="J321" s="15">
        <v>47</v>
      </c>
    </row>
    <row r="322" spans="1:10" x14ac:dyDescent="0.2">
      <c r="A322" s="15" t="str">
        <f>_xlfn.XLOOKUP(E322,Program_data!$E$3:$E$1234,Program_data!$E$3:$E$1234,"",0,1)</f>
        <v/>
      </c>
      <c r="B322" s="15" t="s">
        <v>920</v>
      </c>
      <c r="C322" s="15" t="s">
        <v>921</v>
      </c>
      <c r="D322" s="15" t="s">
        <v>922</v>
      </c>
      <c r="E322" s="15" t="str">
        <f t="shared" si="15"/>
        <v>BGE-MD</v>
      </c>
      <c r="F322" s="15" t="s">
        <v>950</v>
      </c>
      <c r="H322" s="116" t="s">
        <v>135</v>
      </c>
      <c r="I322" s="15" t="s">
        <v>118</v>
      </c>
      <c r="J322" s="15">
        <v>527027</v>
      </c>
    </row>
    <row r="323" spans="1:10" x14ac:dyDescent="0.2">
      <c r="A323" s="15" t="str">
        <f>_xlfn.XLOOKUP(E323,Program_data!$E$3:$E$1234,Program_data!$E$3:$E$1234,"",0,1)</f>
        <v/>
      </c>
      <c r="B323" s="15" t="s">
        <v>920</v>
      </c>
      <c r="C323" s="15" t="s">
        <v>921</v>
      </c>
      <c r="D323" s="15" t="s">
        <v>922</v>
      </c>
      <c r="E323" s="15" t="str">
        <f t="shared" si="15"/>
        <v>BGE-MD</v>
      </c>
      <c r="F323" s="15" t="s">
        <v>949</v>
      </c>
      <c r="H323" s="116" t="s">
        <v>135</v>
      </c>
      <c r="I323" s="15" t="s">
        <v>116</v>
      </c>
      <c r="J323" s="15">
        <v>457650865</v>
      </c>
    </row>
    <row r="324" spans="1:10" x14ac:dyDescent="0.2">
      <c r="A324" s="15" t="str">
        <f>_xlfn.XLOOKUP(E324,Program_data!$E$3:$E$1234,Program_data!$E$3:$E$1234,"",0,1)</f>
        <v/>
      </c>
      <c r="B324" s="15" t="s">
        <v>920</v>
      </c>
      <c r="C324" s="15" t="s">
        <v>921</v>
      </c>
      <c r="D324" s="15" t="s">
        <v>922</v>
      </c>
      <c r="E324" s="15" t="str">
        <f t="shared" si="15"/>
        <v>BGE-MD</v>
      </c>
      <c r="F324" s="15" t="s">
        <v>951</v>
      </c>
      <c r="H324" s="116" t="s">
        <v>135</v>
      </c>
      <c r="I324" s="15" t="s">
        <v>117</v>
      </c>
      <c r="J324" s="15">
        <v>28166210</v>
      </c>
    </row>
    <row r="325" spans="1:10" x14ac:dyDescent="0.2">
      <c r="A325" s="15" t="str">
        <f>_xlfn.XLOOKUP(E325,Program_data!$E$3:$E$1234,Program_data!$E$3:$E$1234,"",0,1)</f>
        <v/>
      </c>
      <c r="B325" s="15" t="s">
        <v>920</v>
      </c>
      <c r="C325" s="15" t="s">
        <v>921</v>
      </c>
      <c r="D325" s="15" t="s">
        <v>922</v>
      </c>
      <c r="E325" s="15" t="str">
        <f t="shared" si="15"/>
        <v>BGE-MD</v>
      </c>
      <c r="F325" s="15" t="s">
        <v>952</v>
      </c>
      <c r="H325" s="116" t="s">
        <v>146</v>
      </c>
      <c r="I325" s="15" t="s">
        <v>117</v>
      </c>
      <c r="J325" s="15">
        <v>8853006</v>
      </c>
    </row>
    <row r="326" spans="1:10" x14ac:dyDescent="0.2">
      <c r="A326" s="15" t="str">
        <f>_xlfn.XLOOKUP(E326,Program_data!$E$3:$E$1234,Program_data!$E$3:$E$1234,"",0,1)</f>
        <v/>
      </c>
      <c r="B326" s="15" t="s">
        <v>920</v>
      </c>
      <c r="C326" s="15" t="s">
        <v>921</v>
      </c>
      <c r="D326" s="15" t="s">
        <v>922</v>
      </c>
      <c r="E326" s="15" t="str">
        <f t="shared" si="15"/>
        <v>BGE-MD</v>
      </c>
      <c r="F326" s="15" t="s">
        <v>953</v>
      </c>
      <c r="H326" s="116" t="s">
        <v>146</v>
      </c>
      <c r="I326" s="15" t="s">
        <v>116</v>
      </c>
      <c r="J326" s="15">
        <v>107247231</v>
      </c>
    </row>
    <row r="327" spans="1:10" x14ac:dyDescent="0.2">
      <c r="A327" s="15" t="str">
        <f>_xlfn.XLOOKUP(E327,Program_data!$E$3:$E$1234,Program_data!$E$3:$E$1234,"",0,1)</f>
        <v/>
      </c>
      <c r="B327" s="15" t="s">
        <v>920</v>
      </c>
      <c r="C327" s="15" t="s">
        <v>921</v>
      </c>
      <c r="D327" s="15" t="s">
        <v>922</v>
      </c>
      <c r="E327" s="15" t="str">
        <f t="shared" si="15"/>
        <v>BGE-MD</v>
      </c>
      <c r="F327" s="15" t="s">
        <v>954</v>
      </c>
      <c r="H327" s="116" t="s">
        <v>146</v>
      </c>
      <c r="I327" s="15" t="s">
        <v>118</v>
      </c>
      <c r="J327" s="15">
        <v>29635</v>
      </c>
    </row>
    <row r="328" spans="1:10" x14ac:dyDescent="0.2">
      <c r="A328" s="15" t="str">
        <f>_xlfn.XLOOKUP(E328,Program_data!$E$3:$E$1234,Program_data!$E$3:$E$1234,"",0,1)</f>
        <v/>
      </c>
      <c r="B328" s="15" t="s">
        <v>920</v>
      </c>
      <c r="C328" s="15" t="s">
        <v>921</v>
      </c>
      <c r="D328" s="15" t="s">
        <v>922</v>
      </c>
      <c r="E328" s="15" t="str">
        <f t="shared" si="15"/>
        <v>BGE-MD</v>
      </c>
      <c r="F328" s="15" t="s">
        <v>956</v>
      </c>
      <c r="H328" s="116" t="s">
        <v>146</v>
      </c>
      <c r="I328" s="15" t="s">
        <v>118</v>
      </c>
      <c r="J328" s="15">
        <v>661</v>
      </c>
    </row>
    <row r="329" spans="1:10" x14ac:dyDescent="0.2">
      <c r="A329" s="15" t="str">
        <f>_xlfn.XLOOKUP(E329,Program_data!$E$3:$E$1234,Program_data!$E$3:$E$1234,"",0,1)</f>
        <v/>
      </c>
      <c r="B329" s="15" t="s">
        <v>920</v>
      </c>
      <c r="C329" s="15" t="s">
        <v>921</v>
      </c>
      <c r="D329" s="15" t="s">
        <v>922</v>
      </c>
      <c r="E329" s="15" t="str">
        <f t="shared" si="15"/>
        <v>BGE-MD</v>
      </c>
      <c r="F329" s="15" t="s">
        <v>955</v>
      </c>
      <c r="H329" s="116" t="s">
        <v>146</v>
      </c>
      <c r="I329" s="15" t="s">
        <v>117</v>
      </c>
      <c r="J329" s="15">
        <v>676827</v>
      </c>
    </row>
    <row r="330" spans="1:10" x14ac:dyDescent="0.2">
      <c r="A330" s="15" t="str">
        <f>_xlfn.XLOOKUP(E330,Program_data!$E$3:$E$1234,Program_data!$E$3:$E$1234,"",0,1)</f>
        <v/>
      </c>
      <c r="B330" s="15" t="s">
        <v>920</v>
      </c>
      <c r="C330" s="15" t="s">
        <v>921</v>
      </c>
      <c r="D330" s="15" t="s">
        <v>922</v>
      </c>
      <c r="E330" s="15" t="str">
        <f t="shared" si="15"/>
        <v>BGE-MD</v>
      </c>
      <c r="F330" s="15" t="s">
        <v>957</v>
      </c>
      <c r="H330" s="116" t="s">
        <v>146</v>
      </c>
      <c r="I330" s="15" t="s">
        <v>116</v>
      </c>
      <c r="J330" s="15">
        <v>6060549</v>
      </c>
    </row>
    <row r="331" spans="1:10" x14ac:dyDescent="0.2">
      <c r="A331" s="15" t="str">
        <f>_xlfn.XLOOKUP(E331,Program_data!$E$3:$E$1234,Program_data!$E$3:$E$1234,"",0,1)</f>
        <v/>
      </c>
      <c r="B331" s="15" t="str">
        <f t="shared" si="14"/>
        <v>CO</v>
      </c>
      <c r="C331" s="15" t="s">
        <v>72</v>
      </c>
      <c r="D331" s="15" t="s">
        <v>926</v>
      </c>
      <c r="E331" s="15" t="str">
        <f t="shared" si="15"/>
        <v>Black Hills-CO</v>
      </c>
      <c r="F331" s="15" t="s">
        <v>950</v>
      </c>
      <c r="H331" s="116" t="s">
        <v>135</v>
      </c>
      <c r="I331" s="15" t="s">
        <v>118</v>
      </c>
      <c r="J331" s="15">
        <v>183660</v>
      </c>
    </row>
    <row r="332" spans="1:10" x14ac:dyDescent="0.2">
      <c r="A332" s="15" t="str">
        <f>_xlfn.XLOOKUP(E332,Program_data!$E$3:$E$1234,Program_data!$E$3:$E$1234,"",0,1)</f>
        <v/>
      </c>
      <c r="B332" s="15" t="str">
        <f t="shared" si="14"/>
        <v>CO</v>
      </c>
      <c r="C332" s="15" t="s">
        <v>72</v>
      </c>
      <c r="D332" s="15" t="s">
        <v>926</v>
      </c>
      <c r="E332" s="15" t="str">
        <f t="shared" si="15"/>
        <v>Black Hills-CO</v>
      </c>
      <c r="F332" s="15" t="s">
        <v>949</v>
      </c>
      <c r="H332" s="116" t="s">
        <v>135</v>
      </c>
      <c r="I332" s="15" t="s">
        <v>116</v>
      </c>
      <c r="J332" s="15">
        <v>146827646</v>
      </c>
    </row>
    <row r="333" spans="1:10" x14ac:dyDescent="0.2">
      <c r="A333" s="15" t="str">
        <f>_xlfn.XLOOKUP(E333,Program_data!$E$3:$E$1234,Program_data!$E$3:$E$1234,"",0,1)</f>
        <v/>
      </c>
      <c r="B333" s="15" t="str">
        <f t="shared" si="14"/>
        <v>CO</v>
      </c>
      <c r="C333" s="15" t="s">
        <v>72</v>
      </c>
      <c r="D333" s="15" t="s">
        <v>926</v>
      </c>
      <c r="E333" s="15" t="str">
        <f t="shared" si="15"/>
        <v>Black Hills-CO</v>
      </c>
      <c r="F333" s="15" t="s">
        <v>951</v>
      </c>
      <c r="H333" s="116" t="s">
        <v>135</v>
      </c>
      <c r="I333" s="15" t="s">
        <v>117</v>
      </c>
      <c r="J333" s="15">
        <v>16490603</v>
      </c>
    </row>
    <row r="334" spans="1:10" x14ac:dyDescent="0.2">
      <c r="A334" s="15" t="str">
        <f>_xlfn.XLOOKUP(E334,Program_data!$E$3:$E$1234,Program_data!$E$3:$E$1234,"",0,1)</f>
        <v/>
      </c>
      <c r="B334" s="15" t="str">
        <f t="shared" si="14"/>
        <v>CO</v>
      </c>
      <c r="C334" s="15" t="s">
        <v>72</v>
      </c>
      <c r="D334" s="15" t="s">
        <v>926</v>
      </c>
      <c r="E334" s="15" t="str">
        <f t="shared" si="15"/>
        <v>Black Hills-CO</v>
      </c>
      <c r="F334" s="15" t="s">
        <v>952</v>
      </c>
      <c r="H334" s="116" t="s">
        <v>146</v>
      </c>
      <c r="I334" s="15" t="s">
        <v>117</v>
      </c>
      <c r="J334" s="15">
        <v>5625073</v>
      </c>
    </row>
    <row r="335" spans="1:10" x14ac:dyDescent="0.2">
      <c r="A335" s="15" t="str">
        <f>_xlfn.XLOOKUP(E335,Program_data!$E$3:$E$1234,Program_data!$E$3:$E$1234,"",0,1)</f>
        <v/>
      </c>
      <c r="B335" s="15" t="str">
        <f t="shared" si="14"/>
        <v>CO</v>
      </c>
      <c r="C335" s="15" t="s">
        <v>72</v>
      </c>
      <c r="D335" s="15" t="s">
        <v>926</v>
      </c>
      <c r="E335" s="15" t="str">
        <f t="shared" si="15"/>
        <v>Black Hills-CO</v>
      </c>
      <c r="F335" s="15" t="s">
        <v>953</v>
      </c>
      <c r="H335" s="116" t="s">
        <v>146</v>
      </c>
      <c r="I335" s="15" t="s">
        <v>116</v>
      </c>
      <c r="J335" s="15">
        <v>49986926</v>
      </c>
    </row>
    <row r="336" spans="1:10" x14ac:dyDescent="0.2">
      <c r="A336" s="15" t="str">
        <f>_xlfn.XLOOKUP(E336,Program_data!$E$3:$E$1234,Program_data!$E$3:$E$1234,"",0,1)</f>
        <v/>
      </c>
      <c r="B336" s="15" t="str">
        <f t="shared" si="14"/>
        <v>CO</v>
      </c>
      <c r="C336" s="15" t="s">
        <v>72</v>
      </c>
      <c r="D336" s="15" t="s">
        <v>926</v>
      </c>
      <c r="E336" s="15" t="str">
        <f t="shared" si="15"/>
        <v>Black Hills-CO</v>
      </c>
      <c r="F336" s="15" t="s">
        <v>954</v>
      </c>
      <c r="H336" s="116" t="s">
        <v>146</v>
      </c>
      <c r="I336" s="15" t="s">
        <v>118</v>
      </c>
      <c r="J336" s="15">
        <v>14975</v>
      </c>
    </row>
    <row r="337" spans="1:10" x14ac:dyDescent="0.2">
      <c r="A337" s="15" t="str">
        <f>_xlfn.XLOOKUP(E337,Program_data!$E$3:$E$1234,Program_data!$E$3:$E$1234,"",0,1)</f>
        <v/>
      </c>
      <c r="B337" s="15" t="str">
        <f t="shared" si="14"/>
        <v>CO</v>
      </c>
      <c r="C337" s="15" t="s">
        <v>72</v>
      </c>
      <c r="D337" s="15" t="s">
        <v>926</v>
      </c>
      <c r="E337" s="15" t="str">
        <f t="shared" si="15"/>
        <v>Black Hills-CO</v>
      </c>
      <c r="F337" s="15" t="s">
        <v>955</v>
      </c>
      <c r="H337" s="116" t="s">
        <v>146</v>
      </c>
      <c r="I337" s="15" t="s">
        <v>117</v>
      </c>
      <c r="J337" s="15">
        <v>552541</v>
      </c>
    </row>
    <row r="338" spans="1:10" x14ac:dyDescent="0.2">
      <c r="A338" s="15" t="str">
        <f>_xlfn.XLOOKUP(E338,Program_data!$E$3:$E$1234,Program_data!$E$3:$E$1234,"",0,1)</f>
        <v/>
      </c>
      <c r="B338" s="15" t="str">
        <f t="shared" si="14"/>
        <v>CO</v>
      </c>
      <c r="C338" s="15" t="s">
        <v>72</v>
      </c>
      <c r="D338" s="15" t="s">
        <v>926</v>
      </c>
      <c r="E338" s="15" t="str">
        <f t="shared" si="15"/>
        <v>Black Hills-CO</v>
      </c>
      <c r="F338" s="15" t="s">
        <v>956</v>
      </c>
      <c r="H338" s="116" t="s">
        <v>146</v>
      </c>
      <c r="I338" s="15" t="s">
        <v>118</v>
      </c>
      <c r="J338" s="15">
        <v>319</v>
      </c>
    </row>
    <row r="339" spans="1:10" x14ac:dyDescent="0.2">
      <c r="A339" s="15" t="str">
        <f>_xlfn.XLOOKUP(E339,Program_data!$E$3:$E$1234,Program_data!$E$3:$E$1234,"",0,1)</f>
        <v/>
      </c>
      <c r="B339" s="15" t="str">
        <f t="shared" si="14"/>
        <v>CO</v>
      </c>
      <c r="C339" s="15" t="s">
        <v>72</v>
      </c>
      <c r="D339" s="15" t="s">
        <v>926</v>
      </c>
      <c r="E339" s="15" t="str">
        <f t="shared" si="15"/>
        <v>Black Hills-CO</v>
      </c>
      <c r="F339" s="15" t="s">
        <v>957</v>
      </c>
      <c r="H339" s="116" t="s">
        <v>146</v>
      </c>
      <c r="I339" s="15" t="s">
        <v>116</v>
      </c>
      <c r="J339" s="15">
        <v>3202342</v>
      </c>
    </row>
    <row r="340" spans="1:10" x14ac:dyDescent="0.2">
      <c r="A340" s="15" t="str">
        <f>_xlfn.XLOOKUP(E340,Program_data!$E$3:$E$1234,Program_data!$E$3:$E$1234,"",0,1)</f>
        <v>Ngrid-MA</v>
      </c>
      <c r="B340" s="15" t="str">
        <f t="shared" si="14"/>
        <v>MA</v>
      </c>
      <c r="C340" s="15" t="s">
        <v>10</v>
      </c>
      <c r="D340" s="15" t="s">
        <v>159</v>
      </c>
      <c r="E340" s="15" t="str">
        <f t="shared" si="15"/>
        <v>Ngrid-MA</v>
      </c>
      <c r="F340" s="15" t="s">
        <v>951</v>
      </c>
      <c r="H340" s="116" t="s">
        <v>135</v>
      </c>
      <c r="I340" s="15" t="s">
        <v>117</v>
      </c>
      <c r="J340" s="15">
        <v>47351823</v>
      </c>
    </row>
    <row r="341" spans="1:10" x14ac:dyDescent="0.2">
      <c r="A341" s="15" t="str">
        <f>_xlfn.XLOOKUP(E341,Program_data!$E$3:$E$1234,Program_data!$E$3:$E$1234,"",0,1)</f>
        <v>Ngrid-MA</v>
      </c>
      <c r="B341" s="15" t="str">
        <f t="shared" si="14"/>
        <v>MA</v>
      </c>
      <c r="C341" s="15" t="s">
        <v>10</v>
      </c>
      <c r="D341" s="15" t="s">
        <v>159</v>
      </c>
      <c r="E341" s="15" t="str">
        <f t="shared" si="15"/>
        <v>Ngrid-MA</v>
      </c>
      <c r="F341" s="15" t="s">
        <v>950</v>
      </c>
      <c r="H341" s="116" t="s">
        <v>135</v>
      </c>
      <c r="I341" s="15" t="s">
        <v>118</v>
      </c>
      <c r="J341" s="15">
        <v>654116</v>
      </c>
    </row>
    <row r="342" spans="1:10" x14ac:dyDescent="0.2">
      <c r="A342" s="15" t="str">
        <f>_xlfn.XLOOKUP(E342,Program_data!$E$3:$E$1234,Program_data!$E$3:$E$1234,"",0,1)</f>
        <v>Ngrid-MA</v>
      </c>
      <c r="B342" s="15" t="str">
        <f t="shared" si="14"/>
        <v>MA</v>
      </c>
      <c r="C342" s="15" t="s">
        <v>10</v>
      </c>
      <c r="D342" s="15" t="s">
        <v>159</v>
      </c>
      <c r="E342" s="15" t="str">
        <f t="shared" si="15"/>
        <v>Ngrid-MA</v>
      </c>
      <c r="F342" s="15" t="s">
        <v>949</v>
      </c>
      <c r="H342" s="116" t="s">
        <v>135</v>
      </c>
      <c r="I342" s="15" t="s">
        <v>116</v>
      </c>
      <c r="J342" s="15">
        <v>790488482</v>
      </c>
    </row>
    <row r="343" spans="1:10" x14ac:dyDescent="0.2">
      <c r="A343" s="15" t="str">
        <f>_xlfn.XLOOKUP(E343,Program_data!$E$3:$E$1234,Program_data!$E$3:$E$1234,"",0,1)</f>
        <v>Ngrid-MA</v>
      </c>
      <c r="B343" s="15" t="str">
        <f t="shared" si="14"/>
        <v>MA</v>
      </c>
      <c r="C343" s="15" t="s">
        <v>10</v>
      </c>
      <c r="D343" s="15" t="s">
        <v>159</v>
      </c>
      <c r="E343" s="15" t="str">
        <f t="shared" si="15"/>
        <v>Ngrid-MA</v>
      </c>
      <c r="F343" s="15" t="s">
        <v>954</v>
      </c>
      <c r="H343" s="116" t="s">
        <v>146</v>
      </c>
      <c r="I343" s="15" t="s">
        <v>118</v>
      </c>
      <c r="J343" s="15">
        <v>43647</v>
      </c>
    </row>
    <row r="344" spans="1:10" x14ac:dyDescent="0.2">
      <c r="A344" s="15" t="str">
        <f>_xlfn.XLOOKUP(E344,Program_data!$E$3:$E$1234,Program_data!$E$3:$E$1234,"",0,1)</f>
        <v>Ngrid-MA</v>
      </c>
      <c r="B344" s="15" t="str">
        <f t="shared" si="14"/>
        <v>MA</v>
      </c>
      <c r="C344" s="15" t="s">
        <v>10</v>
      </c>
      <c r="D344" s="15" t="s">
        <v>159</v>
      </c>
      <c r="E344" s="15" t="str">
        <f t="shared" si="15"/>
        <v>Ngrid-MA</v>
      </c>
      <c r="F344" s="15" t="s">
        <v>952</v>
      </c>
      <c r="H344" s="116" t="s">
        <v>146</v>
      </c>
      <c r="I344" s="15" t="s">
        <v>117</v>
      </c>
      <c r="J344" s="15">
        <v>14928586</v>
      </c>
    </row>
    <row r="345" spans="1:10" x14ac:dyDescent="0.2">
      <c r="A345" s="15" t="str">
        <f>_xlfn.XLOOKUP(E345,Program_data!$E$3:$E$1234,Program_data!$E$3:$E$1234,"",0,1)</f>
        <v>Ngrid-MA</v>
      </c>
      <c r="B345" s="15" t="str">
        <f t="shared" si="14"/>
        <v>MA</v>
      </c>
      <c r="C345" s="15" t="s">
        <v>10</v>
      </c>
      <c r="D345" s="15" t="s">
        <v>159</v>
      </c>
      <c r="E345" s="15" t="str">
        <f t="shared" si="15"/>
        <v>Ngrid-MA</v>
      </c>
      <c r="F345" s="15" t="s">
        <v>953</v>
      </c>
      <c r="H345" s="116" t="s">
        <v>146</v>
      </c>
      <c r="I345" s="15" t="s">
        <v>116</v>
      </c>
      <c r="J345" s="15">
        <v>188853437</v>
      </c>
    </row>
    <row r="346" spans="1:10" x14ac:dyDescent="0.2">
      <c r="A346" s="15" t="str">
        <f>_xlfn.XLOOKUP(E346,Program_data!$E$3:$E$1234,Program_data!$E$3:$E$1234,"",0,1)</f>
        <v>Ngrid-MA</v>
      </c>
      <c r="B346" s="15" t="str">
        <f t="shared" si="14"/>
        <v>MA</v>
      </c>
      <c r="C346" s="15" t="s">
        <v>10</v>
      </c>
      <c r="D346" s="15" t="s">
        <v>159</v>
      </c>
      <c r="E346" s="15" t="str">
        <f t="shared" si="15"/>
        <v>Ngrid-MA</v>
      </c>
      <c r="F346" s="15" t="s">
        <v>957</v>
      </c>
      <c r="H346" s="116" t="s">
        <v>146</v>
      </c>
      <c r="I346" s="15" t="s">
        <v>116</v>
      </c>
      <c r="J346" s="15">
        <v>62934453</v>
      </c>
    </row>
    <row r="347" spans="1:10" x14ac:dyDescent="0.2">
      <c r="A347" s="15" t="str">
        <f>_xlfn.XLOOKUP(E347,Program_data!$E$3:$E$1234,Program_data!$E$3:$E$1234,"",0,1)</f>
        <v>Ngrid-MA</v>
      </c>
      <c r="B347" s="15" t="str">
        <f t="shared" si="14"/>
        <v>MA</v>
      </c>
      <c r="C347" s="15" t="s">
        <v>10</v>
      </c>
      <c r="D347" s="15" t="s">
        <v>159</v>
      </c>
      <c r="E347" s="15" t="str">
        <f t="shared" si="15"/>
        <v>Ngrid-MA</v>
      </c>
      <c r="F347" s="15" t="s">
        <v>956</v>
      </c>
      <c r="H347" s="116" t="s">
        <v>146</v>
      </c>
      <c r="I347" s="15" t="s">
        <v>118</v>
      </c>
      <c r="J347" s="15">
        <v>5912</v>
      </c>
    </row>
    <row r="348" spans="1:10" x14ac:dyDescent="0.2">
      <c r="A348" s="15" t="str">
        <f>_xlfn.XLOOKUP(E348,Program_data!$E$3:$E$1234,Program_data!$E$3:$E$1234,"",0,1)</f>
        <v>Ngrid-MA</v>
      </c>
      <c r="B348" s="15" t="str">
        <f t="shared" si="14"/>
        <v>MA</v>
      </c>
      <c r="C348" s="15" t="s">
        <v>10</v>
      </c>
      <c r="D348" s="15" t="s">
        <v>159</v>
      </c>
      <c r="E348" s="15" t="str">
        <f t="shared" si="15"/>
        <v>Ngrid-MA</v>
      </c>
      <c r="F348" s="15" t="s">
        <v>955</v>
      </c>
      <c r="H348" s="116" t="s">
        <v>146</v>
      </c>
      <c r="I348" s="15" t="s">
        <v>117</v>
      </c>
      <c r="J348" s="15">
        <v>5423515</v>
      </c>
    </row>
    <row r="349" spans="1:10" x14ac:dyDescent="0.2">
      <c r="A349" s="15" t="str">
        <f>_xlfn.XLOOKUP(E349,Program_data!$E$3:$E$1234,Program_data!$E$3:$E$1234,"",0,1)</f>
        <v>CtPt-MN</v>
      </c>
      <c r="B349" s="15" t="s">
        <v>241</v>
      </c>
      <c r="C349" s="15" t="s">
        <v>50</v>
      </c>
      <c r="D349" s="15" t="s">
        <v>570</v>
      </c>
      <c r="E349" s="15" t="str">
        <f t="shared" si="15"/>
        <v>CtPt-MN</v>
      </c>
      <c r="F349" s="15" t="s">
        <v>949</v>
      </c>
      <c r="H349" s="116" t="s">
        <v>135</v>
      </c>
      <c r="I349" s="15" t="s">
        <v>116</v>
      </c>
      <c r="J349" s="15">
        <v>671522278</v>
      </c>
    </row>
    <row r="350" spans="1:10" x14ac:dyDescent="0.2">
      <c r="A350" s="15" t="str">
        <f>_xlfn.XLOOKUP(E350,Program_data!$E$3:$E$1234,Program_data!$E$3:$E$1234,"",0,1)</f>
        <v>CtPt-MN</v>
      </c>
      <c r="B350" s="15" t="s">
        <v>241</v>
      </c>
      <c r="C350" s="15" t="s">
        <v>50</v>
      </c>
      <c r="D350" s="15" t="s">
        <v>570</v>
      </c>
      <c r="E350" s="15" t="str">
        <f t="shared" si="15"/>
        <v>CtPt-MN</v>
      </c>
      <c r="F350" s="15" t="s">
        <v>951</v>
      </c>
      <c r="H350" s="116" t="s">
        <v>135</v>
      </c>
      <c r="I350" s="15" t="s">
        <v>117</v>
      </c>
      <c r="J350" s="15">
        <v>68242994</v>
      </c>
    </row>
    <row r="351" spans="1:10" x14ac:dyDescent="0.2">
      <c r="A351" s="15" t="str">
        <f>_xlfn.XLOOKUP(E351,Program_data!$E$3:$E$1234,Program_data!$E$3:$E$1234,"",0,1)</f>
        <v>CtPt-MN</v>
      </c>
      <c r="B351" s="15" t="s">
        <v>241</v>
      </c>
      <c r="C351" s="15" t="s">
        <v>50</v>
      </c>
      <c r="D351" s="15" t="s">
        <v>570</v>
      </c>
      <c r="E351" s="15" t="str">
        <f t="shared" si="15"/>
        <v>CtPt-MN</v>
      </c>
      <c r="F351" s="15" t="s">
        <v>950</v>
      </c>
      <c r="H351" s="116" t="s">
        <v>135</v>
      </c>
      <c r="I351" s="15" t="s">
        <v>118</v>
      </c>
      <c r="J351" s="15">
        <v>821309</v>
      </c>
    </row>
    <row r="352" spans="1:10" x14ac:dyDescent="0.2">
      <c r="A352" s="15" t="str">
        <f>_xlfn.XLOOKUP(E352,Program_data!$E$3:$E$1234,Program_data!$E$3:$E$1234,"",0,1)</f>
        <v>CtPt-MN</v>
      </c>
      <c r="B352" s="15" t="s">
        <v>241</v>
      </c>
      <c r="C352" s="15" t="s">
        <v>50</v>
      </c>
      <c r="D352" s="15" t="s">
        <v>570</v>
      </c>
      <c r="E352" s="15" t="str">
        <f t="shared" si="15"/>
        <v>CtPt-MN</v>
      </c>
      <c r="F352" s="15" t="s">
        <v>954</v>
      </c>
      <c r="H352" s="116" t="s">
        <v>146</v>
      </c>
      <c r="I352" s="15" t="s">
        <v>118</v>
      </c>
      <c r="J352" s="15">
        <v>70419</v>
      </c>
    </row>
    <row r="353" spans="1:10" x14ac:dyDescent="0.2">
      <c r="A353" s="15" t="str">
        <f>_xlfn.XLOOKUP(E353,Program_data!$E$3:$E$1234,Program_data!$E$3:$E$1234,"",0,1)</f>
        <v>CtPt-MN</v>
      </c>
      <c r="B353" s="15" t="s">
        <v>241</v>
      </c>
      <c r="C353" s="15" t="s">
        <v>50</v>
      </c>
      <c r="D353" s="15" t="s">
        <v>570</v>
      </c>
      <c r="E353" s="15" t="str">
        <f t="shared" si="15"/>
        <v>CtPt-MN</v>
      </c>
      <c r="F353" s="15" t="s">
        <v>952</v>
      </c>
      <c r="H353" s="116" t="s">
        <v>146</v>
      </c>
      <c r="I353" s="15" t="s">
        <v>117</v>
      </c>
      <c r="J353" s="15">
        <v>49545653</v>
      </c>
    </row>
    <row r="354" spans="1:10" x14ac:dyDescent="0.2">
      <c r="A354" s="15" t="str">
        <f>_xlfn.XLOOKUP(E354,Program_data!$E$3:$E$1234,Program_data!$E$3:$E$1234,"",0,1)</f>
        <v>CtPt-MN</v>
      </c>
      <c r="B354" s="15" t="s">
        <v>241</v>
      </c>
      <c r="C354" s="15" t="s">
        <v>50</v>
      </c>
      <c r="D354" s="15" t="s">
        <v>570</v>
      </c>
      <c r="E354" s="15" t="str">
        <f t="shared" ref="E354:E385" si="16">D354&amp;"-"&amp;B354</f>
        <v>CtPt-MN</v>
      </c>
      <c r="F354" s="15" t="s">
        <v>953</v>
      </c>
      <c r="H354" s="116" t="s">
        <v>146</v>
      </c>
      <c r="I354" s="15" t="s">
        <v>116</v>
      </c>
      <c r="J354" s="15">
        <v>401599092</v>
      </c>
    </row>
    <row r="355" spans="1:10" x14ac:dyDescent="0.2">
      <c r="A355" s="15" t="str">
        <f>_xlfn.XLOOKUP(E355,Program_data!$E$3:$E$1234,Program_data!$E$3:$E$1234,"",0,1)</f>
        <v>CtPt-MN</v>
      </c>
      <c r="B355" s="15" t="s">
        <v>241</v>
      </c>
      <c r="C355" s="15" t="s">
        <v>50</v>
      </c>
      <c r="D355" s="15" t="s">
        <v>570</v>
      </c>
      <c r="E355" s="15" t="str">
        <f t="shared" si="16"/>
        <v>CtPt-MN</v>
      </c>
      <c r="F355" s="15" t="s">
        <v>957</v>
      </c>
      <c r="H355" s="116" t="s">
        <v>146</v>
      </c>
      <c r="I355" s="15" t="s">
        <v>116</v>
      </c>
      <c r="J355" s="15">
        <v>24033144</v>
      </c>
    </row>
    <row r="356" spans="1:10" x14ac:dyDescent="0.2">
      <c r="A356" s="15" t="str">
        <f>_xlfn.XLOOKUP(E356,Program_data!$E$3:$E$1234,Program_data!$E$3:$E$1234,"",0,1)</f>
        <v>CtPt-MN</v>
      </c>
      <c r="B356" s="15" t="s">
        <v>241</v>
      </c>
      <c r="C356" s="15" t="s">
        <v>50</v>
      </c>
      <c r="D356" s="15" t="s">
        <v>570</v>
      </c>
      <c r="E356" s="15" t="str">
        <f t="shared" si="16"/>
        <v>CtPt-MN</v>
      </c>
      <c r="F356" s="15" t="s">
        <v>956</v>
      </c>
      <c r="H356" s="116" t="s">
        <v>146</v>
      </c>
      <c r="I356" s="15" t="s">
        <v>118</v>
      </c>
      <c r="J356" s="15">
        <v>263</v>
      </c>
    </row>
    <row r="357" spans="1:10" x14ac:dyDescent="0.2">
      <c r="A357" s="15" t="str">
        <f>_xlfn.XLOOKUP(E357,Program_data!$E$3:$E$1234,Program_data!$E$3:$E$1234,"",0,1)</f>
        <v>CtPt-MN</v>
      </c>
      <c r="B357" s="15" t="s">
        <v>241</v>
      </c>
      <c r="C357" s="15" t="s">
        <v>50</v>
      </c>
      <c r="D357" s="15" t="s">
        <v>570</v>
      </c>
      <c r="E357" s="15" t="str">
        <f t="shared" si="16"/>
        <v>CtPt-MN</v>
      </c>
      <c r="F357" s="15" t="s">
        <v>955</v>
      </c>
      <c r="H357" s="116" t="s">
        <v>146</v>
      </c>
      <c r="I357" s="15" t="s">
        <v>117</v>
      </c>
      <c r="J357" s="15">
        <v>6188373</v>
      </c>
    </row>
    <row r="358" spans="1:10" x14ac:dyDescent="0.2">
      <c r="A358" s="15" t="str">
        <f>_xlfn.XLOOKUP(E358,Program_data!$E$3:$E$1234,Program_data!$E$3:$E$1234,"",0,1)</f>
        <v/>
      </c>
      <c r="B358" s="15" t="str">
        <f t="shared" ref="B358:B385" si="17">UPPER(LEFT(C358,2))</f>
        <v>MA</v>
      </c>
      <c r="C358" s="15" t="s">
        <v>10</v>
      </c>
      <c r="D358" s="15" t="s">
        <v>958</v>
      </c>
      <c r="E358" s="15" t="str">
        <f t="shared" si="16"/>
        <v>Keyspan-MA</v>
      </c>
      <c r="F358" s="15" t="s">
        <v>949</v>
      </c>
      <c r="H358" s="116" t="s">
        <v>135</v>
      </c>
      <c r="I358" s="15" t="s">
        <v>116</v>
      </c>
      <c r="J358" s="15">
        <v>215296156</v>
      </c>
    </row>
    <row r="359" spans="1:10" x14ac:dyDescent="0.2">
      <c r="A359" s="15" t="str">
        <f>_xlfn.XLOOKUP(E359,Program_data!$E$3:$E$1234,Program_data!$E$3:$E$1234,"",0,1)</f>
        <v/>
      </c>
      <c r="B359" s="15" t="str">
        <f t="shared" si="17"/>
        <v>MA</v>
      </c>
      <c r="C359" s="15" t="s">
        <v>10</v>
      </c>
      <c r="D359" s="15" t="s">
        <v>958</v>
      </c>
      <c r="E359" s="15" t="str">
        <f t="shared" si="16"/>
        <v>Keyspan-MA</v>
      </c>
      <c r="F359" s="15" t="s">
        <v>951</v>
      </c>
      <c r="H359" s="116" t="s">
        <v>135</v>
      </c>
      <c r="I359" s="15" t="s">
        <v>117</v>
      </c>
      <c r="J359" s="15">
        <v>14418048</v>
      </c>
    </row>
    <row r="360" spans="1:10" x14ac:dyDescent="0.2">
      <c r="A360" s="15" t="str">
        <f>_xlfn.XLOOKUP(E360,Program_data!$E$3:$E$1234,Program_data!$E$3:$E$1234,"",0,1)</f>
        <v/>
      </c>
      <c r="B360" s="15" t="str">
        <f t="shared" si="17"/>
        <v>MA</v>
      </c>
      <c r="C360" s="15" t="s">
        <v>10</v>
      </c>
      <c r="D360" s="15" t="s">
        <v>958</v>
      </c>
      <c r="E360" s="15" t="str">
        <f t="shared" si="16"/>
        <v>Keyspan-MA</v>
      </c>
      <c r="F360" s="15" t="s">
        <v>950</v>
      </c>
      <c r="H360" s="116" t="s">
        <v>135</v>
      </c>
      <c r="I360" s="15" t="s">
        <v>118</v>
      </c>
      <c r="J360" s="15">
        <v>194492</v>
      </c>
    </row>
    <row r="361" spans="1:10" x14ac:dyDescent="0.2">
      <c r="A361" s="15" t="str">
        <f>_xlfn.XLOOKUP(E361,Program_data!$E$3:$E$1234,Program_data!$E$3:$E$1234,"",0,1)</f>
        <v/>
      </c>
      <c r="B361" s="15" t="str">
        <f t="shared" si="17"/>
        <v>MA</v>
      </c>
      <c r="C361" s="15" t="s">
        <v>10</v>
      </c>
      <c r="D361" s="15" t="s">
        <v>958</v>
      </c>
      <c r="E361" s="15" t="str">
        <f t="shared" si="16"/>
        <v>Keyspan-MA</v>
      </c>
      <c r="F361" s="15" t="s">
        <v>954</v>
      </c>
      <c r="H361" s="116" t="s">
        <v>146</v>
      </c>
      <c r="I361" s="15" t="s">
        <v>118</v>
      </c>
      <c r="J361" s="15">
        <v>16669</v>
      </c>
    </row>
    <row r="362" spans="1:10" x14ac:dyDescent="0.2">
      <c r="A362" s="15" t="str">
        <f>_xlfn.XLOOKUP(E362,Program_data!$E$3:$E$1234,Program_data!$E$3:$E$1234,"",0,1)</f>
        <v/>
      </c>
      <c r="B362" s="15" t="str">
        <f t="shared" si="17"/>
        <v>MA</v>
      </c>
      <c r="C362" s="15" t="s">
        <v>10</v>
      </c>
      <c r="D362" s="15" t="s">
        <v>958</v>
      </c>
      <c r="E362" s="15" t="str">
        <f t="shared" si="16"/>
        <v>Keyspan-MA</v>
      </c>
      <c r="F362" s="15" t="s">
        <v>952</v>
      </c>
      <c r="H362" s="116" t="s">
        <v>146</v>
      </c>
      <c r="I362" s="15" t="s">
        <v>117</v>
      </c>
      <c r="J362" s="15">
        <v>3094594</v>
      </c>
    </row>
    <row r="363" spans="1:10" x14ac:dyDescent="0.2">
      <c r="A363" s="15" t="str">
        <f>_xlfn.XLOOKUP(E363,Program_data!$E$3:$E$1234,Program_data!$E$3:$E$1234,"",0,1)</f>
        <v/>
      </c>
      <c r="B363" s="15" t="str">
        <f t="shared" si="17"/>
        <v>MA</v>
      </c>
      <c r="C363" s="15" t="s">
        <v>10</v>
      </c>
      <c r="D363" s="15" t="s">
        <v>958</v>
      </c>
      <c r="E363" s="15" t="str">
        <f t="shared" si="16"/>
        <v>Keyspan-MA</v>
      </c>
      <c r="F363" s="15" t="s">
        <v>953</v>
      </c>
      <c r="H363" s="116" t="s">
        <v>146</v>
      </c>
      <c r="I363" s="15" t="s">
        <v>116</v>
      </c>
      <c r="J363" s="15">
        <v>35711447</v>
      </c>
    </row>
    <row r="364" spans="1:10" x14ac:dyDescent="0.2">
      <c r="A364" s="15" t="str">
        <f>_xlfn.XLOOKUP(E364,Program_data!$E$3:$E$1234,Program_data!$E$3:$E$1234,"",0,1)</f>
        <v/>
      </c>
      <c r="B364" s="15" t="str">
        <f t="shared" si="17"/>
        <v>MA</v>
      </c>
      <c r="C364" s="15" t="s">
        <v>10</v>
      </c>
      <c r="D364" s="15" t="s">
        <v>958</v>
      </c>
      <c r="E364" s="15" t="str">
        <f t="shared" si="16"/>
        <v>Keyspan-MA</v>
      </c>
      <c r="F364" s="15" t="s">
        <v>956</v>
      </c>
      <c r="H364" s="116" t="s">
        <v>146</v>
      </c>
      <c r="I364" s="15" t="s">
        <v>118</v>
      </c>
      <c r="J364" s="15">
        <v>35</v>
      </c>
    </row>
    <row r="365" spans="1:10" x14ac:dyDescent="0.2">
      <c r="A365" s="15" t="str">
        <f>_xlfn.XLOOKUP(E365,Program_data!$E$3:$E$1234,Program_data!$E$3:$E$1234,"",0,1)</f>
        <v/>
      </c>
      <c r="B365" s="15" t="str">
        <f t="shared" si="17"/>
        <v>MA</v>
      </c>
      <c r="C365" s="15" t="s">
        <v>10</v>
      </c>
      <c r="D365" s="15" t="s">
        <v>958</v>
      </c>
      <c r="E365" s="15" t="str">
        <f t="shared" si="16"/>
        <v>Keyspan-MA</v>
      </c>
      <c r="F365" s="15" t="s">
        <v>957</v>
      </c>
      <c r="H365" s="116" t="s">
        <v>146</v>
      </c>
      <c r="I365" s="15" t="s">
        <v>116</v>
      </c>
      <c r="J365" s="15">
        <v>13539215</v>
      </c>
    </row>
    <row r="366" spans="1:10" x14ac:dyDescent="0.2">
      <c r="A366" s="15" t="str">
        <f>_xlfn.XLOOKUP(E366,Program_data!$E$3:$E$1234,Program_data!$E$3:$E$1234,"",0,1)</f>
        <v/>
      </c>
      <c r="B366" s="15" t="str">
        <f t="shared" si="17"/>
        <v>MA</v>
      </c>
      <c r="C366" s="15" t="s">
        <v>10</v>
      </c>
      <c r="D366" s="15" t="s">
        <v>958</v>
      </c>
      <c r="E366" s="15" t="str">
        <f t="shared" si="16"/>
        <v>Keyspan-MA</v>
      </c>
      <c r="F366" s="15" t="s">
        <v>955</v>
      </c>
      <c r="H366" s="116" t="s">
        <v>146</v>
      </c>
      <c r="I366" s="15" t="s">
        <v>117</v>
      </c>
      <c r="J366" s="15">
        <v>1294602</v>
      </c>
    </row>
    <row r="367" spans="1:10" x14ac:dyDescent="0.2">
      <c r="A367" s="15" t="str">
        <f>_xlfn.XLOOKUP(E367,Program_data!$E$3:$E$1234,Program_data!$E$3:$E$1234,"",0,1)</f>
        <v>CNG-CT</v>
      </c>
      <c r="B367" s="15" t="s">
        <v>17</v>
      </c>
      <c r="C367" s="15" t="s">
        <v>23</v>
      </c>
      <c r="D367" s="15" t="s">
        <v>307</v>
      </c>
      <c r="E367" s="15" t="str">
        <f t="shared" si="16"/>
        <v>CNG-CT</v>
      </c>
      <c r="F367" s="15" t="s">
        <v>949</v>
      </c>
      <c r="H367" s="116" t="s">
        <v>135</v>
      </c>
      <c r="I367" s="15" t="s">
        <v>116</v>
      </c>
      <c r="J367" s="15">
        <v>241523184</v>
      </c>
    </row>
    <row r="368" spans="1:10" x14ac:dyDescent="0.2">
      <c r="A368" s="15" t="str">
        <f>_xlfn.XLOOKUP(E368,Program_data!$E$3:$E$1234,Program_data!$E$3:$E$1234,"",0,1)</f>
        <v>CNG-CT</v>
      </c>
      <c r="B368" s="15" t="s">
        <v>17</v>
      </c>
      <c r="C368" s="15" t="s">
        <v>23</v>
      </c>
      <c r="D368" s="15" t="s">
        <v>307</v>
      </c>
      <c r="E368" s="15" t="str">
        <f t="shared" si="16"/>
        <v>CNG-CT</v>
      </c>
      <c r="F368" s="15" t="s">
        <v>950</v>
      </c>
      <c r="H368" s="116" t="s">
        <v>135</v>
      </c>
      <c r="I368" s="15" t="s">
        <v>118</v>
      </c>
      <c r="J368" s="15">
        <v>168543</v>
      </c>
    </row>
    <row r="369" spans="1:10" x14ac:dyDescent="0.2">
      <c r="A369" s="15" t="str">
        <f>_xlfn.XLOOKUP(E369,Program_data!$E$3:$E$1234,Program_data!$E$3:$E$1234,"",0,1)</f>
        <v>CNG-CT</v>
      </c>
      <c r="B369" s="15" t="s">
        <v>17</v>
      </c>
      <c r="C369" s="15" t="s">
        <v>23</v>
      </c>
      <c r="D369" s="15" t="s">
        <v>307</v>
      </c>
      <c r="E369" s="15" t="str">
        <f t="shared" si="16"/>
        <v>CNG-CT</v>
      </c>
      <c r="F369" s="15" t="s">
        <v>951</v>
      </c>
      <c r="H369" s="116" t="s">
        <v>135</v>
      </c>
      <c r="I369" s="15" t="s">
        <v>117</v>
      </c>
      <c r="J369" s="15">
        <v>16639021</v>
      </c>
    </row>
    <row r="370" spans="1:10" x14ac:dyDescent="0.2">
      <c r="A370" s="15" t="str">
        <f>_xlfn.XLOOKUP(E370,Program_data!$E$3:$E$1234,Program_data!$E$3:$E$1234,"",0,1)</f>
        <v>CNG-CT</v>
      </c>
      <c r="B370" s="15" t="s">
        <v>17</v>
      </c>
      <c r="C370" s="15" t="s">
        <v>23</v>
      </c>
      <c r="D370" s="15" t="s">
        <v>307</v>
      </c>
      <c r="E370" s="15" t="str">
        <f t="shared" si="16"/>
        <v>CNG-CT</v>
      </c>
      <c r="F370" s="15" t="s">
        <v>952</v>
      </c>
      <c r="H370" s="116" t="s">
        <v>146</v>
      </c>
      <c r="I370" s="15" t="s">
        <v>117</v>
      </c>
      <c r="J370" s="15">
        <v>12375539</v>
      </c>
    </row>
    <row r="371" spans="1:10" x14ac:dyDescent="0.2">
      <c r="A371" s="15" t="str">
        <f>_xlfn.XLOOKUP(E371,Program_data!$E$3:$E$1234,Program_data!$E$3:$E$1234,"",0,1)</f>
        <v>CNG-CT</v>
      </c>
      <c r="B371" s="15" t="s">
        <v>17</v>
      </c>
      <c r="C371" s="15" t="s">
        <v>23</v>
      </c>
      <c r="D371" s="15" t="s">
        <v>307</v>
      </c>
      <c r="E371" s="15" t="str">
        <f t="shared" si="16"/>
        <v>CNG-CT</v>
      </c>
      <c r="F371" s="15" t="s">
        <v>953</v>
      </c>
      <c r="H371" s="116" t="s">
        <v>146</v>
      </c>
      <c r="I371" s="15" t="s">
        <v>116</v>
      </c>
      <c r="J371" s="15">
        <v>114968797</v>
      </c>
    </row>
    <row r="372" spans="1:10" x14ac:dyDescent="0.2">
      <c r="A372" s="15" t="str">
        <f>_xlfn.XLOOKUP(E372,Program_data!$E$3:$E$1234,Program_data!$E$3:$E$1234,"",0,1)</f>
        <v>CNG-CT</v>
      </c>
      <c r="B372" s="15" t="s">
        <v>17</v>
      </c>
      <c r="C372" s="15" t="s">
        <v>23</v>
      </c>
      <c r="D372" s="15" t="s">
        <v>307</v>
      </c>
      <c r="E372" s="15" t="str">
        <f t="shared" si="16"/>
        <v>CNG-CT</v>
      </c>
      <c r="F372" s="15" t="s">
        <v>954</v>
      </c>
      <c r="H372" s="116" t="s">
        <v>146</v>
      </c>
      <c r="I372" s="15" t="s">
        <v>118</v>
      </c>
      <c r="J372" s="15">
        <v>14355</v>
      </c>
    </row>
    <row r="373" spans="1:10" x14ac:dyDescent="0.2">
      <c r="A373" s="15" t="str">
        <f>_xlfn.XLOOKUP(E373,Program_data!$E$3:$E$1234,Program_data!$E$3:$E$1234,"",0,1)</f>
        <v>CNG-CT</v>
      </c>
      <c r="B373" s="15" t="s">
        <v>17</v>
      </c>
      <c r="C373" s="15" t="s">
        <v>23</v>
      </c>
      <c r="D373" s="15" t="s">
        <v>307</v>
      </c>
      <c r="E373" s="15" t="str">
        <f t="shared" si="16"/>
        <v>CNG-CT</v>
      </c>
      <c r="F373" s="15" t="s">
        <v>956</v>
      </c>
      <c r="H373" s="116" t="s">
        <v>146</v>
      </c>
      <c r="I373" s="15" t="s">
        <v>118</v>
      </c>
      <c r="J373" s="15">
        <v>900</v>
      </c>
    </row>
    <row r="374" spans="1:10" x14ac:dyDescent="0.2">
      <c r="A374" s="15" t="str">
        <f>_xlfn.XLOOKUP(E374,Program_data!$E$3:$E$1234,Program_data!$E$3:$E$1234,"",0,1)</f>
        <v>CNG-CT</v>
      </c>
      <c r="B374" s="15" t="s">
        <v>17</v>
      </c>
      <c r="C374" s="15" t="s">
        <v>23</v>
      </c>
      <c r="D374" s="15" t="s">
        <v>307</v>
      </c>
      <c r="E374" s="15" t="str">
        <f t="shared" si="16"/>
        <v>CNG-CT</v>
      </c>
      <c r="F374" s="15" t="s">
        <v>955</v>
      </c>
      <c r="H374" s="116" t="s">
        <v>146</v>
      </c>
      <c r="I374" s="15" t="s">
        <v>117</v>
      </c>
      <c r="J374" s="15">
        <v>3468946</v>
      </c>
    </row>
    <row r="375" spans="1:10" x14ac:dyDescent="0.2">
      <c r="A375" s="15" t="str">
        <f>_xlfn.XLOOKUP(E375,Program_data!$E$3:$E$1234,Program_data!$E$3:$E$1234,"",0,1)</f>
        <v>CNG-CT</v>
      </c>
      <c r="B375" s="15" t="s">
        <v>17</v>
      </c>
      <c r="C375" s="15" t="s">
        <v>23</v>
      </c>
      <c r="D375" s="15" t="s">
        <v>307</v>
      </c>
      <c r="E375" s="15" t="str">
        <f t="shared" si="16"/>
        <v>CNG-CT</v>
      </c>
      <c r="F375" s="15" t="s">
        <v>957</v>
      </c>
      <c r="H375" s="116" t="s">
        <v>146</v>
      </c>
      <c r="I375" s="15" t="s">
        <v>116</v>
      </c>
      <c r="J375" s="15">
        <v>19954753</v>
      </c>
    </row>
    <row r="376" spans="1:10" x14ac:dyDescent="0.2">
      <c r="A376" s="15" t="str">
        <f>_xlfn.XLOOKUP(E376,Program_data!$E$3:$E$1234,Program_data!$E$3:$E$1234,"",0,1)</f>
        <v>ConEd-NY</v>
      </c>
      <c r="B376" s="15" t="s">
        <v>22</v>
      </c>
      <c r="C376" s="15" t="s">
        <v>29</v>
      </c>
      <c r="D376" s="15" t="s">
        <v>34</v>
      </c>
      <c r="E376" s="15" t="str">
        <f t="shared" si="16"/>
        <v>ConEd-NY</v>
      </c>
      <c r="F376" s="15" t="s">
        <v>950</v>
      </c>
      <c r="H376" s="116" t="s">
        <v>135</v>
      </c>
      <c r="I376" s="15" t="s">
        <v>118</v>
      </c>
      <c r="J376" s="15">
        <v>846207</v>
      </c>
    </row>
    <row r="377" spans="1:10" x14ac:dyDescent="0.2">
      <c r="A377" s="15" t="str">
        <f>_xlfn.XLOOKUP(E377,Program_data!$E$3:$E$1234,Program_data!$E$3:$E$1234,"",0,1)</f>
        <v>ConEd-NY</v>
      </c>
      <c r="B377" s="15" t="s">
        <v>22</v>
      </c>
      <c r="C377" s="15" t="s">
        <v>29</v>
      </c>
      <c r="D377" s="15" t="s">
        <v>34</v>
      </c>
      <c r="E377" s="15" t="str">
        <f t="shared" si="16"/>
        <v>ConEd-NY</v>
      </c>
      <c r="F377" s="15" t="s">
        <v>949</v>
      </c>
      <c r="H377" s="116" t="s">
        <v>135</v>
      </c>
      <c r="I377" s="15" t="s">
        <v>116</v>
      </c>
      <c r="J377" s="15">
        <v>1085672681</v>
      </c>
    </row>
    <row r="378" spans="1:10" x14ac:dyDescent="0.2">
      <c r="A378" s="15" t="str">
        <f>_xlfn.XLOOKUP(E378,Program_data!$E$3:$E$1234,Program_data!$E$3:$E$1234,"",0,1)</f>
        <v>ConEd-NY</v>
      </c>
      <c r="B378" s="15" t="s">
        <v>22</v>
      </c>
      <c r="C378" s="15" t="s">
        <v>29</v>
      </c>
      <c r="D378" s="15" t="s">
        <v>34</v>
      </c>
      <c r="E378" s="15" t="str">
        <f t="shared" si="16"/>
        <v>ConEd-NY</v>
      </c>
      <c r="F378" s="15" t="s">
        <v>951</v>
      </c>
      <c r="H378" s="116" t="s">
        <v>135</v>
      </c>
      <c r="I378" s="15" t="s">
        <v>117</v>
      </c>
      <c r="J378" s="15">
        <v>52194015</v>
      </c>
    </row>
    <row r="379" spans="1:10" x14ac:dyDescent="0.2">
      <c r="A379" s="15" t="str">
        <f>_xlfn.XLOOKUP(E379,Program_data!$E$3:$E$1234,Program_data!$E$3:$E$1234,"",0,1)</f>
        <v>ConEd-NY</v>
      </c>
      <c r="B379" s="15" t="s">
        <v>22</v>
      </c>
      <c r="C379" s="15" t="s">
        <v>29</v>
      </c>
      <c r="D379" s="15" t="s">
        <v>34</v>
      </c>
      <c r="E379" s="15" t="str">
        <f t="shared" si="16"/>
        <v>ConEd-NY</v>
      </c>
      <c r="F379" s="15" t="s">
        <v>954</v>
      </c>
      <c r="H379" s="116" t="s">
        <v>146</v>
      </c>
      <c r="I379" s="15" t="s">
        <v>118</v>
      </c>
      <c r="J379" s="15">
        <v>123143</v>
      </c>
    </row>
    <row r="380" spans="1:10" x14ac:dyDescent="0.2">
      <c r="A380" s="15" t="str">
        <f>_xlfn.XLOOKUP(E380,Program_data!$E$3:$E$1234,Program_data!$E$3:$E$1234,"",0,1)</f>
        <v>ConEd-NY</v>
      </c>
      <c r="B380" s="15" t="s">
        <v>22</v>
      </c>
      <c r="C380" s="15" t="s">
        <v>29</v>
      </c>
      <c r="D380" s="15" t="s">
        <v>34</v>
      </c>
      <c r="E380" s="15" t="str">
        <f t="shared" si="16"/>
        <v>ConEd-NY</v>
      </c>
      <c r="F380" s="15" t="s">
        <v>952</v>
      </c>
      <c r="H380" s="116" t="s">
        <v>146</v>
      </c>
      <c r="I380" s="15" t="s">
        <v>117</v>
      </c>
      <c r="J380" s="15">
        <v>50131541</v>
      </c>
    </row>
    <row r="381" spans="1:10" x14ac:dyDescent="0.2">
      <c r="A381" s="15" t="str">
        <f>_xlfn.XLOOKUP(E381,Program_data!$E$3:$E$1234,Program_data!$E$3:$E$1234,"",0,1)</f>
        <v>ConEd-NY</v>
      </c>
      <c r="B381" s="15" t="s">
        <v>22</v>
      </c>
      <c r="C381" s="15" t="s">
        <v>29</v>
      </c>
      <c r="D381" s="15" t="s">
        <v>34</v>
      </c>
      <c r="E381" s="15" t="str">
        <f t="shared" si="16"/>
        <v>ConEd-NY</v>
      </c>
      <c r="F381" s="15" t="s">
        <v>953</v>
      </c>
      <c r="H381" s="116" t="s">
        <v>146</v>
      </c>
      <c r="I381" s="15" t="s">
        <v>116</v>
      </c>
      <c r="J381" s="15">
        <v>435146877</v>
      </c>
    </row>
    <row r="382" spans="1:10" x14ac:dyDescent="0.2">
      <c r="A382" s="15" t="str">
        <f>_xlfn.XLOOKUP(E382,Program_data!$E$3:$E$1234,Program_data!$E$3:$E$1234,"",0,1)</f>
        <v>ConEd-NY</v>
      </c>
      <c r="B382" s="15" t="s">
        <v>22</v>
      </c>
      <c r="C382" s="15" t="s">
        <v>29</v>
      </c>
      <c r="D382" s="15" t="s">
        <v>34</v>
      </c>
      <c r="E382" s="15" t="str">
        <f t="shared" si="16"/>
        <v>ConEd-NY</v>
      </c>
      <c r="F382" s="15" t="s">
        <v>956</v>
      </c>
      <c r="H382" s="116" t="s">
        <v>146</v>
      </c>
      <c r="I382" s="15" t="s">
        <v>118</v>
      </c>
      <c r="J382" s="15">
        <v>15</v>
      </c>
    </row>
    <row r="383" spans="1:10" x14ac:dyDescent="0.2">
      <c r="A383" s="15" t="str">
        <f>_xlfn.XLOOKUP(E383,Program_data!$E$3:$E$1234,Program_data!$E$3:$E$1234,"",0,1)</f>
        <v>ConEd-NY</v>
      </c>
      <c r="B383" s="15" t="s">
        <v>22</v>
      </c>
      <c r="C383" s="15" t="s">
        <v>29</v>
      </c>
      <c r="D383" s="15" t="s">
        <v>34</v>
      </c>
      <c r="E383" s="15" t="str">
        <f t="shared" si="16"/>
        <v>ConEd-NY</v>
      </c>
      <c r="F383" s="15" t="s">
        <v>957</v>
      </c>
      <c r="H383" s="116" t="s">
        <v>146</v>
      </c>
      <c r="I383" s="15" t="s">
        <v>116</v>
      </c>
      <c r="J383" s="15">
        <v>9680435</v>
      </c>
    </row>
    <row r="384" spans="1:10" x14ac:dyDescent="0.2">
      <c r="A384" s="15" t="str">
        <f>_xlfn.XLOOKUP(E384,Program_data!$E$3:$E$1234,Program_data!$E$3:$E$1234,"",0,1)</f>
        <v>ConEd-NY</v>
      </c>
      <c r="B384" s="15" t="s">
        <v>22</v>
      </c>
      <c r="C384" s="15" t="s">
        <v>29</v>
      </c>
      <c r="D384" s="15" t="s">
        <v>34</v>
      </c>
      <c r="E384" s="15" t="str">
        <f t="shared" si="16"/>
        <v>ConEd-NY</v>
      </c>
      <c r="F384" s="15" t="s">
        <v>955</v>
      </c>
      <c r="H384" s="116" t="s">
        <v>146</v>
      </c>
      <c r="I384" s="15" t="s">
        <v>117</v>
      </c>
      <c r="J384" s="15">
        <v>1182467</v>
      </c>
    </row>
    <row r="385" spans="1:10" x14ac:dyDescent="0.2">
      <c r="A385" s="15" t="str">
        <f>_xlfn.XLOOKUP(E385,Program_data!$E$3:$E$1234,Program_data!$E$3:$E$1234,"",0,1)</f>
        <v>CMS-MI</v>
      </c>
      <c r="B385" s="15" t="str">
        <f t="shared" si="17"/>
        <v>MI</v>
      </c>
      <c r="C385" s="15" t="s">
        <v>38</v>
      </c>
      <c r="D385" s="15" t="s">
        <v>635</v>
      </c>
      <c r="E385" s="15" t="str">
        <f t="shared" si="16"/>
        <v>CMS-MI</v>
      </c>
      <c r="F385" s="15" t="s">
        <v>949</v>
      </c>
      <c r="H385" s="116" t="s">
        <v>135</v>
      </c>
      <c r="I385" s="15" t="s">
        <v>116</v>
      </c>
      <c r="J385" s="15">
        <v>1410907104</v>
      </c>
    </row>
    <row r="386" spans="1:10" x14ac:dyDescent="0.2">
      <c r="A386" s="15" t="str">
        <f>_xlfn.XLOOKUP(E386,Program_data!$E$3:$E$1234,Program_data!$E$3:$E$1234,"",0,1)</f>
        <v>CMS-MI</v>
      </c>
      <c r="B386" s="15" t="str">
        <f t="shared" ref="B386:B425" si="18">UPPER(LEFT(C386,2))</f>
        <v>MI</v>
      </c>
      <c r="C386" s="15" t="s">
        <v>38</v>
      </c>
      <c r="D386" s="15" t="s">
        <v>635</v>
      </c>
      <c r="E386" s="15" t="str">
        <f t="shared" ref="E386:E417" si="19">D386&amp;"-"&amp;B386</f>
        <v>CMS-MI</v>
      </c>
      <c r="F386" s="15" t="s">
        <v>951</v>
      </c>
      <c r="H386" s="116" t="s">
        <v>135</v>
      </c>
      <c r="I386" s="15" t="s">
        <v>117</v>
      </c>
      <c r="J386" s="15">
        <v>145465071</v>
      </c>
    </row>
    <row r="387" spans="1:10" x14ac:dyDescent="0.2">
      <c r="A387" s="15" t="str">
        <f>_xlfn.XLOOKUP(E387,Program_data!$E$3:$E$1234,Program_data!$E$3:$E$1234,"",0,1)</f>
        <v>CMS-MI</v>
      </c>
      <c r="B387" s="15" t="str">
        <f t="shared" si="18"/>
        <v>MI</v>
      </c>
      <c r="C387" s="15" t="s">
        <v>38</v>
      </c>
      <c r="D387" s="15" t="s">
        <v>635</v>
      </c>
      <c r="E387" s="15" t="str">
        <f t="shared" si="19"/>
        <v>CMS-MI</v>
      </c>
      <c r="F387" s="15" t="s">
        <v>950</v>
      </c>
      <c r="H387" s="116" t="s">
        <v>135</v>
      </c>
      <c r="I387" s="15" t="s">
        <v>118</v>
      </c>
      <c r="J387" s="15">
        <v>1670761</v>
      </c>
    </row>
    <row r="388" spans="1:10" x14ac:dyDescent="0.2">
      <c r="A388" s="15" t="str">
        <f>_xlfn.XLOOKUP(E388,Program_data!$E$3:$E$1234,Program_data!$E$3:$E$1234,"",0,1)</f>
        <v>CMS-MI</v>
      </c>
      <c r="B388" s="15" t="str">
        <f t="shared" si="18"/>
        <v>MI</v>
      </c>
      <c r="C388" s="15" t="s">
        <v>38</v>
      </c>
      <c r="D388" s="15" t="s">
        <v>635</v>
      </c>
      <c r="E388" s="15" t="str">
        <f t="shared" si="19"/>
        <v>CMS-MI</v>
      </c>
      <c r="F388" s="15" t="s">
        <v>953</v>
      </c>
      <c r="H388" s="116" t="s">
        <v>146</v>
      </c>
      <c r="I388" s="15" t="s">
        <v>116</v>
      </c>
      <c r="J388" s="15">
        <v>408307501</v>
      </c>
    </row>
    <row r="389" spans="1:10" x14ac:dyDescent="0.2">
      <c r="A389" s="15" t="str">
        <f>_xlfn.XLOOKUP(E389,Program_data!$E$3:$E$1234,Program_data!$E$3:$E$1234,"",0,1)</f>
        <v>CMS-MI</v>
      </c>
      <c r="B389" s="15" t="str">
        <f t="shared" si="18"/>
        <v>MI</v>
      </c>
      <c r="C389" s="15" t="s">
        <v>38</v>
      </c>
      <c r="D389" s="15" t="s">
        <v>635</v>
      </c>
      <c r="E389" s="15" t="str">
        <f t="shared" si="19"/>
        <v>CMS-MI</v>
      </c>
      <c r="F389" s="15" t="s">
        <v>952</v>
      </c>
      <c r="H389" s="116" t="s">
        <v>146</v>
      </c>
      <c r="I389" s="15" t="s">
        <v>117</v>
      </c>
      <c r="J389" s="15">
        <v>50746737</v>
      </c>
    </row>
    <row r="390" spans="1:10" x14ac:dyDescent="0.2">
      <c r="A390" s="15" t="str">
        <f>_xlfn.XLOOKUP(E390,Program_data!$E$3:$E$1234,Program_data!$E$3:$E$1234,"",0,1)</f>
        <v>CMS-MI</v>
      </c>
      <c r="B390" s="15" t="str">
        <f t="shared" si="18"/>
        <v>MI</v>
      </c>
      <c r="C390" s="15" t="s">
        <v>38</v>
      </c>
      <c r="D390" s="15" t="s">
        <v>635</v>
      </c>
      <c r="E390" s="15" t="str">
        <f t="shared" si="19"/>
        <v>CMS-MI</v>
      </c>
      <c r="F390" s="15" t="s">
        <v>954</v>
      </c>
      <c r="H390" s="116" t="s">
        <v>146</v>
      </c>
      <c r="I390" s="15" t="s">
        <v>118</v>
      </c>
      <c r="J390" s="15">
        <v>127175</v>
      </c>
    </row>
    <row r="391" spans="1:10" x14ac:dyDescent="0.2">
      <c r="A391" s="15" t="str">
        <f>_xlfn.XLOOKUP(E391,Program_data!$E$3:$E$1234,Program_data!$E$3:$E$1234,"",0,1)</f>
        <v>CMS-MI</v>
      </c>
      <c r="B391" s="15" t="str">
        <f t="shared" si="18"/>
        <v>MI</v>
      </c>
      <c r="C391" s="15" t="s">
        <v>38</v>
      </c>
      <c r="D391" s="15" t="s">
        <v>635</v>
      </c>
      <c r="E391" s="15" t="str">
        <f t="shared" si="19"/>
        <v>CMS-MI</v>
      </c>
      <c r="F391" s="15" t="s">
        <v>955</v>
      </c>
      <c r="H391" s="116" t="s">
        <v>146</v>
      </c>
      <c r="I391" s="15" t="s">
        <v>117</v>
      </c>
      <c r="J391" s="15">
        <v>7660770</v>
      </c>
    </row>
    <row r="392" spans="1:10" x14ac:dyDescent="0.2">
      <c r="A392" s="15" t="str">
        <f>_xlfn.XLOOKUP(E392,Program_data!$E$3:$E$1234,Program_data!$E$3:$E$1234,"",0,1)</f>
        <v>CMS-MI</v>
      </c>
      <c r="B392" s="15" t="str">
        <f t="shared" si="18"/>
        <v>MI</v>
      </c>
      <c r="C392" s="15" t="s">
        <v>38</v>
      </c>
      <c r="D392" s="15" t="s">
        <v>635</v>
      </c>
      <c r="E392" s="15" t="str">
        <f t="shared" si="19"/>
        <v>CMS-MI</v>
      </c>
      <c r="F392" s="15" t="s">
        <v>956</v>
      </c>
      <c r="H392" s="116" t="s">
        <v>146</v>
      </c>
      <c r="I392" s="15" t="s">
        <v>118</v>
      </c>
      <c r="J392" s="15">
        <v>4161</v>
      </c>
    </row>
    <row r="393" spans="1:10" x14ac:dyDescent="0.2">
      <c r="A393" s="15" t="str">
        <f>_xlfn.XLOOKUP(E393,Program_data!$E$3:$E$1234,Program_data!$E$3:$E$1234,"",0,1)</f>
        <v>CMS-MI</v>
      </c>
      <c r="B393" s="15" t="str">
        <f t="shared" si="18"/>
        <v>MI</v>
      </c>
      <c r="C393" s="15" t="s">
        <v>38</v>
      </c>
      <c r="D393" s="15" t="s">
        <v>635</v>
      </c>
      <c r="E393" s="15" t="str">
        <f t="shared" si="19"/>
        <v>CMS-MI</v>
      </c>
      <c r="F393" s="15" t="s">
        <v>957</v>
      </c>
      <c r="H393" s="116" t="s">
        <v>146</v>
      </c>
      <c r="I393" s="15" t="s">
        <v>116</v>
      </c>
      <c r="J393" s="15">
        <v>54348536</v>
      </c>
    </row>
    <row r="394" spans="1:10" x14ac:dyDescent="0.2">
      <c r="A394" s="15" t="str">
        <f>_xlfn.XLOOKUP(E394,Program_data!$E$3:$E$1234,Program_data!$E$3:$E$1234,"",0,1)</f>
        <v>DTE-MI</v>
      </c>
      <c r="B394" s="15" t="str">
        <f t="shared" si="18"/>
        <v>MI</v>
      </c>
      <c r="C394" s="15" t="s">
        <v>38</v>
      </c>
      <c r="D394" s="15" t="s">
        <v>200</v>
      </c>
      <c r="E394" s="15" t="str">
        <f t="shared" si="19"/>
        <v>DTE-MI</v>
      </c>
      <c r="F394" s="15" t="s">
        <v>950</v>
      </c>
      <c r="H394" s="116" t="s">
        <v>135</v>
      </c>
      <c r="I394" s="15" t="s">
        <v>118</v>
      </c>
      <c r="J394" s="15">
        <v>1106580</v>
      </c>
    </row>
    <row r="395" spans="1:10" x14ac:dyDescent="0.2">
      <c r="A395" s="15" t="str">
        <f>_xlfn.XLOOKUP(E395,Program_data!$E$3:$E$1234,Program_data!$E$3:$E$1234,"",0,1)</f>
        <v>DTE-MI</v>
      </c>
      <c r="B395" s="15" t="str">
        <f t="shared" si="18"/>
        <v>MI</v>
      </c>
      <c r="C395" s="15" t="s">
        <v>38</v>
      </c>
      <c r="D395" s="15" t="s">
        <v>200</v>
      </c>
      <c r="E395" s="15" t="str">
        <f t="shared" si="19"/>
        <v>DTE-MI</v>
      </c>
      <c r="F395" s="15" t="s">
        <v>949</v>
      </c>
      <c r="H395" s="116" t="s">
        <v>135</v>
      </c>
      <c r="I395" s="15" t="s">
        <v>116</v>
      </c>
      <c r="J395" s="15">
        <v>873100354</v>
      </c>
    </row>
    <row r="396" spans="1:10" x14ac:dyDescent="0.2">
      <c r="A396" s="15" t="str">
        <f>_xlfn.XLOOKUP(E396,Program_data!$E$3:$E$1234,Program_data!$E$3:$E$1234,"",0,1)</f>
        <v>DTE-MI</v>
      </c>
      <c r="B396" s="15" t="str">
        <f t="shared" si="18"/>
        <v>MI</v>
      </c>
      <c r="C396" s="15" t="s">
        <v>38</v>
      </c>
      <c r="D396" s="15" t="s">
        <v>200</v>
      </c>
      <c r="E396" s="15" t="str">
        <f t="shared" si="19"/>
        <v>DTE-MI</v>
      </c>
      <c r="F396" s="15" t="s">
        <v>951</v>
      </c>
      <c r="H396" s="116" t="s">
        <v>135</v>
      </c>
      <c r="I396" s="15" t="s">
        <v>117</v>
      </c>
      <c r="J396" s="15">
        <v>98118896</v>
      </c>
    </row>
    <row r="397" spans="1:10" x14ac:dyDescent="0.2">
      <c r="A397" s="15" t="str">
        <f>_xlfn.XLOOKUP(E397,Program_data!$E$3:$E$1234,Program_data!$E$3:$E$1234,"",0,1)</f>
        <v>DTE-MI</v>
      </c>
      <c r="B397" s="15" t="str">
        <f t="shared" si="18"/>
        <v>MI</v>
      </c>
      <c r="C397" s="15" t="s">
        <v>38</v>
      </c>
      <c r="D397" s="15" t="s">
        <v>200</v>
      </c>
      <c r="E397" s="15" t="str">
        <f t="shared" si="19"/>
        <v>DTE-MI</v>
      </c>
      <c r="F397" s="15" t="s">
        <v>953</v>
      </c>
      <c r="H397" s="116" t="s">
        <v>146</v>
      </c>
      <c r="I397" s="15" t="s">
        <v>116</v>
      </c>
      <c r="J397" s="15">
        <v>213904459</v>
      </c>
    </row>
    <row r="398" spans="1:10" x14ac:dyDescent="0.2">
      <c r="A398" s="15" t="str">
        <f>_xlfn.XLOOKUP(E398,Program_data!$E$3:$E$1234,Program_data!$E$3:$E$1234,"",0,1)</f>
        <v>DTE-MI</v>
      </c>
      <c r="B398" s="15" t="str">
        <f t="shared" si="18"/>
        <v>MI</v>
      </c>
      <c r="C398" s="15" t="s">
        <v>38</v>
      </c>
      <c r="D398" s="15" t="s">
        <v>200</v>
      </c>
      <c r="E398" s="15" t="str">
        <f t="shared" si="19"/>
        <v>DTE-MI</v>
      </c>
      <c r="F398" s="15" t="s">
        <v>952</v>
      </c>
      <c r="H398" s="116" t="s">
        <v>146</v>
      </c>
      <c r="I398" s="15" t="s">
        <v>117</v>
      </c>
      <c r="J398" s="15">
        <v>25672673</v>
      </c>
    </row>
    <row r="399" spans="1:10" x14ac:dyDescent="0.2">
      <c r="A399" s="15" t="str">
        <f>_xlfn.XLOOKUP(E399,Program_data!$E$3:$E$1234,Program_data!$E$3:$E$1234,"",0,1)</f>
        <v>DTE-MI</v>
      </c>
      <c r="B399" s="15" t="str">
        <f t="shared" si="18"/>
        <v>MI</v>
      </c>
      <c r="C399" s="15" t="s">
        <v>38</v>
      </c>
      <c r="D399" s="15" t="s">
        <v>200</v>
      </c>
      <c r="E399" s="15" t="str">
        <f t="shared" si="19"/>
        <v>DTE-MI</v>
      </c>
      <c r="F399" s="15" t="s">
        <v>954</v>
      </c>
      <c r="H399" s="116" t="s">
        <v>146</v>
      </c>
      <c r="I399" s="15" t="s">
        <v>118</v>
      </c>
      <c r="J399" s="15">
        <v>73605</v>
      </c>
    </row>
    <row r="400" spans="1:10" x14ac:dyDescent="0.2">
      <c r="A400" s="15" t="str">
        <f>_xlfn.XLOOKUP(E400,Program_data!$E$3:$E$1234,Program_data!$E$3:$E$1234,"",0,1)</f>
        <v>DTE-MI</v>
      </c>
      <c r="B400" s="15" t="str">
        <f t="shared" si="18"/>
        <v>MI</v>
      </c>
      <c r="C400" s="15" t="s">
        <v>38</v>
      </c>
      <c r="D400" s="15" t="s">
        <v>200</v>
      </c>
      <c r="E400" s="15" t="str">
        <f t="shared" si="19"/>
        <v>DTE-MI</v>
      </c>
      <c r="F400" s="15" t="s">
        <v>955</v>
      </c>
      <c r="H400" s="116" t="s">
        <v>146</v>
      </c>
      <c r="I400" s="15" t="s">
        <v>117</v>
      </c>
      <c r="J400" s="15">
        <v>594449</v>
      </c>
    </row>
    <row r="401" spans="1:10" x14ac:dyDescent="0.2">
      <c r="A401" s="15" t="str">
        <f>_xlfn.XLOOKUP(E401,Program_data!$E$3:$E$1234,Program_data!$E$3:$E$1234,"",0,1)</f>
        <v>DTE-MI</v>
      </c>
      <c r="B401" s="15" t="str">
        <f t="shared" si="18"/>
        <v>MI</v>
      </c>
      <c r="C401" s="15" t="s">
        <v>38</v>
      </c>
      <c r="D401" s="15" t="s">
        <v>200</v>
      </c>
      <c r="E401" s="15" t="str">
        <f t="shared" si="19"/>
        <v>DTE-MI</v>
      </c>
      <c r="F401" s="15" t="s">
        <v>956</v>
      </c>
      <c r="H401" s="116" t="s">
        <v>146</v>
      </c>
      <c r="I401" s="15" t="s">
        <v>118</v>
      </c>
      <c r="J401" s="15">
        <v>315</v>
      </c>
    </row>
    <row r="402" spans="1:10" x14ac:dyDescent="0.2">
      <c r="A402" s="15" t="str">
        <f>_xlfn.XLOOKUP(E402,Program_data!$E$3:$E$1234,Program_data!$E$3:$E$1234,"",0,1)</f>
        <v>DTE-MI</v>
      </c>
      <c r="B402" s="15" t="str">
        <f t="shared" si="18"/>
        <v>MI</v>
      </c>
      <c r="C402" s="15" t="s">
        <v>38</v>
      </c>
      <c r="D402" s="15" t="s">
        <v>200</v>
      </c>
      <c r="E402" s="15" t="str">
        <f t="shared" si="19"/>
        <v>DTE-MI</v>
      </c>
      <c r="F402" s="15" t="s">
        <v>957</v>
      </c>
      <c r="H402" s="116" t="s">
        <v>146</v>
      </c>
      <c r="I402" s="15" t="s">
        <v>116</v>
      </c>
      <c r="J402" s="15">
        <v>3995963</v>
      </c>
    </row>
    <row r="403" spans="1:10" x14ac:dyDescent="0.2">
      <c r="A403" s="15" t="str">
        <f>_xlfn.XLOOKUP(E403,Program_data!$E$3:$E$1234,Program_data!$E$3:$E$1234,"",0,1)</f>
        <v>Eversource-MA</v>
      </c>
      <c r="B403" s="15" t="str">
        <f t="shared" si="18"/>
        <v>MA</v>
      </c>
      <c r="C403" s="15" t="s">
        <v>10</v>
      </c>
      <c r="D403" s="15" t="s">
        <v>18</v>
      </c>
      <c r="E403" s="15" t="str">
        <f t="shared" si="19"/>
        <v>Eversource-MA</v>
      </c>
      <c r="F403" s="15" t="s">
        <v>951</v>
      </c>
      <c r="H403" s="116" t="s">
        <v>135</v>
      </c>
      <c r="I403" s="15" t="s">
        <v>117</v>
      </c>
      <c r="J403" s="15">
        <v>24056409</v>
      </c>
    </row>
    <row r="404" spans="1:10" x14ac:dyDescent="0.2">
      <c r="A404" s="15" t="str">
        <f>_xlfn.XLOOKUP(E404,Program_data!$E$3:$E$1234,Program_data!$E$3:$E$1234,"",0,1)</f>
        <v>Eversource-MA</v>
      </c>
      <c r="B404" s="15" t="str">
        <f t="shared" si="18"/>
        <v>MA</v>
      </c>
      <c r="C404" s="15" t="s">
        <v>10</v>
      </c>
      <c r="D404" s="15" t="s">
        <v>18</v>
      </c>
      <c r="E404" s="15" t="str">
        <f t="shared" si="19"/>
        <v>Eversource-MA</v>
      </c>
      <c r="F404" s="15" t="s">
        <v>949</v>
      </c>
      <c r="H404" s="116" t="s">
        <v>135</v>
      </c>
      <c r="I404" s="15" t="s">
        <v>116</v>
      </c>
      <c r="J404" s="15">
        <v>341883398</v>
      </c>
    </row>
    <row r="405" spans="1:10" x14ac:dyDescent="0.2">
      <c r="A405" s="15" t="str">
        <f>_xlfn.XLOOKUP(E405,Program_data!$E$3:$E$1234,Program_data!$E$3:$E$1234,"",0,1)</f>
        <v>Eversource-MA</v>
      </c>
      <c r="B405" s="15" t="str">
        <f t="shared" si="18"/>
        <v>MA</v>
      </c>
      <c r="C405" s="15" t="s">
        <v>10</v>
      </c>
      <c r="D405" s="15" t="s">
        <v>18</v>
      </c>
      <c r="E405" s="15" t="str">
        <f t="shared" si="19"/>
        <v>Eversource-MA</v>
      </c>
      <c r="F405" s="15" t="s">
        <v>950</v>
      </c>
      <c r="H405" s="116" t="s">
        <v>135</v>
      </c>
      <c r="I405" s="15" t="s">
        <v>118</v>
      </c>
      <c r="J405" s="15">
        <v>302787</v>
      </c>
    </row>
    <row r="406" spans="1:10" x14ac:dyDescent="0.2">
      <c r="A406" s="15" t="str">
        <f>_xlfn.XLOOKUP(E406,Program_data!$E$3:$E$1234,Program_data!$E$3:$E$1234,"",0,1)</f>
        <v>Eversource-MA</v>
      </c>
      <c r="B406" s="15" t="str">
        <f t="shared" si="18"/>
        <v>MA</v>
      </c>
      <c r="C406" s="15" t="s">
        <v>10</v>
      </c>
      <c r="D406" s="15" t="s">
        <v>18</v>
      </c>
      <c r="E406" s="15" t="str">
        <f t="shared" si="19"/>
        <v>Eversource-MA</v>
      </c>
      <c r="F406" s="15" t="s">
        <v>952</v>
      </c>
      <c r="H406" s="116" t="s">
        <v>146</v>
      </c>
      <c r="I406" s="15" t="s">
        <v>117</v>
      </c>
      <c r="J406" s="15">
        <v>7250513</v>
      </c>
    </row>
    <row r="407" spans="1:10" x14ac:dyDescent="0.2">
      <c r="A407" s="15" t="str">
        <f>_xlfn.XLOOKUP(E407,Program_data!$E$3:$E$1234,Program_data!$E$3:$E$1234,"",0,1)</f>
        <v>Eversource-MA</v>
      </c>
      <c r="B407" s="15" t="str">
        <f t="shared" si="18"/>
        <v>MA</v>
      </c>
      <c r="C407" s="15" t="s">
        <v>10</v>
      </c>
      <c r="D407" s="15" t="s">
        <v>18</v>
      </c>
      <c r="E407" s="15" t="str">
        <f t="shared" si="19"/>
        <v>Eversource-MA</v>
      </c>
      <c r="F407" s="15" t="s">
        <v>954</v>
      </c>
      <c r="H407" s="116" t="s">
        <v>146</v>
      </c>
      <c r="I407" s="15" t="s">
        <v>118</v>
      </c>
      <c r="J407" s="15">
        <v>26284</v>
      </c>
    </row>
    <row r="408" spans="1:10" x14ac:dyDescent="0.2">
      <c r="A408" s="15" t="str">
        <f>_xlfn.XLOOKUP(E408,Program_data!$E$3:$E$1234,Program_data!$E$3:$E$1234,"",0,1)</f>
        <v>Eversource-MA</v>
      </c>
      <c r="B408" s="15" t="str">
        <f t="shared" si="18"/>
        <v>MA</v>
      </c>
      <c r="C408" s="15" t="s">
        <v>10</v>
      </c>
      <c r="D408" s="15" t="s">
        <v>18</v>
      </c>
      <c r="E408" s="15" t="str">
        <f t="shared" si="19"/>
        <v>Eversource-MA</v>
      </c>
      <c r="F408" s="15" t="s">
        <v>953</v>
      </c>
      <c r="H408" s="116" t="s">
        <v>146</v>
      </c>
      <c r="I408" s="15" t="s">
        <v>116</v>
      </c>
      <c r="J408" s="15">
        <v>76066617</v>
      </c>
    </row>
    <row r="409" spans="1:10" x14ac:dyDescent="0.2">
      <c r="A409" s="15" t="str">
        <f>_xlfn.XLOOKUP(E409,Program_data!$E$3:$E$1234,Program_data!$E$3:$E$1234,"",0,1)</f>
        <v>Eversource-MA</v>
      </c>
      <c r="B409" s="15" t="str">
        <f t="shared" si="18"/>
        <v>MA</v>
      </c>
      <c r="C409" s="15" t="s">
        <v>10</v>
      </c>
      <c r="D409" s="15" t="s">
        <v>18</v>
      </c>
      <c r="E409" s="15" t="str">
        <f t="shared" si="19"/>
        <v>Eversource-MA</v>
      </c>
      <c r="F409" s="15" t="s">
        <v>955</v>
      </c>
      <c r="H409" s="116" t="s">
        <v>146</v>
      </c>
      <c r="I409" s="15" t="s">
        <v>117</v>
      </c>
      <c r="J409" s="15">
        <v>2596082</v>
      </c>
    </row>
    <row r="410" spans="1:10" x14ac:dyDescent="0.2">
      <c r="A410" s="15" t="str">
        <f>_xlfn.XLOOKUP(E410,Program_data!$E$3:$E$1234,Program_data!$E$3:$E$1234,"",0,1)</f>
        <v>Eversource-MA</v>
      </c>
      <c r="B410" s="15" t="str">
        <f t="shared" si="18"/>
        <v>MA</v>
      </c>
      <c r="C410" s="15" t="s">
        <v>10</v>
      </c>
      <c r="D410" s="15" t="s">
        <v>18</v>
      </c>
      <c r="E410" s="15" t="str">
        <f t="shared" si="19"/>
        <v>Eversource-MA</v>
      </c>
      <c r="F410" s="15" t="s">
        <v>957</v>
      </c>
      <c r="H410" s="116" t="s">
        <v>146</v>
      </c>
      <c r="I410" s="15" t="s">
        <v>116</v>
      </c>
      <c r="J410" s="15">
        <v>21054516</v>
      </c>
    </row>
    <row r="411" spans="1:10" x14ac:dyDescent="0.2">
      <c r="A411" s="15" t="str">
        <f>_xlfn.XLOOKUP(E411,Program_data!$E$3:$E$1234,Program_data!$E$3:$E$1234,"",0,1)</f>
        <v>Eversource-MA</v>
      </c>
      <c r="B411" s="15" t="str">
        <f t="shared" si="18"/>
        <v>MA</v>
      </c>
      <c r="C411" s="15" t="s">
        <v>10</v>
      </c>
      <c r="D411" s="15" t="s">
        <v>18</v>
      </c>
      <c r="E411" s="15" t="str">
        <f t="shared" si="19"/>
        <v>Eversource-MA</v>
      </c>
      <c r="F411" s="15" t="s">
        <v>956</v>
      </c>
      <c r="H411" s="116" t="s">
        <v>146</v>
      </c>
      <c r="I411" s="15" t="s">
        <v>118</v>
      </c>
      <c r="J411" s="15">
        <v>277</v>
      </c>
    </row>
    <row r="412" spans="1:10" x14ac:dyDescent="0.2">
      <c r="A412" s="15" t="str">
        <f>_xlfn.XLOOKUP(E412,Program_data!$E$3:$E$1234,Program_data!$E$3:$E$1234,"",0,1)</f>
        <v>Ngrid-NY</v>
      </c>
      <c r="B412" s="15" t="s">
        <v>22</v>
      </c>
      <c r="C412" s="15" t="s">
        <v>29</v>
      </c>
      <c r="D412" s="15" t="s">
        <v>159</v>
      </c>
      <c r="E412" s="15" t="str">
        <f t="shared" si="19"/>
        <v>Ngrid-NY</v>
      </c>
      <c r="F412" s="15" t="s">
        <v>951</v>
      </c>
      <c r="H412" s="116" t="s">
        <v>135</v>
      </c>
      <c r="I412" s="15" t="s">
        <v>117</v>
      </c>
      <c r="J412" s="15">
        <v>53452175</v>
      </c>
    </row>
    <row r="413" spans="1:10" x14ac:dyDescent="0.2">
      <c r="A413" s="15" t="str">
        <f>_xlfn.XLOOKUP(E413,Program_data!$E$3:$E$1234,Program_data!$E$3:$E$1234,"",0,1)</f>
        <v>Ngrid-NY</v>
      </c>
      <c r="B413" s="15" t="s">
        <v>22</v>
      </c>
      <c r="C413" s="15" t="s">
        <v>29</v>
      </c>
      <c r="D413" s="15" t="s">
        <v>159</v>
      </c>
      <c r="E413" s="15" t="str">
        <f t="shared" si="19"/>
        <v>Ngrid-NY</v>
      </c>
      <c r="F413" s="15" t="s">
        <v>949</v>
      </c>
      <c r="H413" s="116" t="s">
        <v>135</v>
      </c>
      <c r="I413" s="15" t="s">
        <v>116</v>
      </c>
      <c r="J413" s="15">
        <v>764931463</v>
      </c>
    </row>
    <row r="414" spans="1:10" x14ac:dyDescent="0.2">
      <c r="A414" s="15" t="str">
        <f>_xlfn.XLOOKUP(E414,Program_data!$E$3:$E$1234,Program_data!$E$3:$E$1234,"",0,1)</f>
        <v>Ngrid-NY</v>
      </c>
      <c r="B414" s="15" t="s">
        <v>22</v>
      </c>
      <c r="C414" s="15" t="s">
        <v>29</v>
      </c>
      <c r="D414" s="15" t="s">
        <v>159</v>
      </c>
      <c r="E414" s="15" t="str">
        <f t="shared" si="19"/>
        <v>Ngrid-NY</v>
      </c>
      <c r="F414" s="15" t="s">
        <v>950</v>
      </c>
      <c r="H414" s="116" t="s">
        <v>135</v>
      </c>
      <c r="I414" s="15" t="s">
        <v>118</v>
      </c>
      <c r="J414" s="15">
        <v>537093</v>
      </c>
    </row>
    <row r="415" spans="1:10" x14ac:dyDescent="0.2">
      <c r="A415" s="15" t="str">
        <f>_xlfn.XLOOKUP(E415,Program_data!$E$3:$E$1234,Program_data!$E$3:$E$1234,"",0,1)</f>
        <v>Ngrid-NY</v>
      </c>
      <c r="B415" s="15" t="s">
        <v>22</v>
      </c>
      <c r="C415" s="15" t="s">
        <v>29</v>
      </c>
      <c r="D415" s="15" t="s">
        <v>159</v>
      </c>
      <c r="E415" s="15" t="str">
        <f t="shared" si="19"/>
        <v>Ngrid-NY</v>
      </c>
      <c r="F415" s="15" t="s">
        <v>953</v>
      </c>
      <c r="H415" s="116" t="s">
        <v>146</v>
      </c>
      <c r="I415" s="15" t="s">
        <v>116</v>
      </c>
      <c r="J415" s="15">
        <v>270998095</v>
      </c>
    </row>
    <row r="416" spans="1:10" x14ac:dyDescent="0.2">
      <c r="A416" s="15" t="str">
        <f>_xlfn.XLOOKUP(E416,Program_data!$E$3:$E$1234,Program_data!$E$3:$E$1234,"",0,1)</f>
        <v>Ngrid-NY</v>
      </c>
      <c r="B416" s="15" t="s">
        <v>22</v>
      </c>
      <c r="C416" s="15" t="s">
        <v>29</v>
      </c>
      <c r="D416" s="15" t="s">
        <v>159</v>
      </c>
      <c r="E416" s="15" t="str">
        <f t="shared" si="19"/>
        <v>Ngrid-NY</v>
      </c>
      <c r="F416" s="15" t="s">
        <v>952</v>
      </c>
      <c r="H416" s="116" t="s">
        <v>146</v>
      </c>
      <c r="I416" s="15" t="s">
        <v>117</v>
      </c>
      <c r="J416" s="15">
        <v>25128809</v>
      </c>
    </row>
    <row r="417" spans="1:10" x14ac:dyDescent="0.2">
      <c r="A417" s="15" t="str">
        <f>_xlfn.XLOOKUP(E417,Program_data!$E$3:$E$1234,Program_data!$E$3:$E$1234,"",0,1)</f>
        <v>Ngrid-NY</v>
      </c>
      <c r="B417" s="15" t="s">
        <v>22</v>
      </c>
      <c r="C417" s="15" t="s">
        <v>29</v>
      </c>
      <c r="D417" s="15" t="s">
        <v>159</v>
      </c>
      <c r="E417" s="15" t="str">
        <f t="shared" si="19"/>
        <v>Ngrid-NY</v>
      </c>
      <c r="F417" s="15" t="s">
        <v>954</v>
      </c>
      <c r="H417" s="116" t="s">
        <v>146</v>
      </c>
      <c r="I417" s="15" t="s">
        <v>118</v>
      </c>
      <c r="J417" s="15">
        <v>51197</v>
      </c>
    </row>
    <row r="418" spans="1:10" x14ac:dyDescent="0.2">
      <c r="A418" s="15" t="str">
        <f>_xlfn.XLOOKUP(E418,Program_data!$E$3:$E$1234,Program_data!$E$3:$E$1234,"",0,1)</f>
        <v>FOE-WI</v>
      </c>
      <c r="B418" s="15" t="str">
        <f t="shared" si="18"/>
        <v>WI</v>
      </c>
      <c r="C418" s="15" t="s">
        <v>69</v>
      </c>
      <c r="D418" s="15" t="s">
        <v>928</v>
      </c>
      <c r="E418" s="15" t="s">
        <v>890</v>
      </c>
      <c r="F418" s="15" t="s">
        <v>949</v>
      </c>
      <c r="H418" s="116" t="s">
        <v>135</v>
      </c>
      <c r="I418" s="15" t="s">
        <v>116</v>
      </c>
      <c r="J418" s="15">
        <v>121788963</v>
      </c>
    </row>
    <row r="419" spans="1:10" x14ac:dyDescent="0.2">
      <c r="A419" s="15" t="str">
        <f>_xlfn.XLOOKUP(E419,Program_data!$E$3:$E$1234,Program_data!$E$3:$E$1234,"",0,1)</f>
        <v>FOE-WI</v>
      </c>
      <c r="B419" s="15" t="str">
        <f t="shared" si="18"/>
        <v>WI</v>
      </c>
      <c r="C419" s="15" t="s">
        <v>69</v>
      </c>
      <c r="D419" s="15" t="s">
        <v>928</v>
      </c>
      <c r="E419" s="15" t="s">
        <v>890</v>
      </c>
      <c r="F419" s="15" t="s">
        <v>951</v>
      </c>
      <c r="H419" s="116" t="s">
        <v>135</v>
      </c>
      <c r="I419" s="15" t="s">
        <v>117</v>
      </c>
      <c r="J419" s="15">
        <v>11266862</v>
      </c>
    </row>
    <row r="420" spans="1:10" x14ac:dyDescent="0.2">
      <c r="A420" s="15" t="str">
        <f>_xlfn.XLOOKUP(E420,Program_data!$E$3:$E$1234,Program_data!$E$3:$E$1234,"",0,1)</f>
        <v>FOE-WI</v>
      </c>
      <c r="B420" s="15" t="str">
        <f t="shared" si="18"/>
        <v>WI</v>
      </c>
      <c r="C420" s="15" t="s">
        <v>69</v>
      </c>
      <c r="D420" s="15" t="s">
        <v>928</v>
      </c>
      <c r="E420" s="15" t="s">
        <v>890</v>
      </c>
      <c r="F420" s="15" t="s">
        <v>950</v>
      </c>
      <c r="H420" s="116" t="s">
        <v>135</v>
      </c>
      <c r="I420" s="15" t="s">
        <v>118</v>
      </c>
      <c r="J420" s="15">
        <v>154282</v>
      </c>
    </row>
    <row r="421" spans="1:10" x14ac:dyDescent="0.2">
      <c r="A421" s="15" t="str">
        <f>_xlfn.XLOOKUP(E421,Program_data!$E$3:$E$1234,Program_data!$E$3:$E$1234,"",0,1)</f>
        <v>FOE-WI</v>
      </c>
      <c r="B421" s="15" t="str">
        <f t="shared" si="18"/>
        <v>WI</v>
      </c>
      <c r="C421" s="15" t="s">
        <v>69</v>
      </c>
      <c r="D421" s="15" t="s">
        <v>928</v>
      </c>
      <c r="E421" s="15" t="s">
        <v>890</v>
      </c>
      <c r="F421" s="15" t="s">
        <v>954</v>
      </c>
      <c r="H421" s="116" t="s">
        <v>146</v>
      </c>
      <c r="I421" s="15" t="s">
        <v>118</v>
      </c>
      <c r="J421" s="15">
        <v>13249</v>
      </c>
    </row>
    <row r="422" spans="1:10" x14ac:dyDescent="0.2">
      <c r="A422" s="15" t="str">
        <f>_xlfn.XLOOKUP(E422,Program_data!$E$3:$E$1234,Program_data!$E$3:$E$1234,"",0,1)</f>
        <v>FOE-WI</v>
      </c>
      <c r="B422" s="15" t="str">
        <f t="shared" si="18"/>
        <v>WI</v>
      </c>
      <c r="C422" s="15" t="s">
        <v>69</v>
      </c>
      <c r="D422" s="15" t="s">
        <v>928</v>
      </c>
      <c r="E422" s="15" t="s">
        <v>890</v>
      </c>
      <c r="F422" s="15" t="s">
        <v>952</v>
      </c>
      <c r="H422" s="116" t="s">
        <v>146</v>
      </c>
      <c r="I422" s="15" t="s">
        <v>117</v>
      </c>
      <c r="J422" s="15">
        <v>6510164</v>
      </c>
    </row>
    <row r="423" spans="1:10" x14ac:dyDescent="0.2">
      <c r="A423" s="15" t="str">
        <f>_xlfn.XLOOKUP(E423,Program_data!$E$3:$E$1234,Program_data!$E$3:$E$1234,"",0,1)</f>
        <v>FOE-WI</v>
      </c>
      <c r="B423" s="15" t="str">
        <f t="shared" si="18"/>
        <v>WI</v>
      </c>
      <c r="C423" s="15" t="s">
        <v>69</v>
      </c>
      <c r="D423" s="15" t="s">
        <v>928</v>
      </c>
      <c r="E423" s="15" t="s">
        <v>890</v>
      </c>
      <c r="F423" s="15" t="s">
        <v>953</v>
      </c>
      <c r="H423" s="116" t="s">
        <v>146</v>
      </c>
      <c r="I423" s="15" t="s">
        <v>116</v>
      </c>
      <c r="J423" s="15">
        <v>50143780</v>
      </c>
    </row>
    <row r="424" spans="1:10" x14ac:dyDescent="0.2">
      <c r="A424" s="15" t="str">
        <f>_xlfn.XLOOKUP(E424,Program_data!$E$3:$E$1234,Program_data!$E$3:$E$1234,"",0,1)</f>
        <v>FOE-WI</v>
      </c>
      <c r="B424" s="15" t="str">
        <f t="shared" si="18"/>
        <v>WI</v>
      </c>
      <c r="C424" s="15" t="s">
        <v>69</v>
      </c>
      <c r="D424" s="15" t="s">
        <v>928</v>
      </c>
      <c r="E424" s="15" t="s">
        <v>890</v>
      </c>
      <c r="F424" s="15" t="s">
        <v>955</v>
      </c>
      <c r="H424" s="116" t="s">
        <v>146</v>
      </c>
      <c r="I424" s="15" t="s">
        <v>117</v>
      </c>
      <c r="J424" s="15">
        <v>279539</v>
      </c>
    </row>
    <row r="425" spans="1:10" x14ac:dyDescent="0.2">
      <c r="A425" s="15" t="str">
        <f>_xlfn.XLOOKUP(E425,Program_data!$E$3:$E$1234,Program_data!$E$3:$E$1234,"",0,1)</f>
        <v>FOE-WI</v>
      </c>
      <c r="B425" s="15" t="str">
        <f t="shared" si="18"/>
        <v>WI</v>
      </c>
      <c r="C425" s="15" t="s">
        <v>69</v>
      </c>
      <c r="D425" s="15" t="s">
        <v>928</v>
      </c>
      <c r="E425" s="15" t="s">
        <v>890</v>
      </c>
      <c r="F425" s="15" t="s">
        <v>956</v>
      </c>
      <c r="H425" s="116" t="s">
        <v>146</v>
      </c>
      <c r="I425" s="15" t="s">
        <v>118</v>
      </c>
      <c r="J425" s="15">
        <v>48</v>
      </c>
    </row>
    <row r="426" spans="1:10" x14ac:dyDescent="0.2">
      <c r="A426" s="15" t="str">
        <f>_xlfn.XLOOKUP(E426,Program_data!$E$3:$E$1234,Program_data!$E$3:$E$1234,"",0,1)</f>
        <v>FOE-WI</v>
      </c>
      <c r="B426" s="15" t="str">
        <f t="shared" ref="B426:B457" si="20">UPPER(LEFT(C426,2))</f>
        <v>WI</v>
      </c>
      <c r="C426" s="15" t="s">
        <v>69</v>
      </c>
      <c r="D426" s="15" t="s">
        <v>928</v>
      </c>
      <c r="E426" s="15" t="s">
        <v>890</v>
      </c>
      <c r="F426" s="15" t="s">
        <v>957</v>
      </c>
      <c r="H426" s="116" t="s">
        <v>146</v>
      </c>
      <c r="I426" s="15" t="s">
        <v>116</v>
      </c>
      <c r="J426" s="15">
        <v>1799389</v>
      </c>
    </row>
    <row r="427" spans="1:10" x14ac:dyDescent="0.2">
      <c r="A427" s="15" t="str">
        <f>_xlfn.XLOOKUP(E427,Program_data!$E$3:$E$1234,Program_data!$E$3:$E$1234,"",0,1)</f>
        <v/>
      </c>
      <c r="B427" s="15" t="s">
        <v>929</v>
      </c>
      <c r="C427" s="15" t="s">
        <v>930</v>
      </c>
      <c r="D427" s="15" t="s">
        <v>931</v>
      </c>
      <c r="E427" s="15" t="str">
        <f t="shared" ref="E427:E457" si="21">D427&amp;"-"&amp;B427</f>
        <v>RI Energy-RI</v>
      </c>
      <c r="F427" s="15" t="s">
        <v>950</v>
      </c>
      <c r="H427" s="116" t="s">
        <v>135</v>
      </c>
      <c r="I427" s="15" t="s">
        <v>118</v>
      </c>
      <c r="J427" s="15">
        <v>247368</v>
      </c>
    </row>
    <row r="428" spans="1:10" x14ac:dyDescent="0.2">
      <c r="A428" s="15" t="str">
        <f>_xlfn.XLOOKUP(E428,Program_data!$E$3:$E$1234,Program_data!$E$3:$E$1234,"",0,1)</f>
        <v/>
      </c>
      <c r="B428" s="15" t="s">
        <v>929</v>
      </c>
      <c r="C428" s="15" t="s">
        <v>930</v>
      </c>
      <c r="D428" s="15" t="s">
        <v>931</v>
      </c>
      <c r="E428" s="15" t="str">
        <f t="shared" si="21"/>
        <v>RI Energy-RI</v>
      </c>
      <c r="F428" s="15" t="s">
        <v>949</v>
      </c>
      <c r="H428" s="116" t="s">
        <v>135</v>
      </c>
      <c r="I428" s="15" t="s">
        <v>116</v>
      </c>
      <c r="J428" s="15">
        <v>300715413</v>
      </c>
    </row>
    <row r="429" spans="1:10" x14ac:dyDescent="0.2">
      <c r="A429" s="15" t="str">
        <f>_xlfn.XLOOKUP(E429,Program_data!$E$3:$E$1234,Program_data!$E$3:$E$1234,"",0,1)</f>
        <v/>
      </c>
      <c r="B429" s="15" t="s">
        <v>929</v>
      </c>
      <c r="C429" s="15" t="s">
        <v>930</v>
      </c>
      <c r="D429" s="15" t="s">
        <v>931</v>
      </c>
      <c r="E429" s="15" t="str">
        <f t="shared" si="21"/>
        <v>RI Energy-RI</v>
      </c>
      <c r="F429" s="15" t="s">
        <v>951</v>
      </c>
      <c r="H429" s="116" t="s">
        <v>135</v>
      </c>
      <c r="I429" s="15" t="s">
        <v>117</v>
      </c>
      <c r="J429" s="15">
        <v>18580888</v>
      </c>
    </row>
    <row r="430" spans="1:10" x14ac:dyDescent="0.2">
      <c r="A430" s="15" t="str">
        <f>_xlfn.XLOOKUP(E430,Program_data!$E$3:$E$1234,Program_data!$E$3:$E$1234,"",0,1)</f>
        <v/>
      </c>
      <c r="B430" s="15" t="s">
        <v>929</v>
      </c>
      <c r="C430" s="15" t="s">
        <v>930</v>
      </c>
      <c r="D430" s="15" t="s">
        <v>931</v>
      </c>
      <c r="E430" s="15" t="str">
        <f t="shared" si="21"/>
        <v>RI Energy-RI</v>
      </c>
      <c r="F430" s="15" t="s">
        <v>952</v>
      </c>
      <c r="H430" s="116" t="s">
        <v>146</v>
      </c>
      <c r="I430" s="15" t="s">
        <v>117</v>
      </c>
      <c r="J430" s="15">
        <v>5862063</v>
      </c>
    </row>
    <row r="431" spans="1:10" x14ac:dyDescent="0.2">
      <c r="A431" s="15" t="str">
        <f>_xlfn.XLOOKUP(E431,Program_data!$E$3:$E$1234,Program_data!$E$3:$E$1234,"",0,1)</f>
        <v/>
      </c>
      <c r="B431" s="15" t="s">
        <v>929</v>
      </c>
      <c r="C431" s="15" t="s">
        <v>930</v>
      </c>
      <c r="D431" s="15" t="s">
        <v>931</v>
      </c>
      <c r="E431" s="15" t="str">
        <f t="shared" si="21"/>
        <v>RI Energy-RI</v>
      </c>
      <c r="F431" s="15" t="s">
        <v>954</v>
      </c>
      <c r="H431" s="116" t="s">
        <v>146</v>
      </c>
      <c r="I431" s="15" t="s">
        <v>118</v>
      </c>
      <c r="J431" s="15">
        <v>21768</v>
      </c>
    </row>
    <row r="432" spans="1:10" x14ac:dyDescent="0.2">
      <c r="A432" s="15" t="str">
        <f>_xlfn.XLOOKUP(E432,Program_data!$E$3:$E$1234,Program_data!$E$3:$E$1234,"",0,1)</f>
        <v/>
      </c>
      <c r="B432" s="15" t="s">
        <v>929</v>
      </c>
      <c r="C432" s="15" t="s">
        <v>930</v>
      </c>
      <c r="D432" s="15" t="s">
        <v>931</v>
      </c>
      <c r="E432" s="15" t="str">
        <f t="shared" si="21"/>
        <v>RI Energy-RI</v>
      </c>
      <c r="F432" s="15" t="s">
        <v>953</v>
      </c>
      <c r="H432" s="116" t="s">
        <v>146</v>
      </c>
      <c r="I432" s="15" t="s">
        <v>116</v>
      </c>
      <c r="J432" s="15">
        <v>77415702</v>
      </c>
    </row>
    <row r="433" spans="1:10" x14ac:dyDescent="0.2">
      <c r="A433" s="15" t="str">
        <f>_xlfn.XLOOKUP(E433,Program_data!$E$3:$E$1234,Program_data!$E$3:$E$1234,"",0,1)</f>
        <v/>
      </c>
      <c r="B433" s="15" t="s">
        <v>929</v>
      </c>
      <c r="C433" s="15" t="s">
        <v>930</v>
      </c>
      <c r="D433" s="15" t="s">
        <v>931</v>
      </c>
      <c r="E433" s="15" t="str">
        <f t="shared" si="21"/>
        <v>RI Energy-RI</v>
      </c>
      <c r="F433" s="15" t="s">
        <v>955</v>
      </c>
      <c r="H433" s="116" t="s">
        <v>146</v>
      </c>
      <c r="I433" s="15" t="s">
        <v>117</v>
      </c>
      <c r="J433" s="15">
        <v>319931</v>
      </c>
    </row>
    <row r="434" spans="1:10" x14ac:dyDescent="0.2">
      <c r="A434" s="15" t="str">
        <f>_xlfn.XLOOKUP(E434,Program_data!$E$3:$E$1234,Program_data!$E$3:$E$1234,"",0,1)</f>
        <v/>
      </c>
      <c r="B434" s="15" t="s">
        <v>929</v>
      </c>
      <c r="C434" s="15" t="s">
        <v>930</v>
      </c>
      <c r="D434" s="15" t="s">
        <v>931</v>
      </c>
      <c r="E434" s="15" t="str">
        <f t="shared" si="21"/>
        <v>RI Energy-RI</v>
      </c>
      <c r="F434" s="15" t="s">
        <v>956</v>
      </c>
      <c r="H434" s="116" t="s">
        <v>146</v>
      </c>
      <c r="I434" s="15" t="s">
        <v>118</v>
      </c>
      <c r="J434" s="15">
        <v>59</v>
      </c>
    </row>
    <row r="435" spans="1:10" x14ac:dyDescent="0.2">
      <c r="A435" s="15" t="str">
        <f>_xlfn.XLOOKUP(E435,Program_data!$E$3:$E$1234,Program_data!$E$3:$E$1234,"",0,1)</f>
        <v/>
      </c>
      <c r="B435" s="15" t="s">
        <v>929</v>
      </c>
      <c r="C435" s="15" t="s">
        <v>930</v>
      </c>
      <c r="D435" s="15" t="s">
        <v>931</v>
      </c>
      <c r="E435" s="15" t="str">
        <f t="shared" si="21"/>
        <v>RI Energy-RI</v>
      </c>
      <c r="F435" s="15" t="s">
        <v>957</v>
      </c>
      <c r="H435" s="116" t="s">
        <v>146</v>
      </c>
      <c r="I435" s="15" t="s">
        <v>116</v>
      </c>
      <c r="J435" s="15">
        <v>3138722</v>
      </c>
    </row>
    <row r="436" spans="1:10" x14ac:dyDescent="0.2">
      <c r="A436" s="15" t="str">
        <f>_xlfn.XLOOKUP(E436,Program_data!$E$3:$E$1234,Program_data!$E$3:$E$1234,"",0,1)</f>
        <v/>
      </c>
      <c r="B436" s="15" t="s">
        <v>932</v>
      </c>
      <c r="C436" s="15" t="s">
        <v>933</v>
      </c>
      <c r="D436" s="15" t="s">
        <v>934</v>
      </c>
      <c r="E436" s="15" t="str">
        <f t="shared" si="21"/>
        <v>NMGCo-NM</v>
      </c>
      <c r="F436" s="15" t="s">
        <v>950</v>
      </c>
      <c r="H436" s="116" t="s">
        <v>135</v>
      </c>
      <c r="I436" s="15" t="s">
        <v>118</v>
      </c>
      <c r="J436" s="15">
        <v>500559</v>
      </c>
    </row>
    <row r="437" spans="1:10" x14ac:dyDescent="0.2">
      <c r="A437" s="15" t="str">
        <f>_xlfn.XLOOKUP(E437,Program_data!$E$3:$E$1234,Program_data!$E$3:$E$1234,"",0,1)</f>
        <v/>
      </c>
      <c r="B437" s="15" t="s">
        <v>932</v>
      </c>
      <c r="C437" s="15" t="s">
        <v>933</v>
      </c>
      <c r="D437" s="15" t="s">
        <v>934</v>
      </c>
      <c r="E437" s="15" t="str">
        <f t="shared" si="21"/>
        <v>NMGCo-NM</v>
      </c>
      <c r="F437" s="15" t="s">
        <v>951</v>
      </c>
      <c r="H437" s="116" t="s">
        <v>135</v>
      </c>
      <c r="I437" s="15" t="s">
        <v>117</v>
      </c>
      <c r="J437" s="15">
        <v>30120575</v>
      </c>
    </row>
    <row r="438" spans="1:10" x14ac:dyDescent="0.2">
      <c r="A438" s="15" t="str">
        <f>_xlfn.XLOOKUP(E438,Program_data!$E$3:$E$1234,Program_data!$E$3:$E$1234,"",0,1)</f>
        <v/>
      </c>
      <c r="B438" s="15" t="s">
        <v>932</v>
      </c>
      <c r="C438" s="15" t="s">
        <v>933</v>
      </c>
      <c r="D438" s="15" t="s">
        <v>934</v>
      </c>
      <c r="E438" s="15" t="str">
        <f t="shared" si="21"/>
        <v>NMGCo-NM</v>
      </c>
      <c r="F438" s="15" t="s">
        <v>949</v>
      </c>
      <c r="H438" s="116" t="s">
        <v>135</v>
      </c>
      <c r="I438" s="15" t="s">
        <v>116</v>
      </c>
      <c r="J438" s="15">
        <v>287928578</v>
      </c>
    </row>
    <row r="439" spans="1:10" x14ac:dyDescent="0.2">
      <c r="A439" s="15" t="str">
        <f>_xlfn.XLOOKUP(E439,Program_data!$E$3:$E$1234,Program_data!$E$3:$E$1234,"",0,1)</f>
        <v/>
      </c>
      <c r="B439" s="15" t="s">
        <v>932</v>
      </c>
      <c r="C439" s="15" t="s">
        <v>933</v>
      </c>
      <c r="D439" s="15" t="s">
        <v>934</v>
      </c>
      <c r="E439" s="15" t="str">
        <f t="shared" si="21"/>
        <v>NMGCo-NM</v>
      </c>
      <c r="F439" s="15" t="s">
        <v>952</v>
      </c>
      <c r="H439" s="116" t="s">
        <v>146</v>
      </c>
      <c r="I439" s="15" t="s">
        <v>117</v>
      </c>
      <c r="J439" s="15">
        <v>11315085</v>
      </c>
    </row>
    <row r="440" spans="1:10" x14ac:dyDescent="0.2">
      <c r="A440" s="15" t="str">
        <f>_xlfn.XLOOKUP(E440,Program_data!$E$3:$E$1234,Program_data!$E$3:$E$1234,"",0,1)</f>
        <v/>
      </c>
      <c r="B440" s="15" t="s">
        <v>932</v>
      </c>
      <c r="C440" s="15" t="s">
        <v>933</v>
      </c>
      <c r="D440" s="15" t="s">
        <v>934</v>
      </c>
      <c r="E440" s="15" t="str">
        <f t="shared" si="21"/>
        <v>NMGCo-NM</v>
      </c>
      <c r="F440" s="15" t="s">
        <v>954</v>
      </c>
      <c r="H440" s="116" t="s">
        <v>146</v>
      </c>
      <c r="I440" s="15" t="s">
        <v>118</v>
      </c>
      <c r="J440" s="15">
        <v>37554</v>
      </c>
    </row>
    <row r="441" spans="1:10" x14ac:dyDescent="0.2">
      <c r="A441" s="15" t="str">
        <f>_xlfn.XLOOKUP(E441,Program_data!$E$3:$E$1234,Program_data!$E$3:$E$1234,"",0,1)</f>
        <v/>
      </c>
      <c r="B441" s="15" t="s">
        <v>932</v>
      </c>
      <c r="C441" s="15" t="s">
        <v>933</v>
      </c>
      <c r="D441" s="15" t="s">
        <v>934</v>
      </c>
      <c r="E441" s="15" t="str">
        <f t="shared" si="21"/>
        <v>NMGCo-NM</v>
      </c>
      <c r="F441" s="15" t="s">
        <v>953</v>
      </c>
      <c r="H441" s="116" t="s">
        <v>146</v>
      </c>
      <c r="I441" s="15" t="s">
        <v>116</v>
      </c>
      <c r="J441" s="15">
        <v>80227516</v>
      </c>
    </row>
    <row r="442" spans="1:10" x14ac:dyDescent="0.2">
      <c r="A442" s="15" t="str">
        <f>_xlfn.XLOOKUP(E442,Program_data!$E$3:$E$1234,Program_data!$E$3:$E$1234,"",0,1)</f>
        <v/>
      </c>
      <c r="B442" s="15" t="s">
        <v>932</v>
      </c>
      <c r="C442" s="15" t="s">
        <v>933</v>
      </c>
      <c r="D442" s="15" t="s">
        <v>934</v>
      </c>
      <c r="E442" s="15" t="str">
        <f t="shared" si="21"/>
        <v>NMGCo-NM</v>
      </c>
      <c r="F442" s="15" t="s">
        <v>956</v>
      </c>
      <c r="H442" s="116" t="s">
        <v>146</v>
      </c>
      <c r="I442" s="15" t="s">
        <v>118</v>
      </c>
      <c r="J442" s="15">
        <v>452</v>
      </c>
    </row>
    <row r="443" spans="1:10" x14ac:dyDescent="0.2">
      <c r="A443" s="15" t="str">
        <f>_xlfn.XLOOKUP(E443,Program_data!$E$3:$E$1234,Program_data!$E$3:$E$1234,"",0,1)</f>
        <v/>
      </c>
      <c r="B443" s="15" t="s">
        <v>932</v>
      </c>
      <c r="C443" s="15" t="s">
        <v>933</v>
      </c>
      <c r="D443" s="15" t="s">
        <v>934</v>
      </c>
      <c r="E443" s="15" t="str">
        <f t="shared" si="21"/>
        <v>NMGCo-NM</v>
      </c>
      <c r="F443" s="15" t="s">
        <v>955</v>
      </c>
      <c r="H443" s="116" t="s">
        <v>146</v>
      </c>
      <c r="I443" s="15" t="s">
        <v>117</v>
      </c>
      <c r="J443" s="15">
        <v>1940204</v>
      </c>
    </row>
    <row r="444" spans="1:10" x14ac:dyDescent="0.2">
      <c r="A444" s="15" t="str">
        <f>_xlfn.XLOOKUP(E444,Program_data!$E$3:$E$1234,Program_data!$E$3:$E$1234,"",0,1)</f>
        <v/>
      </c>
      <c r="B444" s="15" t="s">
        <v>932</v>
      </c>
      <c r="C444" s="15" t="s">
        <v>933</v>
      </c>
      <c r="D444" s="15" t="s">
        <v>934</v>
      </c>
      <c r="E444" s="15" t="str">
        <f t="shared" si="21"/>
        <v>NMGCo-NM</v>
      </c>
      <c r="F444" s="15" t="s">
        <v>957</v>
      </c>
      <c r="H444" s="116" t="s">
        <v>146</v>
      </c>
      <c r="I444" s="15" t="s">
        <v>116</v>
      </c>
      <c r="J444" s="15">
        <v>10996698</v>
      </c>
    </row>
    <row r="445" spans="1:10" x14ac:dyDescent="0.2">
      <c r="A445" s="15" t="str">
        <f>_xlfn.XLOOKUP(E445,Program_data!$E$3:$E$1234,Program_data!$E$3:$E$1234,"",0,1)</f>
        <v>Ngrid-NY</v>
      </c>
      <c r="B445" s="15" t="s">
        <v>22</v>
      </c>
      <c r="C445" s="15" t="s">
        <v>29</v>
      </c>
      <c r="D445" s="15" t="s">
        <v>159</v>
      </c>
      <c r="E445" s="15" t="str">
        <f t="shared" si="21"/>
        <v>Ngrid-NY</v>
      </c>
      <c r="F445" s="15" t="s">
        <v>950</v>
      </c>
      <c r="H445" s="116" t="s">
        <v>135</v>
      </c>
      <c r="I445" s="15" t="s">
        <v>118</v>
      </c>
      <c r="J445" s="15">
        <v>525210</v>
      </c>
    </row>
    <row r="446" spans="1:10" x14ac:dyDescent="0.2">
      <c r="A446" s="15" t="str">
        <f>_xlfn.XLOOKUP(E446,Program_data!$E$3:$E$1234,Program_data!$E$3:$E$1234,"",0,1)</f>
        <v>Ngrid-NY</v>
      </c>
      <c r="B446" s="15" t="s">
        <v>22</v>
      </c>
      <c r="C446" s="15" t="s">
        <v>29</v>
      </c>
      <c r="D446" s="15" t="s">
        <v>159</v>
      </c>
      <c r="E446" s="15" t="str">
        <f t="shared" si="21"/>
        <v>Ngrid-NY</v>
      </c>
      <c r="F446" s="15" t="s">
        <v>949</v>
      </c>
      <c r="H446" s="116" t="s">
        <v>135</v>
      </c>
      <c r="I446" s="15" t="s">
        <v>116</v>
      </c>
      <c r="J446" s="15">
        <v>427656808</v>
      </c>
    </row>
    <row r="447" spans="1:10" x14ac:dyDescent="0.2">
      <c r="A447" s="15" t="str">
        <f>_xlfn.XLOOKUP(E447,Program_data!$E$3:$E$1234,Program_data!$E$3:$E$1234,"",0,1)</f>
        <v>Ngrid-NY</v>
      </c>
      <c r="B447" s="15" t="s">
        <v>22</v>
      </c>
      <c r="C447" s="15" t="s">
        <v>29</v>
      </c>
      <c r="D447" s="15" t="s">
        <v>159</v>
      </c>
      <c r="E447" s="15" t="str">
        <f t="shared" si="21"/>
        <v>Ngrid-NY</v>
      </c>
      <c r="F447" s="15" t="s">
        <v>951</v>
      </c>
      <c r="H447" s="116" t="s">
        <v>135</v>
      </c>
      <c r="I447" s="15" t="s">
        <v>117</v>
      </c>
      <c r="J447" s="15">
        <v>43003998</v>
      </c>
    </row>
    <row r="448" spans="1:10" x14ac:dyDescent="0.2">
      <c r="A448" s="15" t="str">
        <f>_xlfn.XLOOKUP(E448,Program_data!$E$3:$E$1234,Program_data!$E$3:$E$1234,"",0,1)</f>
        <v>Ngrid-NY</v>
      </c>
      <c r="B448" s="15" t="s">
        <v>22</v>
      </c>
      <c r="C448" s="15" t="s">
        <v>29</v>
      </c>
      <c r="D448" s="15" t="s">
        <v>159</v>
      </c>
      <c r="E448" s="15" t="str">
        <f t="shared" si="21"/>
        <v>Ngrid-NY</v>
      </c>
      <c r="F448" s="15" t="s">
        <v>954</v>
      </c>
      <c r="H448" s="116" t="s">
        <v>146</v>
      </c>
      <c r="I448" s="15" t="s">
        <v>118</v>
      </c>
      <c r="J448" s="15">
        <v>32571</v>
      </c>
    </row>
    <row r="449" spans="1:10" x14ac:dyDescent="0.2">
      <c r="A449" s="15" t="str">
        <f>_xlfn.XLOOKUP(E449,Program_data!$E$3:$E$1234,Program_data!$E$3:$E$1234,"",0,1)</f>
        <v>Ngrid-NY</v>
      </c>
      <c r="B449" s="15" t="s">
        <v>22</v>
      </c>
      <c r="C449" s="15" t="s">
        <v>29</v>
      </c>
      <c r="D449" s="15" t="s">
        <v>159</v>
      </c>
      <c r="E449" s="15" t="str">
        <f t="shared" si="21"/>
        <v>Ngrid-NY</v>
      </c>
      <c r="F449" s="15" t="s">
        <v>952</v>
      </c>
      <c r="H449" s="116" t="s">
        <v>146</v>
      </c>
      <c r="I449" s="15" t="s">
        <v>117</v>
      </c>
      <c r="J449" s="15">
        <v>11786812</v>
      </c>
    </row>
    <row r="450" spans="1:10" x14ac:dyDescent="0.2">
      <c r="A450" s="15" t="str">
        <f>_xlfn.XLOOKUP(E450,Program_data!$E$3:$E$1234,Program_data!$E$3:$E$1234,"",0,1)</f>
        <v>Ngrid-NY</v>
      </c>
      <c r="B450" s="15" t="s">
        <v>22</v>
      </c>
      <c r="C450" s="15" t="s">
        <v>29</v>
      </c>
      <c r="D450" s="15" t="s">
        <v>159</v>
      </c>
      <c r="E450" s="15" t="str">
        <f t="shared" si="21"/>
        <v>Ngrid-NY</v>
      </c>
      <c r="F450" s="15" t="s">
        <v>953</v>
      </c>
      <c r="H450" s="116" t="s">
        <v>146</v>
      </c>
      <c r="I450" s="15" t="s">
        <v>116</v>
      </c>
      <c r="J450" s="15">
        <v>86381983</v>
      </c>
    </row>
    <row r="451" spans="1:10" x14ac:dyDescent="0.2">
      <c r="A451" s="15" t="str">
        <f>_xlfn.XLOOKUP(E451,Program_data!$E$3:$E$1234,Program_data!$E$3:$E$1234,"",0,1)</f>
        <v>Ngrid-NY</v>
      </c>
      <c r="B451" s="15" t="s">
        <v>22</v>
      </c>
      <c r="C451" s="15" t="s">
        <v>29</v>
      </c>
      <c r="D451" s="15" t="s">
        <v>159</v>
      </c>
      <c r="E451" s="15" t="str">
        <f t="shared" si="21"/>
        <v>Ngrid-NY</v>
      </c>
      <c r="F451" s="15" t="s">
        <v>956</v>
      </c>
      <c r="H451" s="116" t="s">
        <v>146</v>
      </c>
      <c r="I451" s="15" t="s">
        <v>118</v>
      </c>
      <c r="J451" s="15">
        <v>84</v>
      </c>
    </row>
    <row r="452" spans="1:10" x14ac:dyDescent="0.2">
      <c r="A452" s="15" t="str">
        <f>_xlfn.XLOOKUP(E452,Program_data!$E$3:$E$1234,Program_data!$E$3:$E$1234,"",0,1)</f>
        <v>Ngrid-NY</v>
      </c>
      <c r="B452" s="15" t="s">
        <v>22</v>
      </c>
      <c r="C452" s="15" t="s">
        <v>29</v>
      </c>
      <c r="D452" s="15" t="s">
        <v>159</v>
      </c>
      <c r="E452" s="15" t="str">
        <f t="shared" si="21"/>
        <v>Ngrid-NY</v>
      </c>
      <c r="F452" s="15" t="s">
        <v>957</v>
      </c>
      <c r="H452" s="116" t="s">
        <v>146</v>
      </c>
      <c r="I452" s="15" t="s">
        <v>116</v>
      </c>
      <c r="J452" s="15">
        <v>681080</v>
      </c>
    </row>
    <row r="453" spans="1:10" x14ac:dyDescent="0.2">
      <c r="A453" s="15" t="str">
        <f>_xlfn.XLOOKUP(E453,Program_data!$E$3:$E$1234,Program_data!$E$3:$E$1234,"",0,1)</f>
        <v>Ngrid-NY</v>
      </c>
      <c r="B453" s="15" t="s">
        <v>22</v>
      </c>
      <c r="C453" s="15" t="s">
        <v>29</v>
      </c>
      <c r="D453" s="15" t="s">
        <v>159</v>
      </c>
      <c r="E453" s="15" t="str">
        <f t="shared" si="21"/>
        <v>Ngrid-NY</v>
      </c>
      <c r="F453" s="15" t="s">
        <v>955</v>
      </c>
      <c r="H453" s="116" t="s">
        <v>146</v>
      </c>
      <c r="I453" s="15" t="s">
        <v>117</v>
      </c>
      <c r="J453" s="15">
        <v>109321</v>
      </c>
    </row>
    <row r="454" spans="1:10" x14ac:dyDescent="0.2">
      <c r="A454" s="15" t="str">
        <f>_xlfn.XLOOKUP(E454,Program_data!$E$3:$E$1234,Program_data!$E$3:$E$1234,"",0,1)</f>
        <v>Nicor-IL</v>
      </c>
      <c r="B454" s="15" t="str">
        <f t="shared" si="20"/>
        <v>IL</v>
      </c>
      <c r="C454" s="15" t="s">
        <v>58</v>
      </c>
      <c r="D454" s="15" t="s">
        <v>607</v>
      </c>
      <c r="E454" s="15" t="str">
        <f t="shared" si="21"/>
        <v>Nicor-IL</v>
      </c>
      <c r="F454" s="15" t="s">
        <v>950</v>
      </c>
      <c r="H454" s="116" t="s">
        <v>135</v>
      </c>
      <c r="I454" s="15" t="s">
        <v>118</v>
      </c>
      <c r="J454" s="15">
        <v>1899588</v>
      </c>
    </row>
    <row r="455" spans="1:10" x14ac:dyDescent="0.2">
      <c r="A455" s="15" t="str">
        <f>_xlfn.XLOOKUP(E455,Program_data!$E$3:$E$1234,Program_data!$E$3:$E$1234,"",0,1)</f>
        <v>Nicor-IL</v>
      </c>
      <c r="B455" s="15" t="str">
        <f t="shared" si="20"/>
        <v>IL</v>
      </c>
      <c r="C455" s="15" t="s">
        <v>58</v>
      </c>
      <c r="D455" s="15" t="s">
        <v>607</v>
      </c>
      <c r="E455" s="15" t="str">
        <f t="shared" si="21"/>
        <v>Nicor-IL</v>
      </c>
      <c r="F455" s="15" t="s">
        <v>951</v>
      </c>
      <c r="H455" s="116" t="s">
        <v>135</v>
      </c>
      <c r="I455" s="15" t="s">
        <v>117</v>
      </c>
      <c r="J455" s="15">
        <v>190703631</v>
      </c>
    </row>
    <row r="456" spans="1:10" x14ac:dyDescent="0.2">
      <c r="A456" s="15" t="str">
        <f>_xlfn.XLOOKUP(E456,Program_data!$E$3:$E$1234,Program_data!$E$3:$E$1234,"",0,1)</f>
        <v>Nicor-IL</v>
      </c>
      <c r="B456" s="15" t="str">
        <f t="shared" si="20"/>
        <v>IL</v>
      </c>
      <c r="C456" s="15" t="s">
        <v>58</v>
      </c>
      <c r="D456" s="15" t="s">
        <v>607</v>
      </c>
      <c r="E456" s="15" t="str">
        <f t="shared" si="21"/>
        <v>Nicor-IL</v>
      </c>
      <c r="F456" s="15" t="s">
        <v>949</v>
      </c>
      <c r="H456" s="116" t="s">
        <v>135</v>
      </c>
      <c r="I456" s="15" t="s">
        <v>116</v>
      </c>
      <c r="J456" s="15">
        <v>1633276337</v>
      </c>
    </row>
    <row r="457" spans="1:10" x14ac:dyDescent="0.2">
      <c r="A457" s="15" t="str">
        <f>_xlfn.XLOOKUP(E457,Program_data!$E$3:$E$1234,Program_data!$E$3:$E$1234,"",0,1)</f>
        <v>Nicor-IL</v>
      </c>
      <c r="B457" s="15" t="str">
        <f t="shared" si="20"/>
        <v>IL</v>
      </c>
      <c r="C457" s="15" t="s">
        <v>58</v>
      </c>
      <c r="D457" s="15" t="s">
        <v>607</v>
      </c>
      <c r="E457" s="15" t="str">
        <f t="shared" si="21"/>
        <v>Nicor-IL</v>
      </c>
      <c r="F457" s="15" t="s">
        <v>954</v>
      </c>
      <c r="H457" s="116" t="s">
        <v>146</v>
      </c>
      <c r="I457" s="15" t="s">
        <v>118</v>
      </c>
      <c r="J457" s="15">
        <v>112517</v>
      </c>
    </row>
    <row r="458" spans="1:10" x14ac:dyDescent="0.2">
      <c r="A458" s="15" t="str">
        <f>_xlfn.XLOOKUP(E458,Program_data!$E$3:$E$1234,Program_data!$E$3:$E$1234,"",0,1)</f>
        <v>Nicor-IL</v>
      </c>
      <c r="B458" s="15" t="str">
        <f t="shared" ref="B458:B495" si="22">UPPER(LEFT(C458,2))</f>
        <v>IL</v>
      </c>
      <c r="C458" s="15" t="s">
        <v>58</v>
      </c>
      <c r="D458" s="15" t="s">
        <v>607</v>
      </c>
      <c r="E458" s="15" t="str">
        <f t="shared" ref="E458:E495" si="23">D458&amp;"-"&amp;B458</f>
        <v>Nicor-IL</v>
      </c>
      <c r="F458" s="15" t="s">
        <v>953</v>
      </c>
      <c r="H458" s="116" t="s">
        <v>146</v>
      </c>
      <c r="I458" s="15" t="s">
        <v>116</v>
      </c>
      <c r="J458" s="15">
        <v>290292435</v>
      </c>
    </row>
    <row r="459" spans="1:10" x14ac:dyDescent="0.2">
      <c r="A459" s="15" t="str">
        <f>_xlfn.XLOOKUP(E459,Program_data!$E$3:$E$1234,Program_data!$E$3:$E$1234,"",0,1)</f>
        <v>Nicor-IL</v>
      </c>
      <c r="B459" s="15" t="str">
        <f t="shared" si="22"/>
        <v>IL</v>
      </c>
      <c r="C459" s="15" t="s">
        <v>58</v>
      </c>
      <c r="D459" s="15" t="s">
        <v>607</v>
      </c>
      <c r="E459" s="15" t="str">
        <f t="shared" si="23"/>
        <v>Nicor-IL</v>
      </c>
      <c r="F459" s="15" t="s">
        <v>952</v>
      </c>
      <c r="H459" s="116" t="s">
        <v>146</v>
      </c>
      <c r="I459" s="15" t="s">
        <v>117</v>
      </c>
      <c r="J459" s="15">
        <v>38323796</v>
      </c>
    </row>
    <row r="460" spans="1:10" x14ac:dyDescent="0.2">
      <c r="A460" s="15" t="str">
        <f>_xlfn.XLOOKUP(E460,Program_data!$E$3:$E$1234,Program_data!$E$3:$E$1234,"",0,1)</f>
        <v>Nicor-IL</v>
      </c>
      <c r="B460" s="15" t="str">
        <f t="shared" si="22"/>
        <v>IL</v>
      </c>
      <c r="C460" s="15" t="s">
        <v>58</v>
      </c>
      <c r="D460" s="15" t="s">
        <v>607</v>
      </c>
      <c r="E460" s="15" t="str">
        <f t="shared" si="23"/>
        <v>Nicor-IL</v>
      </c>
      <c r="F460" s="15" t="s">
        <v>956</v>
      </c>
      <c r="H460" s="116" t="s">
        <v>146</v>
      </c>
      <c r="I460" s="15" t="s">
        <v>118</v>
      </c>
      <c r="J460" s="15">
        <v>12654</v>
      </c>
    </row>
    <row r="461" spans="1:10" x14ac:dyDescent="0.2">
      <c r="A461" s="15" t="str">
        <f>_xlfn.XLOOKUP(E461,Program_data!$E$3:$E$1234,Program_data!$E$3:$E$1234,"",0,1)</f>
        <v>Nicor-IL</v>
      </c>
      <c r="B461" s="15" t="str">
        <f t="shared" si="22"/>
        <v>IL</v>
      </c>
      <c r="C461" s="15" t="s">
        <v>58</v>
      </c>
      <c r="D461" s="15" t="s">
        <v>607</v>
      </c>
      <c r="E461" s="15" t="str">
        <f t="shared" si="23"/>
        <v>Nicor-IL</v>
      </c>
      <c r="F461" s="15" t="s">
        <v>955</v>
      </c>
      <c r="H461" s="116" t="s">
        <v>146</v>
      </c>
      <c r="I461" s="15" t="s">
        <v>117</v>
      </c>
      <c r="J461" s="15">
        <v>7627386</v>
      </c>
    </row>
    <row r="462" spans="1:10" x14ac:dyDescent="0.2">
      <c r="A462" s="15" t="str">
        <f>_xlfn.XLOOKUP(E462,Program_data!$E$3:$E$1234,Program_data!$E$3:$E$1234,"",0,1)</f>
        <v>Nicor-IL</v>
      </c>
      <c r="B462" s="15" t="str">
        <f t="shared" si="22"/>
        <v>IL</v>
      </c>
      <c r="C462" s="15" t="s">
        <v>58</v>
      </c>
      <c r="D462" s="15" t="s">
        <v>607</v>
      </c>
      <c r="E462" s="15" t="str">
        <f t="shared" si="23"/>
        <v>Nicor-IL</v>
      </c>
      <c r="F462" s="15" t="s">
        <v>957</v>
      </c>
      <c r="H462" s="116" t="s">
        <v>146</v>
      </c>
      <c r="I462" s="15" t="s">
        <v>116</v>
      </c>
      <c r="J462" s="15">
        <v>50931767</v>
      </c>
    </row>
    <row r="463" spans="1:10" x14ac:dyDescent="0.2">
      <c r="A463" s="15" t="str">
        <f>_xlfn.XLOOKUP(E463,Program_data!$E$3:$E$1234,Program_data!$E$3:$E$1234,"",0,1)</f>
        <v>North Shore-IL</v>
      </c>
      <c r="B463" s="15" t="str">
        <f t="shared" si="22"/>
        <v>IL</v>
      </c>
      <c r="C463" s="15" t="s">
        <v>58</v>
      </c>
      <c r="D463" s="15" t="s">
        <v>311</v>
      </c>
      <c r="E463" s="15" t="str">
        <f t="shared" si="23"/>
        <v>North Shore-IL</v>
      </c>
      <c r="F463" s="15" t="s">
        <v>949</v>
      </c>
      <c r="H463" s="116" t="s">
        <v>135</v>
      </c>
      <c r="I463" s="15" t="s">
        <v>116</v>
      </c>
      <c r="J463" s="15">
        <v>160543995</v>
      </c>
    </row>
    <row r="464" spans="1:10" x14ac:dyDescent="0.2">
      <c r="A464" s="15" t="str">
        <f>_xlfn.XLOOKUP(E464,Program_data!$E$3:$E$1234,Program_data!$E$3:$E$1234,"",0,1)</f>
        <v>North Shore-IL</v>
      </c>
      <c r="B464" s="15" t="str">
        <f t="shared" si="22"/>
        <v>IL</v>
      </c>
      <c r="C464" s="15" t="s">
        <v>58</v>
      </c>
      <c r="D464" s="15" t="s">
        <v>311</v>
      </c>
      <c r="E464" s="15" t="str">
        <f t="shared" si="23"/>
        <v>North Shore-IL</v>
      </c>
      <c r="F464" s="15" t="s">
        <v>950</v>
      </c>
      <c r="H464" s="116" t="s">
        <v>135</v>
      </c>
      <c r="I464" s="15" t="s">
        <v>118</v>
      </c>
      <c r="J464" s="15">
        <v>140819</v>
      </c>
    </row>
    <row r="465" spans="1:10" x14ac:dyDescent="0.2">
      <c r="A465" s="15" t="str">
        <f>_xlfn.XLOOKUP(E465,Program_data!$E$3:$E$1234,Program_data!$E$3:$E$1234,"",0,1)</f>
        <v>North Shore-IL</v>
      </c>
      <c r="B465" s="15" t="str">
        <f t="shared" si="22"/>
        <v>IL</v>
      </c>
      <c r="C465" s="15" t="s">
        <v>58</v>
      </c>
      <c r="D465" s="15" t="s">
        <v>311</v>
      </c>
      <c r="E465" s="15" t="str">
        <f t="shared" si="23"/>
        <v>North Shore-IL</v>
      </c>
      <c r="F465" s="15" t="s">
        <v>951</v>
      </c>
      <c r="H465" s="116" t="s">
        <v>135</v>
      </c>
      <c r="I465" s="15" t="s">
        <v>117</v>
      </c>
      <c r="J465" s="15">
        <v>17055164</v>
      </c>
    </row>
    <row r="466" spans="1:10" x14ac:dyDescent="0.2">
      <c r="A466" s="15" t="str">
        <f>_xlfn.XLOOKUP(E466,Program_data!$E$3:$E$1234,Program_data!$E$3:$E$1234,"",0,1)</f>
        <v>North Shore-IL</v>
      </c>
      <c r="B466" s="15" t="str">
        <f t="shared" si="22"/>
        <v>IL</v>
      </c>
      <c r="C466" s="15" t="s">
        <v>58</v>
      </c>
      <c r="D466" s="15" t="s">
        <v>311</v>
      </c>
      <c r="E466" s="15" t="str">
        <f t="shared" si="23"/>
        <v>North Shore-IL</v>
      </c>
      <c r="F466" s="15" t="s">
        <v>954</v>
      </c>
      <c r="H466" s="116" t="s">
        <v>146</v>
      </c>
      <c r="I466" s="15" t="s">
        <v>118</v>
      </c>
      <c r="J466" s="15">
        <v>8751</v>
      </c>
    </row>
    <row r="467" spans="1:10" x14ac:dyDescent="0.2">
      <c r="A467" s="15" t="str">
        <f>_xlfn.XLOOKUP(E467,Program_data!$E$3:$E$1234,Program_data!$E$3:$E$1234,"",0,1)</f>
        <v>North Shore-IL</v>
      </c>
      <c r="B467" s="15" t="str">
        <f t="shared" si="22"/>
        <v>IL</v>
      </c>
      <c r="C467" s="15" t="s">
        <v>58</v>
      </c>
      <c r="D467" s="15" t="s">
        <v>311</v>
      </c>
      <c r="E467" s="15" t="str">
        <f t="shared" si="23"/>
        <v>North Shore-IL</v>
      </c>
      <c r="F467" s="15" t="s">
        <v>953</v>
      </c>
      <c r="H467" s="116" t="s">
        <v>146</v>
      </c>
      <c r="I467" s="15" t="s">
        <v>116</v>
      </c>
      <c r="J467" s="15">
        <v>23405362</v>
      </c>
    </row>
    <row r="468" spans="1:10" x14ac:dyDescent="0.2">
      <c r="A468" s="15" t="str">
        <f>_xlfn.XLOOKUP(E468,Program_data!$E$3:$E$1234,Program_data!$E$3:$E$1234,"",0,1)</f>
        <v>North Shore-IL</v>
      </c>
      <c r="B468" s="15" t="str">
        <f t="shared" si="22"/>
        <v>IL</v>
      </c>
      <c r="C468" s="15" t="s">
        <v>58</v>
      </c>
      <c r="D468" s="15" t="s">
        <v>311</v>
      </c>
      <c r="E468" s="15" t="str">
        <f t="shared" si="23"/>
        <v>North Shore-IL</v>
      </c>
      <c r="F468" s="15" t="s">
        <v>952</v>
      </c>
      <c r="H468" s="116" t="s">
        <v>146</v>
      </c>
      <c r="I468" s="15" t="s">
        <v>117</v>
      </c>
      <c r="J468" s="15">
        <v>2889426</v>
      </c>
    </row>
    <row r="469" spans="1:10" x14ac:dyDescent="0.2">
      <c r="A469" s="15" t="str">
        <f>_xlfn.XLOOKUP(E469,Program_data!$E$3:$E$1234,Program_data!$E$3:$E$1234,"",0,1)</f>
        <v>North Shore-IL</v>
      </c>
      <c r="B469" s="15" t="str">
        <f t="shared" si="22"/>
        <v>IL</v>
      </c>
      <c r="C469" s="15" t="s">
        <v>58</v>
      </c>
      <c r="D469" s="15" t="s">
        <v>311</v>
      </c>
      <c r="E469" s="15" t="str">
        <f t="shared" si="23"/>
        <v>North Shore-IL</v>
      </c>
      <c r="F469" s="15" t="s">
        <v>957</v>
      </c>
      <c r="H469" s="116" t="s">
        <v>146</v>
      </c>
      <c r="I469" s="15" t="s">
        <v>116</v>
      </c>
      <c r="J469" s="15">
        <v>3544356</v>
      </c>
    </row>
    <row r="470" spans="1:10" x14ac:dyDescent="0.2">
      <c r="A470" s="15" t="str">
        <f>_xlfn.XLOOKUP(E470,Program_data!$E$3:$E$1234,Program_data!$E$3:$E$1234,"",0,1)</f>
        <v>North Shore-IL</v>
      </c>
      <c r="B470" s="15" t="str">
        <f t="shared" si="22"/>
        <v>IL</v>
      </c>
      <c r="C470" s="15" t="s">
        <v>58</v>
      </c>
      <c r="D470" s="15" t="s">
        <v>311</v>
      </c>
      <c r="E470" s="15" t="str">
        <f t="shared" si="23"/>
        <v>North Shore-IL</v>
      </c>
      <c r="F470" s="15" t="s">
        <v>956</v>
      </c>
      <c r="H470" s="116" t="s">
        <v>146</v>
      </c>
      <c r="I470" s="15" t="s">
        <v>118</v>
      </c>
      <c r="J470" s="15">
        <v>575</v>
      </c>
    </row>
    <row r="471" spans="1:10" x14ac:dyDescent="0.2">
      <c r="A471" s="15" t="str">
        <f>_xlfn.XLOOKUP(E471,Program_data!$E$3:$E$1234,Program_data!$E$3:$E$1234,"",0,1)</f>
        <v>North Shore-IL</v>
      </c>
      <c r="B471" s="15" t="str">
        <f t="shared" si="22"/>
        <v>IL</v>
      </c>
      <c r="C471" s="15" t="s">
        <v>58</v>
      </c>
      <c r="D471" s="15" t="s">
        <v>311</v>
      </c>
      <c r="E471" s="15" t="str">
        <f t="shared" si="23"/>
        <v>North Shore-IL</v>
      </c>
      <c r="F471" s="15" t="s">
        <v>955</v>
      </c>
      <c r="H471" s="116" t="s">
        <v>146</v>
      </c>
      <c r="I471" s="15" t="s">
        <v>117</v>
      </c>
      <c r="J471" s="15">
        <v>464104</v>
      </c>
    </row>
    <row r="472" spans="1:10" x14ac:dyDescent="0.2">
      <c r="A472" s="15" t="str">
        <f>_xlfn.XLOOKUP(E472,Program_data!$E$3:$E$1234,Program_data!$E$3:$E$1234,"",0,1)</f>
        <v>Xcel-MN</v>
      </c>
      <c r="B472" s="15" t="s">
        <v>241</v>
      </c>
      <c r="C472" s="15" t="s">
        <v>50</v>
      </c>
      <c r="D472" s="15" t="s">
        <v>242</v>
      </c>
      <c r="E472" s="15" t="str">
        <f t="shared" si="23"/>
        <v>Xcel-MN</v>
      </c>
      <c r="F472" s="15" t="s">
        <v>950</v>
      </c>
      <c r="H472" s="116" t="s">
        <v>135</v>
      </c>
      <c r="I472" s="15" t="s">
        <v>118</v>
      </c>
      <c r="J472" s="117">
        <v>438247</v>
      </c>
    </row>
    <row r="473" spans="1:10" x14ac:dyDescent="0.2">
      <c r="A473" s="15" t="str">
        <f>_xlfn.XLOOKUP(E473,Program_data!$E$3:$E$1234,Program_data!$E$3:$E$1234,"",0,1)</f>
        <v>Xcel-MN</v>
      </c>
      <c r="B473" s="15" t="s">
        <v>241</v>
      </c>
      <c r="C473" s="15" t="s">
        <v>50</v>
      </c>
      <c r="D473" s="15" t="s">
        <v>242</v>
      </c>
      <c r="E473" s="15" t="str">
        <f t="shared" si="23"/>
        <v>Xcel-MN</v>
      </c>
      <c r="F473" s="15" t="s">
        <v>951</v>
      </c>
      <c r="H473" s="116" t="s">
        <v>135</v>
      </c>
      <c r="I473" s="15" t="s">
        <v>117</v>
      </c>
      <c r="J473" s="117">
        <v>35286911</v>
      </c>
    </row>
    <row r="474" spans="1:10" x14ac:dyDescent="0.2">
      <c r="A474" s="15" t="str">
        <f>_xlfn.XLOOKUP(E474,Program_data!$E$3:$E$1234,Program_data!$E$3:$E$1234,"",0,1)</f>
        <v>Xcel-MN</v>
      </c>
      <c r="B474" s="15" t="s">
        <v>241</v>
      </c>
      <c r="C474" s="15" t="s">
        <v>50</v>
      </c>
      <c r="D474" s="15" t="s">
        <v>242</v>
      </c>
      <c r="E474" s="15" t="str">
        <f t="shared" si="23"/>
        <v>Xcel-MN</v>
      </c>
      <c r="F474" s="15" t="s">
        <v>949</v>
      </c>
      <c r="H474" s="116" t="s">
        <v>135</v>
      </c>
      <c r="I474" s="15" t="s">
        <v>116</v>
      </c>
      <c r="J474" s="117">
        <v>306619750</v>
      </c>
    </row>
    <row r="475" spans="1:10" x14ac:dyDescent="0.2">
      <c r="A475" s="15" t="str">
        <f>_xlfn.XLOOKUP(E475,Program_data!$E$3:$E$1234,Program_data!$E$3:$E$1234,"",0,1)</f>
        <v>Xcel-MN</v>
      </c>
      <c r="B475" s="15" t="s">
        <v>241</v>
      </c>
      <c r="C475" s="15" t="s">
        <v>50</v>
      </c>
      <c r="D475" s="15" t="s">
        <v>242</v>
      </c>
      <c r="E475" s="15" t="str">
        <f t="shared" si="23"/>
        <v>Xcel-MN</v>
      </c>
      <c r="F475" s="15" t="s">
        <v>952</v>
      </c>
      <c r="H475" s="116" t="s">
        <v>146</v>
      </c>
      <c r="I475" s="15" t="s">
        <v>117</v>
      </c>
      <c r="J475" s="117">
        <v>20733036</v>
      </c>
    </row>
    <row r="476" spans="1:10" x14ac:dyDescent="0.2">
      <c r="A476" s="15" t="str">
        <f>_xlfn.XLOOKUP(E476,Program_data!$E$3:$E$1234,Program_data!$E$3:$E$1234,"",0,1)</f>
        <v>Xcel-MN</v>
      </c>
      <c r="B476" s="15" t="s">
        <v>241</v>
      </c>
      <c r="C476" s="15" t="s">
        <v>50</v>
      </c>
      <c r="D476" s="15" t="s">
        <v>242</v>
      </c>
      <c r="E476" s="15" t="str">
        <f t="shared" si="23"/>
        <v>Xcel-MN</v>
      </c>
      <c r="F476" s="15" t="s">
        <v>954</v>
      </c>
      <c r="H476" s="116" t="s">
        <v>146</v>
      </c>
      <c r="I476" s="15" t="s">
        <v>118</v>
      </c>
      <c r="J476" s="117">
        <v>35631</v>
      </c>
    </row>
    <row r="477" spans="1:10" x14ac:dyDescent="0.2">
      <c r="A477" s="15" t="str">
        <f>_xlfn.XLOOKUP(E477,Program_data!$E$3:$E$1234,Program_data!$E$3:$E$1234,"",0,1)</f>
        <v>Xcel-MN</v>
      </c>
      <c r="B477" s="15" t="s">
        <v>241</v>
      </c>
      <c r="C477" s="15" t="s">
        <v>50</v>
      </c>
      <c r="D477" s="15" t="s">
        <v>242</v>
      </c>
      <c r="E477" s="15" t="str">
        <f t="shared" si="23"/>
        <v>Xcel-MN</v>
      </c>
      <c r="F477" s="15" t="s">
        <v>953</v>
      </c>
      <c r="H477" s="116" t="s">
        <v>146</v>
      </c>
      <c r="I477" s="15" t="s">
        <v>116</v>
      </c>
      <c r="J477" s="117">
        <v>150723548</v>
      </c>
    </row>
    <row r="478" spans="1:10" x14ac:dyDescent="0.2">
      <c r="A478" s="15" t="str">
        <f>_xlfn.XLOOKUP(E478,Program_data!$E$3:$E$1234,Program_data!$E$3:$E$1234,"",0,1)</f>
        <v>Xcel-MN</v>
      </c>
      <c r="B478" s="15" t="s">
        <v>241</v>
      </c>
      <c r="C478" s="15" t="s">
        <v>50</v>
      </c>
      <c r="D478" s="15" t="s">
        <v>242</v>
      </c>
      <c r="E478" s="15" t="str">
        <f t="shared" si="23"/>
        <v>Xcel-MN</v>
      </c>
      <c r="F478" s="15" t="s">
        <v>957</v>
      </c>
      <c r="H478" s="116" t="s">
        <v>146</v>
      </c>
      <c r="I478" s="15" t="s">
        <v>116</v>
      </c>
      <c r="J478" s="117">
        <v>63162235</v>
      </c>
    </row>
    <row r="479" spans="1:10" x14ac:dyDescent="0.2">
      <c r="A479" s="15" t="str">
        <f>_xlfn.XLOOKUP(E479,Program_data!$E$3:$E$1234,Program_data!$E$3:$E$1234,"",0,1)</f>
        <v>Xcel-MN</v>
      </c>
      <c r="B479" s="15" t="s">
        <v>241</v>
      </c>
      <c r="C479" s="15" t="s">
        <v>50</v>
      </c>
      <c r="D479" s="15" t="s">
        <v>242</v>
      </c>
      <c r="E479" s="15" t="str">
        <f t="shared" si="23"/>
        <v>Xcel-MN</v>
      </c>
      <c r="F479" s="15" t="s">
        <v>955</v>
      </c>
      <c r="H479" s="116" t="s">
        <v>146</v>
      </c>
      <c r="I479" s="15" t="s">
        <v>117</v>
      </c>
      <c r="J479" s="117">
        <v>11466496</v>
      </c>
    </row>
    <row r="480" spans="1:10" x14ac:dyDescent="0.2">
      <c r="A480" s="15" t="str">
        <f>_xlfn.XLOOKUP(E480,Program_data!$E$3:$E$1234,Program_data!$E$3:$E$1234,"",0,1)</f>
        <v>Xcel-MN</v>
      </c>
      <c r="B480" s="15" t="s">
        <v>241</v>
      </c>
      <c r="C480" s="15" t="s">
        <v>50</v>
      </c>
      <c r="D480" s="15" t="s">
        <v>242</v>
      </c>
      <c r="E480" s="15" t="str">
        <f t="shared" si="23"/>
        <v>Xcel-MN</v>
      </c>
      <c r="F480" s="15" t="s">
        <v>956</v>
      </c>
      <c r="H480" s="116" t="s">
        <v>146</v>
      </c>
      <c r="I480" s="15" t="s">
        <v>118</v>
      </c>
      <c r="J480" s="117">
        <v>450</v>
      </c>
    </row>
    <row r="481" spans="1:10" x14ac:dyDescent="0.2">
      <c r="A481" s="15" t="str">
        <f>_xlfn.XLOOKUP(E481,Program_data!$E$3:$E$1234,Program_data!$E$3:$E$1234,"",0,1)</f>
        <v>FOE-WI</v>
      </c>
      <c r="B481" s="15" t="str">
        <f t="shared" si="22"/>
        <v>WI</v>
      </c>
      <c r="C481" s="15" t="s">
        <v>69</v>
      </c>
      <c r="D481" s="15" t="s">
        <v>936</v>
      </c>
      <c r="E481" s="15" t="s">
        <v>890</v>
      </c>
      <c r="F481" s="15" t="s">
        <v>951</v>
      </c>
      <c r="H481" s="116" t="s">
        <v>135</v>
      </c>
      <c r="I481" s="15" t="s">
        <v>117</v>
      </c>
      <c r="J481" s="15">
        <v>6574671</v>
      </c>
    </row>
    <row r="482" spans="1:10" x14ac:dyDescent="0.2">
      <c r="A482" s="15" t="str">
        <f>_xlfn.XLOOKUP(E482,Program_data!$E$3:$E$1234,Program_data!$E$3:$E$1234,"",0,1)</f>
        <v>FOE-WI</v>
      </c>
      <c r="B482" s="15" t="str">
        <f t="shared" si="22"/>
        <v>WI</v>
      </c>
      <c r="C482" s="15" t="s">
        <v>69</v>
      </c>
      <c r="D482" s="15" t="s">
        <v>936</v>
      </c>
      <c r="E482" s="15" t="s">
        <v>890</v>
      </c>
      <c r="F482" s="15" t="s">
        <v>950</v>
      </c>
      <c r="H482" s="116" t="s">
        <v>135</v>
      </c>
      <c r="I482" s="15" t="s">
        <v>118</v>
      </c>
      <c r="J482" s="15">
        <v>100442</v>
      </c>
    </row>
    <row r="483" spans="1:10" x14ac:dyDescent="0.2">
      <c r="A483" s="15" t="str">
        <f>_xlfn.XLOOKUP(E483,Program_data!$E$3:$E$1234,Program_data!$E$3:$E$1234,"",0,1)</f>
        <v>FOE-WI</v>
      </c>
      <c r="B483" s="15" t="str">
        <f t="shared" si="22"/>
        <v>WI</v>
      </c>
      <c r="C483" s="15" t="s">
        <v>69</v>
      </c>
      <c r="D483" s="15" t="s">
        <v>936</v>
      </c>
      <c r="E483" s="15" t="s">
        <v>890</v>
      </c>
      <c r="F483" s="15" t="s">
        <v>949</v>
      </c>
      <c r="H483" s="116" t="s">
        <v>135</v>
      </c>
      <c r="I483" s="15" t="s">
        <v>116</v>
      </c>
      <c r="J483" s="15">
        <v>85330358</v>
      </c>
    </row>
    <row r="484" spans="1:10" x14ac:dyDescent="0.2">
      <c r="A484" s="15" t="str">
        <f>_xlfn.XLOOKUP(E484,Program_data!$E$3:$E$1234,Program_data!$E$3:$E$1234,"",0,1)</f>
        <v>FOE-WI</v>
      </c>
      <c r="B484" s="15" t="str">
        <f t="shared" si="22"/>
        <v>WI</v>
      </c>
      <c r="C484" s="15" t="s">
        <v>69</v>
      </c>
      <c r="D484" s="15" t="s">
        <v>936</v>
      </c>
      <c r="E484" s="15" t="s">
        <v>890</v>
      </c>
      <c r="F484" s="15" t="s">
        <v>953</v>
      </c>
      <c r="H484" s="116" t="s">
        <v>146</v>
      </c>
      <c r="I484" s="15" t="s">
        <v>116</v>
      </c>
      <c r="J484" s="15">
        <v>60846467</v>
      </c>
    </row>
    <row r="485" spans="1:10" x14ac:dyDescent="0.2">
      <c r="A485" s="15" t="str">
        <f>_xlfn.XLOOKUP(E485,Program_data!$E$3:$E$1234,Program_data!$E$3:$E$1234,"",0,1)</f>
        <v>FOE-WI</v>
      </c>
      <c r="B485" s="15" t="str">
        <f t="shared" si="22"/>
        <v>WI</v>
      </c>
      <c r="C485" s="15" t="s">
        <v>69</v>
      </c>
      <c r="D485" s="15" t="s">
        <v>936</v>
      </c>
      <c r="E485" s="15" t="s">
        <v>890</v>
      </c>
      <c r="F485" s="15" t="s">
        <v>952</v>
      </c>
      <c r="H485" s="116" t="s">
        <v>146</v>
      </c>
      <c r="I485" s="15" t="s">
        <v>117</v>
      </c>
      <c r="J485" s="15">
        <v>5900098</v>
      </c>
    </row>
    <row r="486" spans="1:10" x14ac:dyDescent="0.2">
      <c r="A486" s="15" t="str">
        <f>_xlfn.XLOOKUP(E486,Program_data!$E$3:$E$1234,Program_data!$E$3:$E$1234,"",0,1)</f>
        <v>FOE-WI</v>
      </c>
      <c r="B486" s="15" t="str">
        <f t="shared" si="22"/>
        <v>WI</v>
      </c>
      <c r="C486" s="15" t="s">
        <v>69</v>
      </c>
      <c r="D486" s="15" t="s">
        <v>936</v>
      </c>
      <c r="E486" s="15" t="s">
        <v>890</v>
      </c>
      <c r="F486" s="15" t="s">
        <v>954</v>
      </c>
      <c r="H486" s="116" t="s">
        <v>146</v>
      </c>
      <c r="I486" s="15" t="s">
        <v>118</v>
      </c>
      <c r="J486" s="15">
        <v>12610</v>
      </c>
    </row>
    <row r="487" spans="1:10" x14ac:dyDescent="0.2">
      <c r="A487" s="15" t="str">
        <f>_xlfn.XLOOKUP(E487,Program_data!$E$3:$E$1234,Program_data!$E$3:$E$1234,"",0,1)</f>
        <v>FOE-WI</v>
      </c>
      <c r="B487" s="15" t="str">
        <f t="shared" si="22"/>
        <v>WI</v>
      </c>
      <c r="C487" s="15" t="s">
        <v>69</v>
      </c>
      <c r="D487" s="15" t="s">
        <v>936</v>
      </c>
      <c r="E487" s="15" t="s">
        <v>890</v>
      </c>
      <c r="F487" s="15" t="s">
        <v>956</v>
      </c>
      <c r="H487" s="116" t="s">
        <v>146</v>
      </c>
      <c r="I487" s="15" t="s">
        <v>118</v>
      </c>
      <c r="J487" s="15">
        <v>168</v>
      </c>
    </row>
    <row r="488" spans="1:10" x14ac:dyDescent="0.2">
      <c r="A488" s="15" t="str">
        <f>_xlfn.XLOOKUP(E488,Program_data!$E$3:$E$1234,Program_data!$E$3:$E$1234,"",0,1)</f>
        <v>FOE-WI</v>
      </c>
      <c r="B488" s="15" t="str">
        <f t="shared" si="22"/>
        <v>WI</v>
      </c>
      <c r="C488" s="15" t="s">
        <v>69</v>
      </c>
      <c r="D488" s="15" t="s">
        <v>936</v>
      </c>
      <c r="E488" s="15" t="s">
        <v>890</v>
      </c>
      <c r="F488" s="15" t="s">
        <v>957</v>
      </c>
      <c r="H488" s="116" t="s">
        <v>146</v>
      </c>
      <c r="I488" s="15" t="s">
        <v>116</v>
      </c>
      <c r="J488" s="15">
        <v>21401819</v>
      </c>
    </row>
    <row r="489" spans="1:10" x14ac:dyDescent="0.2">
      <c r="A489" s="15" t="str">
        <f>_xlfn.XLOOKUP(E489,Program_data!$E$3:$E$1234,Program_data!$E$3:$E$1234,"",0,1)</f>
        <v>FOE-WI</v>
      </c>
      <c r="B489" s="15" t="str">
        <f t="shared" si="22"/>
        <v>WI</v>
      </c>
      <c r="C489" s="15" t="s">
        <v>69</v>
      </c>
      <c r="D489" s="15" t="s">
        <v>936</v>
      </c>
      <c r="E489" s="15" t="s">
        <v>890</v>
      </c>
      <c r="F489" s="15" t="s">
        <v>955</v>
      </c>
      <c r="H489" s="116" t="s">
        <v>146</v>
      </c>
      <c r="I489" s="15" t="s">
        <v>117</v>
      </c>
      <c r="J489" s="15">
        <v>2531248</v>
      </c>
    </row>
    <row r="490" spans="1:10" x14ac:dyDescent="0.2">
      <c r="A490" s="15" t="str">
        <f>_xlfn.XLOOKUP(E490,Program_data!$E$3:$E$1234,Program_data!$E$3:$E$1234,"",0,1)</f>
        <v>NW Natural-OR</v>
      </c>
      <c r="B490" s="15" t="str">
        <f t="shared" si="22"/>
        <v>OR</v>
      </c>
      <c r="C490" s="15" t="s">
        <v>92</v>
      </c>
      <c r="D490" s="15" t="s">
        <v>325</v>
      </c>
      <c r="E490" s="15" t="str">
        <f t="shared" si="23"/>
        <v>NW Natural-OR</v>
      </c>
      <c r="F490" s="15" t="s">
        <v>950</v>
      </c>
      <c r="H490" s="116" t="s">
        <v>135</v>
      </c>
      <c r="I490" s="15" t="s">
        <v>118</v>
      </c>
      <c r="J490" s="15">
        <v>625778</v>
      </c>
    </row>
    <row r="491" spans="1:10" x14ac:dyDescent="0.2">
      <c r="A491" s="15" t="str">
        <f>_xlfn.XLOOKUP(E491,Program_data!$E$3:$E$1234,Program_data!$E$3:$E$1234,"",0,1)</f>
        <v>NW Natural-OR</v>
      </c>
      <c r="B491" s="15" t="str">
        <f t="shared" si="22"/>
        <v>OR</v>
      </c>
      <c r="C491" s="15" t="s">
        <v>92</v>
      </c>
      <c r="D491" s="15" t="s">
        <v>325</v>
      </c>
      <c r="E491" s="15" t="str">
        <f t="shared" si="23"/>
        <v>NW Natural-OR</v>
      </c>
      <c r="F491" s="15" t="s">
        <v>951</v>
      </c>
      <c r="H491" s="116" t="s">
        <v>135</v>
      </c>
      <c r="I491" s="15" t="s">
        <v>117</v>
      </c>
      <c r="J491" s="15">
        <v>36872033</v>
      </c>
    </row>
    <row r="492" spans="1:10" x14ac:dyDescent="0.2">
      <c r="A492" s="15" t="str">
        <f>_xlfn.XLOOKUP(E492,Program_data!$E$3:$E$1234,Program_data!$E$3:$E$1234,"",0,1)</f>
        <v>NW Natural-OR</v>
      </c>
      <c r="B492" s="15" t="str">
        <f t="shared" si="22"/>
        <v>OR</v>
      </c>
      <c r="C492" s="15" t="s">
        <v>92</v>
      </c>
      <c r="D492" s="15" t="s">
        <v>325</v>
      </c>
      <c r="E492" s="15" t="str">
        <f t="shared" si="23"/>
        <v>NW Natural-OR</v>
      </c>
      <c r="F492" s="15" t="s">
        <v>949</v>
      </c>
      <c r="H492" s="116" t="s">
        <v>135</v>
      </c>
      <c r="I492" s="15" t="s">
        <v>116</v>
      </c>
      <c r="J492" s="15">
        <v>431664393</v>
      </c>
    </row>
    <row r="493" spans="1:10" x14ac:dyDescent="0.2">
      <c r="A493" s="15" t="str">
        <f>_xlfn.XLOOKUP(E493,Program_data!$E$3:$E$1234,Program_data!$E$3:$E$1234,"",0,1)</f>
        <v>NW Natural-OR</v>
      </c>
      <c r="B493" s="15" t="str">
        <f t="shared" si="22"/>
        <v>OR</v>
      </c>
      <c r="C493" s="15" t="s">
        <v>92</v>
      </c>
      <c r="D493" s="15" t="s">
        <v>325</v>
      </c>
      <c r="E493" s="15" t="str">
        <f t="shared" si="23"/>
        <v>NW Natural-OR</v>
      </c>
      <c r="F493" s="15" t="s">
        <v>953</v>
      </c>
      <c r="H493" s="116" t="s">
        <v>146</v>
      </c>
      <c r="I493" s="15" t="s">
        <v>116</v>
      </c>
      <c r="J493" s="15">
        <v>195484820</v>
      </c>
    </row>
    <row r="494" spans="1:10" x14ac:dyDescent="0.2">
      <c r="A494" s="15" t="str">
        <f>_xlfn.XLOOKUP(E494,Program_data!$E$3:$E$1234,Program_data!$E$3:$E$1234,"",0,1)</f>
        <v>NW Natural-OR</v>
      </c>
      <c r="B494" s="15" t="str">
        <f t="shared" si="22"/>
        <v>OR</v>
      </c>
      <c r="C494" s="15" t="s">
        <v>92</v>
      </c>
      <c r="D494" s="15" t="s">
        <v>325</v>
      </c>
      <c r="E494" s="15" t="str">
        <f t="shared" si="23"/>
        <v>NW Natural-OR</v>
      </c>
      <c r="F494" s="15" t="s">
        <v>954</v>
      </c>
      <c r="H494" s="116" t="s">
        <v>146</v>
      </c>
      <c r="I494" s="15" t="s">
        <v>118</v>
      </c>
      <c r="J494" s="15">
        <v>61301</v>
      </c>
    </row>
    <row r="495" spans="1:10" x14ac:dyDescent="0.2">
      <c r="A495" s="15" t="str">
        <f>_xlfn.XLOOKUP(E495,Program_data!$E$3:$E$1234,Program_data!$E$3:$E$1234,"",0,1)</f>
        <v>NW Natural-OR</v>
      </c>
      <c r="B495" s="15" t="str">
        <f t="shared" si="22"/>
        <v>OR</v>
      </c>
      <c r="C495" s="15" t="s">
        <v>92</v>
      </c>
      <c r="D495" s="15" t="s">
        <v>325</v>
      </c>
      <c r="E495" s="15" t="str">
        <f t="shared" si="23"/>
        <v>NW Natural-OR</v>
      </c>
      <c r="F495" s="15" t="s">
        <v>952</v>
      </c>
      <c r="H495" s="116" t="s">
        <v>146</v>
      </c>
      <c r="I495" s="15" t="s">
        <v>117</v>
      </c>
      <c r="J495" s="15">
        <v>21976251</v>
      </c>
    </row>
    <row r="496" spans="1:10" x14ac:dyDescent="0.2">
      <c r="A496" s="15" t="str">
        <f>_xlfn.XLOOKUP(E496,Program_data!$E$3:$E$1234,Program_data!$E$3:$E$1234,"",0,1)</f>
        <v>NW Natural-OR</v>
      </c>
      <c r="B496" s="15" t="str">
        <f t="shared" ref="B496:B530" si="24">UPPER(LEFT(C496,2))</f>
        <v>OR</v>
      </c>
      <c r="C496" s="15" t="s">
        <v>92</v>
      </c>
      <c r="D496" s="15" t="s">
        <v>325</v>
      </c>
      <c r="E496" s="15" t="str">
        <f t="shared" ref="E496:E530" si="25">D496&amp;"-"&amp;B496</f>
        <v>NW Natural-OR</v>
      </c>
      <c r="F496" s="15" t="s">
        <v>955</v>
      </c>
      <c r="H496" s="116" t="s">
        <v>146</v>
      </c>
      <c r="I496" s="15" t="s">
        <v>117</v>
      </c>
      <c r="J496" s="15">
        <v>8117996</v>
      </c>
    </row>
    <row r="497" spans="1:10" x14ac:dyDescent="0.2">
      <c r="A497" s="15" t="str">
        <f>_xlfn.XLOOKUP(E497,Program_data!$E$3:$E$1234,Program_data!$E$3:$E$1234,"",0,1)</f>
        <v>NW Natural-OR</v>
      </c>
      <c r="B497" s="15" t="str">
        <f t="shared" si="24"/>
        <v>OR</v>
      </c>
      <c r="C497" s="15" t="s">
        <v>92</v>
      </c>
      <c r="D497" s="15" t="s">
        <v>325</v>
      </c>
      <c r="E497" s="15" t="str">
        <f t="shared" si="25"/>
        <v>NW Natural-OR</v>
      </c>
      <c r="F497" s="15" t="s">
        <v>957</v>
      </c>
      <c r="H497" s="116" t="s">
        <v>146</v>
      </c>
      <c r="I497" s="15" t="s">
        <v>116</v>
      </c>
      <c r="J497" s="15">
        <v>42324231</v>
      </c>
    </row>
    <row r="498" spans="1:10" x14ac:dyDescent="0.2">
      <c r="A498" s="15" t="str">
        <f>_xlfn.XLOOKUP(E498,Program_data!$E$3:$E$1234,Program_data!$E$3:$E$1234,"",0,1)</f>
        <v>NW Natural-OR</v>
      </c>
      <c r="B498" s="15" t="str">
        <f t="shared" si="24"/>
        <v>OR</v>
      </c>
      <c r="C498" s="15" t="s">
        <v>92</v>
      </c>
      <c r="D498" s="15" t="s">
        <v>325</v>
      </c>
      <c r="E498" s="15" t="str">
        <f t="shared" si="25"/>
        <v>NW Natural-OR</v>
      </c>
      <c r="F498" s="15" t="s">
        <v>956</v>
      </c>
      <c r="H498" s="116" t="s">
        <v>146</v>
      </c>
      <c r="I498" s="15" t="s">
        <v>118</v>
      </c>
      <c r="J498" s="15">
        <v>711</v>
      </c>
    </row>
    <row r="499" spans="1:10" x14ac:dyDescent="0.2">
      <c r="A499" s="15" t="str">
        <f>_xlfn.XLOOKUP(E499,Program_data!$E$3:$E$1234,Program_data!$E$3:$E$1234,"",0,1)</f>
        <v>Eversource-MA</v>
      </c>
      <c r="B499" s="15" t="str">
        <f t="shared" si="24"/>
        <v>MA</v>
      </c>
      <c r="C499" s="15" t="s">
        <v>10</v>
      </c>
      <c r="D499" s="15" t="s">
        <v>18</v>
      </c>
      <c r="E499" s="15" t="str">
        <f t="shared" si="25"/>
        <v>Eversource-MA</v>
      </c>
      <c r="F499" s="15" t="s">
        <v>951</v>
      </c>
      <c r="H499" s="116" t="s">
        <v>135</v>
      </c>
      <c r="I499" s="15" t="s">
        <v>117</v>
      </c>
      <c r="J499" s="15">
        <v>20125025</v>
      </c>
    </row>
    <row r="500" spans="1:10" x14ac:dyDescent="0.2">
      <c r="A500" s="15" t="str">
        <f>_xlfn.XLOOKUP(E500,Program_data!$E$3:$E$1234,Program_data!$E$3:$E$1234,"",0,1)</f>
        <v>Eversource-MA</v>
      </c>
      <c r="B500" s="15" t="str">
        <f t="shared" si="24"/>
        <v>MA</v>
      </c>
      <c r="C500" s="15" t="s">
        <v>10</v>
      </c>
      <c r="D500" s="15" t="s">
        <v>18</v>
      </c>
      <c r="E500" s="15" t="str">
        <f t="shared" si="25"/>
        <v>Eversource-MA</v>
      </c>
      <c r="F500" s="15" t="s">
        <v>950</v>
      </c>
      <c r="H500" s="116" t="s">
        <v>135</v>
      </c>
      <c r="I500" s="15" t="s">
        <v>118</v>
      </c>
      <c r="J500" s="15">
        <v>269645</v>
      </c>
    </row>
    <row r="501" spans="1:10" x14ac:dyDescent="0.2">
      <c r="A501" s="15" t="str">
        <f>_xlfn.XLOOKUP(E501,Program_data!$E$3:$E$1234,Program_data!$E$3:$E$1234,"",0,1)</f>
        <v>Eversource-MA</v>
      </c>
      <c r="B501" s="15" t="str">
        <f t="shared" si="24"/>
        <v>MA</v>
      </c>
      <c r="C501" s="15" t="s">
        <v>10</v>
      </c>
      <c r="D501" s="15" t="s">
        <v>18</v>
      </c>
      <c r="E501" s="15" t="str">
        <f t="shared" si="25"/>
        <v>Eversource-MA</v>
      </c>
      <c r="F501" s="15" t="s">
        <v>949</v>
      </c>
      <c r="H501" s="116" t="s">
        <v>135</v>
      </c>
      <c r="I501" s="15" t="s">
        <v>116</v>
      </c>
      <c r="J501" s="15">
        <v>339280625</v>
      </c>
    </row>
    <row r="502" spans="1:10" x14ac:dyDescent="0.2">
      <c r="A502" s="15" t="str">
        <f>_xlfn.XLOOKUP(E502,Program_data!$E$3:$E$1234,Program_data!$E$3:$E$1234,"",0,1)</f>
        <v>Eversource-MA</v>
      </c>
      <c r="B502" s="15" t="str">
        <f t="shared" si="24"/>
        <v>MA</v>
      </c>
      <c r="C502" s="15" t="s">
        <v>10</v>
      </c>
      <c r="D502" s="15" t="s">
        <v>18</v>
      </c>
      <c r="E502" s="15" t="str">
        <f t="shared" si="25"/>
        <v>Eversource-MA</v>
      </c>
      <c r="F502" s="15" t="s">
        <v>954</v>
      </c>
      <c r="H502" s="116" t="s">
        <v>146</v>
      </c>
      <c r="I502" s="15" t="s">
        <v>118</v>
      </c>
      <c r="J502" s="15">
        <v>23549</v>
      </c>
    </row>
    <row r="503" spans="1:10" x14ac:dyDescent="0.2">
      <c r="A503" s="15" t="str">
        <f>_xlfn.XLOOKUP(E503,Program_data!$E$3:$E$1234,Program_data!$E$3:$E$1234,"",0,1)</f>
        <v>Eversource-MA</v>
      </c>
      <c r="B503" s="15" t="str">
        <f t="shared" si="24"/>
        <v>MA</v>
      </c>
      <c r="C503" s="15" t="s">
        <v>10</v>
      </c>
      <c r="D503" s="15" t="s">
        <v>18</v>
      </c>
      <c r="E503" s="15" t="str">
        <f t="shared" si="25"/>
        <v>Eversource-MA</v>
      </c>
      <c r="F503" s="15" t="s">
        <v>953</v>
      </c>
      <c r="H503" s="116" t="s">
        <v>146</v>
      </c>
      <c r="I503" s="15" t="s">
        <v>116</v>
      </c>
      <c r="J503" s="15">
        <v>115552426</v>
      </c>
    </row>
    <row r="504" spans="1:10" x14ac:dyDescent="0.2">
      <c r="A504" s="15" t="str">
        <f>_xlfn.XLOOKUP(E504,Program_data!$E$3:$E$1234,Program_data!$E$3:$E$1234,"",0,1)</f>
        <v>Eversource-MA</v>
      </c>
      <c r="B504" s="15" t="str">
        <f t="shared" si="24"/>
        <v>MA</v>
      </c>
      <c r="C504" s="15" t="s">
        <v>10</v>
      </c>
      <c r="D504" s="15" t="s">
        <v>18</v>
      </c>
      <c r="E504" s="15" t="str">
        <f t="shared" si="25"/>
        <v>Eversource-MA</v>
      </c>
      <c r="F504" s="15" t="s">
        <v>952</v>
      </c>
      <c r="H504" s="116" t="s">
        <v>146</v>
      </c>
      <c r="I504" s="15" t="s">
        <v>117</v>
      </c>
      <c r="J504" s="15">
        <v>9625894</v>
      </c>
    </row>
    <row r="505" spans="1:10" x14ac:dyDescent="0.2">
      <c r="A505" s="15" t="str">
        <f>_xlfn.XLOOKUP(E505,Program_data!$E$3:$E$1234,Program_data!$E$3:$E$1234,"",0,1)</f>
        <v>Eversource-MA</v>
      </c>
      <c r="B505" s="15" t="str">
        <f t="shared" si="24"/>
        <v>MA</v>
      </c>
      <c r="C505" s="15" t="s">
        <v>10</v>
      </c>
      <c r="D505" s="15" t="s">
        <v>18</v>
      </c>
      <c r="E505" s="15" t="str">
        <f t="shared" si="25"/>
        <v>Eversource-MA</v>
      </c>
      <c r="F505" s="15" t="s">
        <v>956</v>
      </c>
      <c r="H505" s="116" t="s">
        <v>146</v>
      </c>
      <c r="I505" s="15" t="s">
        <v>118</v>
      </c>
      <c r="J505" s="15">
        <v>597</v>
      </c>
    </row>
    <row r="506" spans="1:10" x14ac:dyDescent="0.2">
      <c r="A506" s="15" t="str">
        <f>_xlfn.XLOOKUP(E506,Program_data!$E$3:$E$1234,Program_data!$E$3:$E$1234,"",0,1)</f>
        <v>Eversource-MA</v>
      </c>
      <c r="B506" s="15" t="str">
        <f t="shared" si="24"/>
        <v>MA</v>
      </c>
      <c r="C506" s="15" t="s">
        <v>10</v>
      </c>
      <c r="D506" s="15" t="s">
        <v>18</v>
      </c>
      <c r="E506" s="15" t="str">
        <f t="shared" si="25"/>
        <v>Eversource-MA</v>
      </c>
      <c r="F506" s="15" t="s">
        <v>955</v>
      </c>
      <c r="H506" s="116" t="s">
        <v>146</v>
      </c>
      <c r="I506" s="15" t="s">
        <v>117</v>
      </c>
      <c r="J506" s="15">
        <v>1108179</v>
      </c>
    </row>
    <row r="507" spans="1:10" x14ac:dyDescent="0.2">
      <c r="A507" s="15" t="str">
        <f>_xlfn.XLOOKUP(E507,Program_data!$E$3:$E$1234,Program_data!$E$3:$E$1234,"",0,1)</f>
        <v>Eversource-MA</v>
      </c>
      <c r="B507" s="15" t="str">
        <f t="shared" si="24"/>
        <v>MA</v>
      </c>
      <c r="C507" s="15" t="s">
        <v>10</v>
      </c>
      <c r="D507" s="15" t="s">
        <v>18</v>
      </c>
      <c r="E507" s="15" t="str">
        <f t="shared" si="25"/>
        <v>Eversource-MA</v>
      </c>
      <c r="F507" s="15" t="s">
        <v>957</v>
      </c>
      <c r="H507" s="116" t="s">
        <v>146</v>
      </c>
      <c r="I507" s="15" t="s">
        <v>116</v>
      </c>
      <c r="J507" s="15">
        <v>11497307</v>
      </c>
    </row>
    <row r="508" spans="1:10" x14ac:dyDescent="0.2">
      <c r="A508" s="15" t="str">
        <f>_xlfn.XLOOKUP(E508,Program_data!$E$3:$E$1234,Program_data!$E$3:$E$1234,"",0,1)</f>
        <v/>
      </c>
      <c r="B508" s="15" t="str">
        <f t="shared" si="24"/>
        <v>CA</v>
      </c>
      <c r="C508" s="15" t="s">
        <v>937</v>
      </c>
      <c r="D508" s="15" t="s">
        <v>938</v>
      </c>
      <c r="E508" s="15" t="str">
        <f t="shared" si="25"/>
        <v>PG&amp;E-CA</v>
      </c>
      <c r="F508" s="15" t="s">
        <v>951</v>
      </c>
      <c r="H508" s="116" t="s">
        <v>135</v>
      </c>
      <c r="I508" s="15" t="s">
        <v>117</v>
      </c>
      <c r="J508" s="15">
        <v>162205045</v>
      </c>
    </row>
    <row r="509" spans="1:10" x14ac:dyDescent="0.2">
      <c r="A509" s="15" t="str">
        <f>_xlfn.XLOOKUP(E509,Program_data!$E$3:$E$1234,Program_data!$E$3:$E$1234,"",0,1)</f>
        <v/>
      </c>
      <c r="B509" s="15" t="str">
        <f t="shared" si="24"/>
        <v>CA</v>
      </c>
      <c r="C509" s="15" t="s">
        <v>937</v>
      </c>
      <c r="D509" s="15" t="s">
        <v>938</v>
      </c>
      <c r="E509" s="15" t="str">
        <f t="shared" si="25"/>
        <v>PG&amp;E-CA</v>
      </c>
      <c r="F509" s="15" t="s">
        <v>950</v>
      </c>
      <c r="H509" s="116" t="s">
        <v>135</v>
      </c>
      <c r="I509" s="15" t="s">
        <v>118</v>
      </c>
      <c r="J509" s="15">
        <v>3970046</v>
      </c>
    </row>
    <row r="510" spans="1:10" x14ac:dyDescent="0.2">
      <c r="A510" s="15" t="str">
        <f>_xlfn.XLOOKUP(E510,Program_data!$E$3:$E$1234,Program_data!$E$3:$E$1234,"",0,1)</f>
        <v/>
      </c>
      <c r="B510" s="15" t="str">
        <f t="shared" si="24"/>
        <v>CA</v>
      </c>
      <c r="C510" s="15" t="s">
        <v>937</v>
      </c>
      <c r="D510" s="15" t="s">
        <v>938</v>
      </c>
      <c r="E510" s="15" t="str">
        <f t="shared" si="25"/>
        <v>PG&amp;E-CA</v>
      </c>
      <c r="F510" s="15" t="s">
        <v>949</v>
      </c>
      <c r="H510" s="116" t="s">
        <v>135</v>
      </c>
      <c r="I510" s="15" t="s">
        <v>116</v>
      </c>
      <c r="J510" s="15">
        <v>2877447328</v>
      </c>
    </row>
    <row r="511" spans="1:10" x14ac:dyDescent="0.2">
      <c r="A511" s="15" t="str">
        <f>_xlfn.XLOOKUP(E511,Program_data!$E$3:$E$1234,Program_data!$E$3:$E$1234,"",0,1)</f>
        <v/>
      </c>
      <c r="B511" s="15" t="str">
        <f t="shared" si="24"/>
        <v>CA</v>
      </c>
      <c r="C511" s="15" t="s">
        <v>937</v>
      </c>
      <c r="D511" s="15" t="s">
        <v>938</v>
      </c>
      <c r="E511" s="15" t="str">
        <f t="shared" si="25"/>
        <v>PG&amp;E-CA</v>
      </c>
      <c r="F511" s="15" t="s">
        <v>952</v>
      </c>
      <c r="H511" s="116" t="s">
        <v>146</v>
      </c>
      <c r="I511" s="15" t="s">
        <v>117</v>
      </c>
      <c r="J511" s="15">
        <v>41579359</v>
      </c>
    </row>
    <row r="512" spans="1:10" x14ac:dyDescent="0.2">
      <c r="A512" s="15" t="str">
        <f>_xlfn.XLOOKUP(E512,Program_data!$E$3:$E$1234,Program_data!$E$3:$E$1234,"",0,1)</f>
        <v/>
      </c>
      <c r="B512" s="15" t="str">
        <f t="shared" si="24"/>
        <v>CA</v>
      </c>
      <c r="C512" s="15" t="s">
        <v>937</v>
      </c>
      <c r="D512" s="15" t="s">
        <v>938</v>
      </c>
      <c r="E512" s="15" t="str">
        <f t="shared" si="25"/>
        <v>PG&amp;E-CA</v>
      </c>
      <c r="F512" s="15" t="s">
        <v>954</v>
      </c>
      <c r="H512" s="116" t="s">
        <v>146</v>
      </c>
      <c r="I512" s="15" t="s">
        <v>118</v>
      </c>
      <c r="J512" s="15">
        <v>180924</v>
      </c>
    </row>
    <row r="513" spans="1:10" x14ac:dyDescent="0.2">
      <c r="A513" s="15" t="str">
        <f>_xlfn.XLOOKUP(E513,Program_data!$E$3:$E$1234,Program_data!$E$3:$E$1234,"",0,1)</f>
        <v/>
      </c>
      <c r="B513" s="15" t="str">
        <f t="shared" si="24"/>
        <v>CA</v>
      </c>
      <c r="C513" s="15" t="s">
        <v>937</v>
      </c>
      <c r="D513" s="15" t="s">
        <v>938</v>
      </c>
      <c r="E513" s="15" t="str">
        <f t="shared" si="25"/>
        <v>PG&amp;E-CA</v>
      </c>
      <c r="F513" s="15" t="s">
        <v>953</v>
      </c>
      <c r="H513" s="116" t="s">
        <v>146</v>
      </c>
      <c r="I513" s="15" t="s">
        <v>116</v>
      </c>
      <c r="J513" s="15">
        <v>568972461</v>
      </c>
    </row>
    <row r="514" spans="1:10" x14ac:dyDescent="0.2">
      <c r="A514" s="15" t="str">
        <f>_xlfn.XLOOKUP(E514,Program_data!$E$3:$E$1234,Program_data!$E$3:$E$1234,"",0,1)</f>
        <v/>
      </c>
      <c r="B514" s="15" t="str">
        <f t="shared" si="24"/>
        <v>CA</v>
      </c>
      <c r="C514" s="15" t="s">
        <v>937</v>
      </c>
      <c r="D514" s="15" t="s">
        <v>938</v>
      </c>
      <c r="E514" s="15" t="str">
        <f t="shared" si="25"/>
        <v>PG&amp;E-CA</v>
      </c>
      <c r="F514" s="15" t="s">
        <v>957</v>
      </c>
      <c r="H514" s="116" t="s">
        <v>146</v>
      </c>
      <c r="I514" s="15" t="s">
        <v>116</v>
      </c>
      <c r="J514" s="15">
        <v>121585679</v>
      </c>
    </row>
    <row r="515" spans="1:10" x14ac:dyDescent="0.2">
      <c r="A515" s="15" t="str">
        <f>_xlfn.XLOOKUP(E515,Program_data!$E$3:$E$1234,Program_data!$E$3:$E$1234,"",0,1)</f>
        <v/>
      </c>
      <c r="B515" s="15" t="str">
        <f t="shared" si="24"/>
        <v>CA</v>
      </c>
      <c r="C515" s="15" t="s">
        <v>937</v>
      </c>
      <c r="D515" s="15" t="s">
        <v>938</v>
      </c>
      <c r="E515" s="15" t="str">
        <f t="shared" si="25"/>
        <v>PG&amp;E-CA</v>
      </c>
      <c r="F515" s="15" t="s">
        <v>955</v>
      </c>
      <c r="H515" s="116" t="s">
        <v>146</v>
      </c>
      <c r="I515" s="15" t="s">
        <v>117</v>
      </c>
      <c r="J515" s="15">
        <v>10432919</v>
      </c>
    </row>
    <row r="516" spans="1:10" x14ac:dyDescent="0.2">
      <c r="A516" s="15" t="str">
        <f>_xlfn.XLOOKUP(E516,Program_data!$E$3:$E$1234,Program_data!$E$3:$E$1234,"",0,1)</f>
        <v/>
      </c>
      <c r="B516" s="15" t="str">
        <f t="shared" si="24"/>
        <v>CA</v>
      </c>
      <c r="C516" s="15" t="s">
        <v>937</v>
      </c>
      <c r="D516" s="15" t="s">
        <v>938</v>
      </c>
      <c r="E516" s="15" t="str">
        <f t="shared" si="25"/>
        <v>PG&amp;E-CA</v>
      </c>
      <c r="F516" s="15" t="s">
        <v>956</v>
      </c>
      <c r="H516" s="116" t="s">
        <v>146</v>
      </c>
      <c r="I516" s="15" t="s">
        <v>118</v>
      </c>
      <c r="J516" s="15">
        <v>15165</v>
      </c>
    </row>
    <row r="517" spans="1:10" x14ac:dyDescent="0.2">
      <c r="A517" s="15" t="str">
        <f>_xlfn.XLOOKUP(E517,Program_data!$E$3:$E$1234,Program_data!$E$3:$E$1234,"",0,1)</f>
        <v>Peoples-IL</v>
      </c>
      <c r="B517" s="15" t="str">
        <f t="shared" si="24"/>
        <v>IL</v>
      </c>
      <c r="C517" s="15" t="s">
        <v>58</v>
      </c>
      <c r="D517" s="15" t="s">
        <v>629</v>
      </c>
      <c r="E517" s="15" t="str">
        <f t="shared" si="25"/>
        <v>Peoples-IL</v>
      </c>
      <c r="F517" s="15" t="s">
        <v>950</v>
      </c>
      <c r="H517" s="116" t="s">
        <v>135</v>
      </c>
      <c r="I517" s="15" t="s">
        <v>118</v>
      </c>
      <c r="J517" s="15">
        <v>780655</v>
      </c>
    </row>
    <row r="518" spans="1:10" x14ac:dyDescent="0.2">
      <c r="A518" s="15" t="str">
        <f>_xlfn.XLOOKUP(E518,Program_data!$E$3:$E$1234,Program_data!$E$3:$E$1234,"",0,1)</f>
        <v>Peoples-IL</v>
      </c>
      <c r="B518" s="15" t="str">
        <f t="shared" si="24"/>
        <v>IL</v>
      </c>
      <c r="C518" s="15" t="s">
        <v>58</v>
      </c>
      <c r="D518" s="15" t="s">
        <v>629</v>
      </c>
      <c r="E518" s="15" t="str">
        <f t="shared" si="25"/>
        <v>Peoples-IL</v>
      </c>
      <c r="F518" s="15" t="s">
        <v>949</v>
      </c>
      <c r="H518" s="116" t="s">
        <v>135</v>
      </c>
      <c r="I518" s="15" t="s">
        <v>116</v>
      </c>
      <c r="J518" s="15">
        <v>1066897450</v>
      </c>
    </row>
    <row r="519" spans="1:10" x14ac:dyDescent="0.2">
      <c r="A519" s="15" t="str">
        <f>_xlfn.XLOOKUP(E519,Program_data!$E$3:$E$1234,Program_data!$E$3:$E$1234,"",0,1)</f>
        <v>Peoples-IL</v>
      </c>
      <c r="B519" s="15" t="str">
        <f t="shared" si="24"/>
        <v>IL</v>
      </c>
      <c r="C519" s="15" t="s">
        <v>58</v>
      </c>
      <c r="D519" s="15" t="s">
        <v>629</v>
      </c>
      <c r="E519" s="15" t="str">
        <f t="shared" si="25"/>
        <v>Peoples-IL</v>
      </c>
      <c r="F519" s="15" t="s">
        <v>951</v>
      </c>
      <c r="H519" s="116" t="s">
        <v>135</v>
      </c>
      <c r="I519" s="15" t="s">
        <v>117</v>
      </c>
      <c r="J519" s="15">
        <v>74437466</v>
      </c>
    </row>
    <row r="520" spans="1:10" x14ac:dyDescent="0.2">
      <c r="A520" s="15" t="str">
        <f>_xlfn.XLOOKUP(E520,Program_data!$E$3:$E$1234,Program_data!$E$3:$E$1234,"",0,1)</f>
        <v>Peoples-IL</v>
      </c>
      <c r="B520" s="15" t="str">
        <f t="shared" si="24"/>
        <v>IL</v>
      </c>
      <c r="C520" s="15" t="s">
        <v>58</v>
      </c>
      <c r="D520" s="15" t="s">
        <v>629</v>
      </c>
      <c r="E520" s="15" t="str">
        <f t="shared" si="25"/>
        <v>Peoples-IL</v>
      </c>
      <c r="F520" s="15" t="s">
        <v>954</v>
      </c>
      <c r="H520" s="116" t="s">
        <v>146</v>
      </c>
      <c r="I520" s="15" t="s">
        <v>118</v>
      </c>
      <c r="J520" s="15">
        <v>38412</v>
      </c>
    </row>
    <row r="521" spans="1:10" x14ac:dyDescent="0.2">
      <c r="A521" s="15" t="str">
        <f>_xlfn.XLOOKUP(E521,Program_data!$E$3:$E$1234,Program_data!$E$3:$E$1234,"",0,1)</f>
        <v>Peoples-IL</v>
      </c>
      <c r="B521" s="15" t="str">
        <f t="shared" si="24"/>
        <v>IL</v>
      </c>
      <c r="C521" s="15" t="s">
        <v>58</v>
      </c>
      <c r="D521" s="15" t="s">
        <v>629</v>
      </c>
      <c r="E521" s="15" t="str">
        <f t="shared" si="25"/>
        <v>Peoples-IL</v>
      </c>
      <c r="F521" s="15" t="s">
        <v>952</v>
      </c>
      <c r="H521" s="116" t="s">
        <v>146</v>
      </c>
      <c r="I521" s="15" t="s">
        <v>117</v>
      </c>
      <c r="J521" s="15">
        <v>13613233</v>
      </c>
    </row>
    <row r="522" spans="1:10" x14ac:dyDescent="0.2">
      <c r="A522" s="15" t="str">
        <f>_xlfn.XLOOKUP(E522,Program_data!$E$3:$E$1234,Program_data!$E$3:$E$1234,"",0,1)</f>
        <v>Peoples-IL</v>
      </c>
      <c r="B522" s="15" t="str">
        <f t="shared" si="24"/>
        <v>IL</v>
      </c>
      <c r="C522" s="15" t="s">
        <v>58</v>
      </c>
      <c r="D522" s="15" t="s">
        <v>629</v>
      </c>
      <c r="E522" s="15" t="str">
        <f t="shared" si="25"/>
        <v>Peoples-IL</v>
      </c>
      <c r="F522" s="15" t="s">
        <v>953</v>
      </c>
      <c r="H522" s="116" t="s">
        <v>146</v>
      </c>
      <c r="I522" s="15" t="s">
        <v>116</v>
      </c>
      <c r="J522" s="15">
        <v>155669940</v>
      </c>
    </row>
    <row r="523" spans="1:10" x14ac:dyDescent="0.2">
      <c r="A523" s="15" t="str">
        <f>_xlfn.XLOOKUP(E523,Program_data!$E$3:$E$1234,Program_data!$E$3:$E$1234,"",0,1)</f>
        <v>Peoples-IL</v>
      </c>
      <c r="B523" s="15" t="str">
        <f t="shared" si="24"/>
        <v>IL</v>
      </c>
      <c r="C523" s="15" t="s">
        <v>58</v>
      </c>
      <c r="D523" s="15" t="s">
        <v>629</v>
      </c>
      <c r="E523" s="15" t="str">
        <f t="shared" si="25"/>
        <v>Peoples-IL</v>
      </c>
      <c r="F523" s="15" t="s">
        <v>955</v>
      </c>
      <c r="H523" s="116" t="s">
        <v>146</v>
      </c>
      <c r="I523" s="15" t="s">
        <v>117</v>
      </c>
      <c r="J523" s="15">
        <v>1995157</v>
      </c>
    </row>
    <row r="524" spans="1:10" x14ac:dyDescent="0.2">
      <c r="A524" s="15" t="str">
        <f>_xlfn.XLOOKUP(E524,Program_data!$E$3:$E$1234,Program_data!$E$3:$E$1234,"",0,1)</f>
        <v>Peoples-IL</v>
      </c>
      <c r="B524" s="15" t="str">
        <f t="shared" si="24"/>
        <v>IL</v>
      </c>
      <c r="C524" s="15" t="s">
        <v>58</v>
      </c>
      <c r="D524" s="15" t="s">
        <v>629</v>
      </c>
      <c r="E524" s="15" t="str">
        <f t="shared" si="25"/>
        <v>Peoples-IL</v>
      </c>
      <c r="F524" s="15" t="s">
        <v>957</v>
      </c>
      <c r="H524" s="116" t="s">
        <v>146</v>
      </c>
      <c r="I524" s="15" t="s">
        <v>116</v>
      </c>
      <c r="J524" s="15">
        <v>19223502</v>
      </c>
    </row>
    <row r="525" spans="1:10" x14ac:dyDescent="0.2">
      <c r="A525" s="15" t="str">
        <f>_xlfn.XLOOKUP(E525,Program_data!$E$3:$E$1234,Program_data!$E$3:$E$1234,"",0,1)</f>
        <v>Peoples-IL</v>
      </c>
      <c r="B525" s="15" t="str">
        <f t="shared" si="24"/>
        <v>IL</v>
      </c>
      <c r="C525" s="15" t="s">
        <v>58</v>
      </c>
      <c r="D525" s="15" t="s">
        <v>629</v>
      </c>
      <c r="E525" s="15" t="str">
        <f t="shared" si="25"/>
        <v>Peoples-IL</v>
      </c>
      <c r="F525" s="15" t="s">
        <v>956</v>
      </c>
      <c r="H525" s="116" t="s">
        <v>146</v>
      </c>
      <c r="I525" s="15" t="s">
        <v>118</v>
      </c>
      <c r="J525" s="15">
        <v>1449</v>
      </c>
    </row>
    <row r="526" spans="1:10" x14ac:dyDescent="0.2">
      <c r="A526" s="15" t="str">
        <f>_xlfn.XLOOKUP(E526,Program_data!$E$3:$E$1234,Program_data!$E$3:$E$1234,"",0,1)</f>
        <v>Xcel-CO</v>
      </c>
      <c r="B526" s="15" t="str">
        <f t="shared" si="24"/>
        <v>CO</v>
      </c>
      <c r="C526" s="15" t="s">
        <v>72</v>
      </c>
      <c r="D526" s="15" t="s">
        <v>242</v>
      </c>
      <c r="E526" s="15" t="str">
        <f t="shared" si="25"/>
        <v>Xcel-CO</v>
      </c>
      <c r="F526" s="15" t="s">
        <v>951</v>
      </c>
      <c r="H526" s="116" t="s">
        <v>135</v>
      </c>
      <c r="I526" s="15" t="s">
        <v>117</v>
      </c>
      <c r="J526" s="15">
        <v>95416268</v>
      </c>
    </row>
    <row r="527" spans="1:10" x14ac:dyDescent="0.2">
      <c r="A527" s="15" t="str">
        <f>_xlfn.XLOOKUP(E527,Program_data!$E$3:$E$1234,Program_data!$E$3:$E$1234,"",0,1)</f>
        <v>Xcel-CO</v>
      </c>
      <c r="B527" s="15" t="str">
        <f t="shared" si="24"/>
        <v>CO</v>
      </c>
      <c r="C527" s="15" t="s">
        <v>72</v>
      </c>
      <c r="D527" s="15" t="s">
        <v>242</v>
      </c>
      <c r="E527" s="15" t="str">
        <f t="shared" si="25"/>
        <v>Xcel-CO</v>
      </c>
      <c r="F527" s="15" t="s">
        <v>950</v>
      </c>
      <c r="H527" s="116" t="s">
        <v>135</v>
      </c>
      <c r="I527" s="15" t="s">
        <v>118</v>
      </c>
      <c r="J527" s="15">
        <v>1341725</v>
      </c>
    </row>
    <row r="528" spans="1:10" x14ac:dyDescent="0.2">
      <c r="A528" s="15" t="str">
        <f>_xlfn.XLOOKUP(E528,Program_data!$E$3:$E$1234,Program_data!$E$3:$E$1234,"",0,1)</f>
        <v>Xcel-CO</v>
      </c>
      <c r="B528" s="15" t="str">
        <f t="shared" si="24"/>
        <v>CO</v>
      </c>
      <c r="C528" s="15" t="s">
        <v>72</v>
      </c>
      <c r="D528" s="15" t="s">
        <v>242</v>
      </c>
      <c r="E528" s="15" t="str">
        <f t="shared" si="25"/>
        <v>Xcel-CO</v>
      </c>
      <c r="F528" s="15" t="s">
        <v>949</v>
      </c>
      <c r="H528" s="116" t="s">
        <v>135</v>
      </c>
      <c r="I528" s="15" t="s">
        <v>116</v>
      </c>
      <c r="J528" s="15">
        <v>838583100</v>
      </c>
    </row>
    <row r="529" spans="1:10" x14ac:dyDescent="0.2">
      <c r="A529" s="15" t="str">
        <f>_xlfn.XLOOKUP(E529,Program_data!$E$3:$E$1234,Program_data!$E$3:$E$1234,"",0,1)</f>
        <v>Xcel-CO</v>
      </c>
      <c r="B529" s="15" t="str">
        <f t="shared" si="24"/>
        <v>CO</v>
      </c>
      <c r="C529" s="15" t="s">
        <v>72</v>
      </c>
      <c r="D529" s="15" t="s">
        <v>242</v>
      </c>
      <c r="E529" s="15" t="str">
        <f t="shared" si="25"/>
        <v>Xcel-CO</v>
      </c>
      <c r="F529" s="15" t="s">
        <v>954</v>
      </c>
      <c r="H529" s="116" t="s">
        <v>146</v>
      </c>
      <c r="I529" s="15" t="s">
        <v>118</v>
      </c>
      <c r="J529" s="15">
        <v>101058</v>
      </c>
    </row>
    <row r="530" spans="1:10" x14ac:dyDescent="0.2">
      <c r="A530" s="15" t="str">
        <f>_xlfn.XLOOKUP(E530,Program_data!$E$3:$E$1234,Program_data!$E$3:$E$1234,"",0,1)</f>
        <v>Xcel-CO</v>
      </c>
      <c r="B530" s="15" t="str">
        <f t="shared" si="24"/>
        <v>CO</v>
      </c>
      <c r="C530" s="15" t="s">
        <v>72</v>
      </c>
      <c r="D530" s="15" t="s">
        <v>242</v>
      </c>
      <c r="E530" s="15" t="str">
        <f t="shared" si="25"/>
        <v>Xcel-CO</v>
      </c>
      <c r="F530" s="15" t="s">
        <v>952</v>
      </c>
      <c r="H530" s="116" t="s">
        <v>146</v>
      </c>
      <c r="I530" s="15" t="s">
        <v>117</v>
      </c>
      <c r="J530" s="15">
        <v>33530423</v>
      </c>
    </row>
    <row r="531" spans="1:10" x14ac:dyDescent="0.2">
      <c r="A531" s="15" t="str">
        <f>_xlfn.XLOOKUP(E531,Program_data!$E$3:$E$1234,Program_data!$E$3:$E$1234,"",0,1)</f>
        <v>Xcel-CO</v>
      </c>
      <c r="B531" s="15" t="str">
        <f t="shared" ref="B531:B567" si="26">UPPER(LEFT(C531,2))</f>
        <v>CO</v>
      </c>
      <c r="C531" s="15" t="s">
        <v>72</v>
      </c>
      <c r="D531" s="15" t="s">
        <v>242</v>
      </c>
      <c r="E531" s="15" t="str">
        <f t="shared" ref="E531:E567" si="27">D531&amp;"-"&amp;B531</f>
        <v>Xcel-CO</v>
      </c>
      <c r="F531" s="15" t="s">
        <v>953</v>
      </c>
      <c r="H531" s="116" t="s">
        <v>146</v>
      </c>
      <c r="I531" s="15" t="s">
        <v>116</v>
      </c>
      <c r="J531" s="15">
        <v>263667549</v>
      </c>
    </row>
    <row r="532" spans="1:10" x14ac:dyDescent="0.2">
      <c r="A532" s="15" t="str">
        <f>_xlfn.XLOOKUP(E532,Program_data!$E$3:$E$1234,Program_data!$E$3:$E$1234,"",0,1)</f>
        <v>Xcel-CO</v>
      </c>
      <c r="B532" s="15" t="str">
        <f t="shared" si="26"/>
        <v>CO</v>
      </c>
      <c r="C532" s="15" t="s">
        <v>72</v>
      </c>
      <c r="D532" s="15" t="s">
        <v>242</v>
      </c>
      <c r="E532" s="15" t="str">
        <f t="shared" si="27"/>
        <v>Xcel-CO</v>
      </c>
      <c r="F532" s="15" t="s">
        <v>957</v>
      </c>
      <c r="H532" s="116" t="s">
        <v>146</v>
      </c>
      <c r="I532" s="15" t="s">
        <v>116</v>
      </c>
      <c r="J532" s="15">
        <v>52609559</v>
      </c>
    </row>
    <row r="533" spans="1:10" x14ac:dyDescent="0.2">
      <c r="A533" s="15" t="str">
        <f>_xlfn.XLOOKUP(E533,Program_data!$E$3:$E$1234,Program_data!$E$3:$E$1234,"",0,1)</f>
        <v>Xcel-CO</v>
      </c>
      <c r="B533" s="15" t="str">
        <f t="shared" si="26"/>
        <v>CO</v>
      </c>
      <c r="C533" s="15" t="s">
        <v>72</v>
      </c>
      <c r="D533" s="15" t="s">
        <v>242</v>
      </c>
      <c r="E533" s="15" t="str">
        <f t="shared" si="27"/>
        <v>Xcel-CO</v>
      </c>
      <c r="F533" s="15" t="s">
        <v>956</v>
      </c>
      <c r="H533" s="116" t="s">
        <v>146</v>
      </c>
      <c r="I533" s="15" t="s">
        <v>118</v>
      </c>
      <c r="J533" s="15">
        <v>941</v>
      </c>
    </row>
    <row r="534" spans="1:10" x14ac:dyDescent="0.2">
      <c r="A534" s="15" t="str">
        <f>_xlfn.XLOOKUP(E534,Program_data!$E$3:$E$1234,Program_data!$E$3:$E$1234,"",0,1)</f>
        <v>Xcel-CO</v>
      </c>
      <c r="B534" s="15" t="str">
        <f t="shared" si="26"/>
        <v>CO</v>
      </c>
      <c r="C534" s="15" t="s">
        <v>72</v>
      </c>
      <c r="D534" s="15" t="s">
        <v>242</v>
      </c>
      <c r="E534" s="15" t="str">
        <f t="shared" si="27"/>
        <v>Xcel-CO</v>
      </c>
      <c r="F534" s="15" t="s">
        <v>955</v>
      </c>
      <c r="H534" s="116" t="s">
        <v>146</v>
      </c>
      <c r="I534" s="15" t="s">
        <v>117</v>
      </c>
      <c r="J534" s="15">
        <v>7288760</v>
      </c>
    </row>
    <row r="535" spans="1:10" x14ac:dyDescent="0.2">
      <c r="A535" s="15" t="str">
        <f>_xlfn.XLOOKUP(E535,Program_data!$E$3:$E$1234,Program_data!$E$3:$E$1234,"",0,1)</f>
        <v>PSEG-NJ</v>
      </c>
      <c r="B535" s="15" t="s">
        <v>37</v>
      </c>
      <c r="C535" s="15" t="s">
        <v>939</v>
      </c>
      <c r="D535" s="15" t="s">
        <v>460</v>
      </c>
      <c r="E535" s="15" t="str">
        <f t="shared" si="27"/>
        <v>PSEG-NJ</v>
      </c>
      <c r="F535" s="15" t="s">
        <v>951</v>
      </c>
      <c r="H535" s="116" t="s">
        <v>135</v>
      </c>
      <c r="I535" s="15" t="s">
        <v>117</v>
      </c>
      <c r="J535" s="15">
        <v>136983749</v>
      </c>
    </row>
    <row r="536" spans="1:10" x14ac:dyDescent="0.2">
      <c r="A536" s="15" t="str">
        <f>_xlfn.XLOOKUP(E536,Program_data!$E$3:$E$1234,Program_data!$E$3:$E$1234,"",0,1)</f>
        <v>PSEG-NJ</v>
      </c>
      <c r="B536" s="15" t="s">
        <v>37</v>
      </c>
      <c r="C536" s="15" t="s">
        <v>939</v>
      </c>
      <c r="D536" s="15" t="s">
        <v>460</v>
      </c>
      <c r="E536" s="15" t="str">
        <f t="shared" si="27"/>
        <v>PSEG-NJ</v>
      </c>
      <c r="F536" s="15" t="s">
        <v>949</v>
      </c>
      <c r="H536" s="116" t="s">
        <v>135</v>
      </c>
      <c r="I536" s="15" t="s">
        <v>116</v>
      </c>
      <c r="J536" s="15">
        <v>1180478826</v>
      </c>
    </row>
    <row r="537" spans="1:10" x14ac:dyDescent="0.2">
      <c r="A537" s="15" t="str">
        <f>_xlfn.XLOOKUP(E537,Program_data!$E$3:$E$1234,Program_data!$E$3:$E$1234,"",0,1)</f>
        <v>PSEG-NJ</v>
      </c>
      <c r="B537" s="15" t="s">
        <v>37</v>
      </c>
      <c r="C537" s="15" t="s">
        <v>939</v>
      </c>
      <c r="D537" s="15" t="s">
        <v>460</v>
      </c>
      <c r="E537" s="15" t="str">
        <f t="shared" si="27"/>
        <v>PSEG-NJ</v>
      </c>
      <c r="F537" s="15" t="s">
        <v>950</v>
      </c>
      <c r="H537" s="116" t="s">
        <v>135</v>
      </c>
      <c r="I537" s="15" t="s">
        <v>118</v>
      </c>
      <c r="J537" s="15">
        <v>1667243</v>
      </c>
    </row>
    <row r="538" spans="1:10" x14ac:dyDescent="0.2">
      <c r="A538" s="15" t="str">
        <f>_xlfn.XLOOKUP(E538,Program_data!$E$3:$E$1234,Program_data!$E$3:$E$1234,"",0,1)</f>
        <v>PSEG-NJ</v>
      </c>
      <c r="B538" s="15" t="s">
        <v>37</v>
      </c>
      <c r="C538" s="15" t="s">
        <v>939</v>
      </c>
      <c r="D538" s="15" t="s">
        <v>460</v>
      </c>
      <c r="E538" s="15" t="str">
        <f t="shared" si="27"/>
        <v>PSEG-NJ</v>
      </c>
      <c r="F538" s="15" t="s">
        <v>953</v>
      </c>
      <c r="H538" s="116" t="s">
        <v>146</v>
      </c>
      <c r="I538" s="15" t="s">
        <v>116</v>
      </c>
      <c r="J538" s="15">
        <v>393389117</v>
      </c>
    </row>
    <row r="539" spans="1:10" x14ac:dyDescent="0.2">
      <c r="A539" s="15" t="str">
        <f>_xlfn.XLOOKUP(E539,Program_data!$E$3:$E$1234,Program_data!$E$3:$E$1234,"",0,1)</f>
        <v>PSEG-NJ</v>
      </c>
      <c r="B539" s="15" t="s">
        <v>37</v>
      </c>
      <c r="C539" s="15" t="s">
        <v>939</v>
      </c>
      <c r="D539" s="15" t="s">
        <v>460</v>
      </c>
      <c r="E539" s="15" t="str">
        <f t="shared" si="27"/>
        <v>PSEG-NJ</v>
      </c>
      <c r="F539" s="15" t="s">
        <v>954</v>
      </c>
      <c r="H539" s="116" t="s">
        <v>146</v>
      </c>
      <c r="I539" s="15" t="s">
        <v>118</v>
      </c>
      <c r="J539" s="15">
        <v>132852</v>
      </c>
    </row>
    <row r="540" spans="1:10" x14ac:dyDescent="0.2">
      <c r="A540" s="15" t="str">
        <f>_xlfn.XLOOKUP(E540,Program_data!$E$3:$E$1234,Program_data!$E$3:$E$1234,"",0,1)</f>
        <v>PSEG-NJ</v>
      </c>
      <c r="B540" s="15" t="s">
        <v>37</v>
      </c>
      <c r="C540" s="15" t="s">
        <v>939</v>
      </c>
      <c r="D540" s="15" t="s">
        <v>460</v>
      </c>
      <c r="E540" s="15" t="str">
        <f t="shared" si="27"/>
        <v>PSEG-NJ</v>
      </c>
      <c r="F540" s="15" t="s">
        <v>952</v>
      </c>
      <c r="H540" s="116" t="s">
        <v>146</v>
      </c>
      <c r="I540" s="15" t="s">
        <v>117</v>
      </c>
      <c r="J540" s="15">
        <v>44158856</v>
      </c>
    </row>
    <row r="541" spans="1:10" x14ac:dyDescent="0.2">
      <c r="A541" s="15" t="str">
        <f>_xlfn.XLOOKUP(E541,Program_data!$E$3:$E$1234,Program_data!$E$3:$E$1234,"",0,1)</f>
        <v>PSEG-NJ</v>
      </c>
      <c r="B541" s="15" t="s">
        <v>37</v>
      </c>
      <c r="C541" s="15" t="s">
        <v>939</v>
      </c>
      <c r="D541" s="15" t="s">
        <v>460</v>
      </c>
      <c r="E541" s="15" t="str">
        <f t="shared" si="27"/>
        <v>PSEG-NJ</v>
      </c>
      <c r="F541" s="15" t="s">
        <v>955</v>
      </c>
      <c r="H541" s="116" t="s">
        <v>146</v>
      </c>
      <c r="I541" s="15" t="s">
        <v>117</v>
      </c>
      <c r="J541" s="15">
        <v>2680375</v>
      </c>
    </row>
    <row r="542" spans="1:10" x14ac:dyDescent="0.2">
      <c r="A542" s="15" t="str">
        <f>_xlfn.XLOOKUP(E542,Program_data!$E$3:$E$1234,Program_data!$E$3:$E$1234,"",0,1)</f>
        <v>PSEG-NJ</v>
      </c>
      <c r="B542" s="15" t="s">
        <v>37</v>
      </c>
      <c r="C542" s="15" t="s">
        <v>939</v>
      </c>
      <c r="D542" s="15" t="s">
        <v>460</v>
      </c>
      <c r="E542" s="15" t="str">
        <f t="shared" si="27"/>
        <v>PSEG-NJ</v>
      </c>
      <c r="F542" s="15" t="s">
        <v>956</v>
      </c>
      <c r="H542" s="116" t="s">
        <v>146</v>
      </c>
      <c r="I542" s="15" t="s">
        <v>118</v>
      </c>
      <c r="J542" s="15">
        <v>5080</v>
      </c>
    </row>
    <row r="543" spans="1:10" x14ac:dyDescent="0.2">
      <c r="A543" s="15" t="str">
        <f>_xlfn.XLOOKUP(E543,Program_data!$E$3:$E$1234,Program_data!$E$3:$E$1234,"",0,1)</f>
        <v>PSEG-NJ</v>
      </c>
      <c r="B543" s="15" t="s">
        <v>37</v>
      </c>
      <c r="C543" s="15" t="s">
        <v>939</v>
      </c>
      <c r="D543" s="15" t="s">
        <v>460</v>
      </c>
      <c r="E543" s="15" t="str">
        <f t="shared" si="27"/>
        <v>PSEG-NJ</v>
      </c>
      <c r="F543" s="15" t="s">
        <v>957</v>
      </c>
      <c r="H543" s="116" t="s">
        <v>146</v>
      </c>
      <c r="I543" s="15" t="s">
        <v>116</v>
      </c>
      <c r="J543" s="15">
        <v>21333207</v>
      </c>
    </row>
    <row r="544" spans="1:10" x14ac:dyDescent="0.2">
      <c r="A544" s="15" t="str">
        <f>_xlfn.XLOOKUP(E544,Program_data!$E$3:$E$1234,Program_data!$E$3:$E$1234,"",0,1)</f>
        <v>PSE-WA</v>
      </c>
      <c r="B544" s="15" t="str">
        <f t="shared" si="26"/>
        <v>WA</v>
      </c>
      <c r="C544" s="15" t="s">
        <v>940</v>
      </c>
      <c r="D544" s="15" t="s">
        <v>424</v>
      </c>
      <c r="E544" s="15" t="str">
        <f t="shared" si="27"/>
        <v>PSE-WA</v>
      </c>
      <c r="F544" s="15" t="s">
        <v>951</v>
      </c>
      <c r="H544" s="116" t="s">
        <v>135</v>
      </c>
      <c r="I544" s="15" t="s">
        <v>117</v>
      </c>
      <c r="J544" s="15">
        <v>61102800</v>
      </c>
    </row>
    <row r="545" spans="1:10" x14ac:dyDescent="0.2">
      <c r="A545" s="15" t="str">
        <f>_xlfn.XLOOKUP(E545,Program_data!$E$3:$E$1234,Program_data!$E$3:$E$1234,"",0,1)</f>
        <v>PSE-WA</v>
      </c>
      <c r="B545" s="15" t="str">
        <f t="shared" si="26"/>
        <v>WA</v>
      </c>
      <c r="C545" s="15" t="s">
        <v>940</v>
      </c>
      <c r="D545" s="15" t="s">
        <v>424</v>
      </c>
      <c r="E545" s="15" t="str">
        <f t="shared" si="27"/>
        <v>PSE-WA</v>
      </c>
      <c r="F545" s="15" t="s">
        <v>949</v>
      </c>
      <c r="H545" s="116" t="s">
        <v>135</v>
      </c>
      <c r="I545" s="15" t="s">
        <v>116</v>
      </c>
      <c r="J545" s="15">
        <v>722022000</v>
      </c>
    </row>
    <row r="546" spans="1:10" x14ac:dyDescent="0.2">
      <c r="A546" s="15" t="str">
        <f>_xlfn.XLOOKUP(E546,Program_data!$E$3:$E$1234,Program_data!$E$3:$E$1234,"",0,1)</f>
        <v>PSE-WA</v>
      </c>
      <c r="B546" s="15" t="str">
        <f t="shared" si="26"/>
        <v>WA</v>
      </c>
      <c r="C546" s="15" t="s">
        <v>940</v>
      </c>
      <c r="D546" s="15" t="s">
        <v>424</v>
      </c>
      <c r="E546" s="15" t="str">
        <f t="shared" si="27"/>
        <v>PSE-WA</v>
      </c>
      <c r="F546" s="15" t="s">
        <v>950</v>
      </c>
      <c r="H546" s="116" t="s">
        <v>135</v>
      </c>
      <c r="I546" s="15" t="s">
        <v>118</v>
      </c>
      <c r="J546" s="15">
        <v>801186</v>
      </c>
    </row>
    <row r="547" spans="1:10" x14ac:dyDescent="0.2">
      <c r="A547" s="15" t="str">
        <f>_xlfn.XLOOKUP(E547,Program_data!$E$3:$E$1234,Program_data!$E$3:$E$1234,"",0,1)</f>
        <v>PSE-WA</v>
      </c>
      <c r="B547" s="15" t="str">
        <f t="shared" si="26"/>
        <v>WA</v>
      </c>
      <c r="C547" s="15" t="s">
        <v>940</v>
      </c>
      <c r="D547" s="15" t="s">
        <v>424</v>
      </c>
      <c r="E547" s="15" t="str">
        <f t="shared" si="27"/>
        <v>PSE-WA</v>
      </c>
      <c r="F547" s="15" t="s">
        <v>954</v>
      </c>
      <c r="H547" s="116" t="s">
        <v>146</v>
      </c>
      <c r="I547" s="15" t="s">
        <v>118</v>
      </c>
      <c r="J547" s="15">
        <v>56746</v>
      </c>
    </row>
    <row r="548" spans="1:10" x14ac:dyDescent="0.2">
      <c r="A548" s="15" t="str">
        <f>_xlfn.XLOOKUP(E548,Program_data!$E$3:$E$1234,Program_data!$E$3:$E$1234,"",0,1)</f>
        <v>PSE-WA</v>
      </c>
      <c r="B548" s="15" t="str">
        <f t="shared" si="26"/>
        <v>WA</v>
      </c>
      <c r="C548" s="15" t="s">
        <v>940</v>
      </c>
      <c r="D548" s="15" t="s">
        <v>424</v>
      </c>
      <c r="E548" s="15" t="str">
        <f t="shared" si="27"/>
        <v>PSE-WA</v>
      </c>
      <c r="F548" s="15" t="s">
        <v>952</v>
      </c>
      <c r="H548" s="116" t="s">
        <v>146</v>
      </c>
      <c r="I548" s="15" t="s">
        <v>117</v>
      </c>
      <c r="J548" s="15">
        <v>31204800</v>
      </c>
    </row>
    <row r="549" spans="1:10" x14ac:dyDescent="0.2">
      <c r="A549" s="15" t="str">
        <f>_xlfn.XLOOKUP(E549,Program_data!$E$3:$E$1234,Program_data!$E$3:$E$1234,"",0,1)</f>
        <v>PSE-WA</v>
      </c>
      <c r="B549" s="15" t="str">
        <f t="shared" si="26"/>
        <v>WA</v>
      </c>
      <c r="C549" s="15" t="s">
        <v>940</v>
      </c>
      <c r="D549" s="15" t="s">
        <v>424</v>
      </c>
      <c r="E549" s="15" t="str">
        <f t="shared" si="27"/>
        <v>PSE-WA</v>
      </c>
      <c r="F549" s="15" t="s">
        <v>953</v>
      </c>
      <c r="H549" s="116" t="s">
        <v>146</v>
      </c>
      <c r="I549" s="15" t="s">
        <v>116</v>
      </c>
      <c r="J549" s="15">
        <v>292217000</v>
      </c>
    </row>
    <row r="550" spans="1:10" x14ac:dyDescent="0.2">
      <c r="A550" s="15" t="str">
        <f>_xlfn.XLOOKUP(E550,Program_data!$E$3:$E$1234,Program_data!$E$3:$E$1234,"",0,1)</f>
        <v>PSE-WA</v>
      </c>
      <c r="B550" s="15" t="str">
        <f t="shared" si="26"/>
        <v>WA</v>
      </c>
      <c r="C550" s="15" t="s">
        <v>940</v>
      </c>
      <c r="D550" s="15" t="s">
        <v>424</v>
      </c>
      <c r="E550" s="15" t="str">
        <f t="shared" si="27"/>
        <v>PSE-WA</v>
      </c>
      <c r="F550" s="15" t="s">
        <v>957</v>
      </c>
      <c r="H550" s="116" t="s">
        <v>146</v>
      </c>
      <c r="I550" s="15" t="s">
        <v>116</v>
      </c>
      <c r="J550" s="15">
        <v>21726000</v>
      </c>
    </row>
    <row r="551" spans="1:10" x14ac:dyDescent="0.2">
      <c r="A551" s="15" t="str">
        <f>_xlfn.XLOOKUP(E551,Program_data!$E$3:$E$1234,Program_data!$E$3:$E$1234,"",0,1)</f>
        <v>PSE-WA</v>
      </c>
      <c r="B551" s="15" t="str">
        <f t="shared" si="26"/>
        <v>WA</v>
      </c>
      <c r="C551" s="15" t="s">
        <v>940</v>
      </c>
      <c r="D551" s="15" t="s">
        <v>424</v>
      </c>
      <c r="E551" s="15" t="str">
        <f t="shared" si="27"/>
        <v>PSE-WA</v>
      </c>
      <c r="F551" s="15" t="s">
        <v>955</v>
      </c>
      <c r="H551" s="116" t="s">
        <v>146</v>
      </c>
      <c r="I551" s="15" t="s">
        <v>117</v>
      </c>
      <c r="J551" s="15">
        <v>2688300</v>
      </c>
    </row>
    <row r="552" spans="1:10" x14ac:dyDescent="0.2">
      <c r="A552" s="15" t="str">
        <f>_xlfn.XLOOKUP(E552,Program_data!$E$3:$E$1234,Program_data!$E$3:$E$1234,"",0,1)</f>
        <v>PSE-WA</v>
      </c>
      <c r="B552" s="15" t="str">
        <f t="shared" si="26"/>
        <v>WA</v>
      </c>
      <c r="C552" s="15" t="s">
        <v>940</v>
      </c>
      <c r="D552" s="15" t="s">
        <v>424</v>
      </c>
      <c r="E552" s="15" t="str">
        <f t="shared" si="27"/>
        <v>PSE-WA</v>
      </c>
      <c r="F552" s="15" t="s">
        <v>956</v>
      </c>
      <c r="H552" s="116" t="s">
        <v>146</v>
      </c>
      <c r="I552" s="15" t="s">
        <v>118</v>
      </c>
      <c r="J552" s="15">
        <v>2286</v>
      </c>
    </row>
    <row r="553" spans="1:10" x14ac:dyDescent="0.2">
      <c r="A553" s="15" t="str">
        <f>_xlfn.XLOOKUP(E553,Program_data!$E$3:$E$1234,Program_data!$E$3:$E$1234,"",0,1)</f>
        <v>QUESTAR-UT</v>
      </c>
      <c r="B553" s="15" t="str">
        <f t="shared" si="26"/>
        <v>UT</v>
      </c>
      <c r="C553" s="15" t="s">
        <v>98</v>
      </c>
      <c r="D553" s="15" t="s">
        <v>448</v>
      </c>
      <c r="E553" s="15" t="str">
        <f t="shared" si="27"/>
        <v>QUESTAR-UT</v>
      </c>
      <c r="F553" s="15" t="s">
        <v>950</v>
      </c>
      <c r="H553" s="116" t="s">
        <v>135</v>
      </c>
      <c r="I553" s="15" t="s">
        <v>118</v>
      </c>
      <c r="J553" s="15">
        <v>1025383</v>
      </c>
    </row>
    <row r="554" spans="1:10" x14ac:dyDescent="0.2">
      <c r="A554" s="15" t="str">
        <f>_xlfn.XLOOKUP(E554,Program_data!$E$3:$E$1234,Program_data!$E$3:$E$1234,"",0,1)</f>
        <v>QUESTAR-UT</v>
      </c>
      <c r="B554" s="15" t="str">
        <f t="shared" si="26"/>
        <v>UT</v>
      </c>
      <c r="C554" s="15" t="s">
        <v>98</v>
      </c>
      <c r="D554" s="15" t="s">
        <v>448</v>
      </c>
      <c r="E554" s="15" t="str">
        <f t="shared" si="27"/>
        <v>QUESTAR-UT</v>
      </c>
      <c r="F554" s="15" t="s">
        <v>951</v>
      </c>
      <c r="H554" s="116" t="s">
        <v>135</v>
      </c>
      <c r="I554" s="15" t="s">
        <v>117</v>
      </c>
      <c r="J554" s="15">
        <v>71307443</v>
      </c>
    </row>
    <row r="555" spans="1:10" x14ac:dyDescent="0.2">
      <c r="A555" s="15" t="str">
        <f>_xlfn.XLOOKUP(E555,Program_data!$E$3:$E$1234,Program_data!$E$3:$E$1234,"",0,1)</f>
        <v>QUESTAR-UT</v>
      </c>
      <c r="B555" s="15" t="str">
        <f t="shared" si="26"/>
        <v>UT</v>
      </c>
      <c r="C555" s="15" t="s">
        <v>98</v>
      </c>
      <c r="D555" s="15" t="s">
        <v>448</v>
      </c>
      <c r="E555" s="15" t="str">
        <f t="shared" si="27"/>
        <v>QUESTAR-UT</v>
      </c>
      <c r="F555" s="15" t="s">
        <v>949</v>
      </c>
      <c r="H555" s="116" t="s">
        <v>135</v>
      </c>
      <c r="I555" s="15" t="s">
        <v>116</v>
      </c>
      <c r="J555" s="15">
        <v>641200442</v>
      </c>
    </row>
    <row r="556" spans="1:10" x14ac:dyDescent="0.2">
      <c r="A556" s="15" t="str">
        <f>_xlfn.XLOOKUP(E556,Program_data!$E$3:$E$1234,Program_data!$E$3:$E$1234,"",0,1)</f>
        <v>QUESTAR-UT</v>
      </c>
      <c r="B556" s="15" t="str">
        <f t="shared" si="26"/>
        <v>UT</v>
      </c>
      <c r="C556" s="15" t="s">
        <v>98</v>
      </c>
      <c r="D556" s="15" t="s">
        <v>448</v>
      </c>
      <c r="E556" s="15" t="str">
        <f t="shared" si="27"/>
        <v>QUESTAR-UT</v>
      </c>
      <c r="F556" s="15" t="s">
        <v>952</v>
      </c>
      <c r="H556" s="116" t="s">
        <v>146</v>
      </c>
      <c r="I556" s="15" t="s">
        <v>117</v>
      </c>
      <c r="J556" s="15">
        <v>28161054</v>
      </c>
    </row>
    <row r="557" spans="1:10" x14ac:dyDescent="0.2">
      <c r="A557" s="15" t="str">
        <f>_xlfn.XLOOKUP(E557,Program_data!$E$3:$E$1234,Program_data!$E$3:$E$1234,"",0,1)</f>
        <v>QUESTAR-UT</v>
      </c>
      <c r="B557" s="15" t="str">
        <f t="shared" si="26"/>
        <v>UT</v>
      </c>
      <c r="C557" s="15" t="s">
        <v>98</v>
      </c>
      <c r="D557" s="15" t="s">
        <v>448</v>
      </c>
      <c r="E557" s="15" t="str">
        <f t="shared" si="27"/>
        <v>QUESTAR-UT</v>
      </c>
      <c r="F557" s="15" t="s">
        <v>954</v>
      </c>
      <c r="H557" s="116" t="s">
        <v>146</v>
      </c>
      <c r="I557" s="15" t="s">
        <v>118</v>
      </c>
      <c r="J557" s="15">
        <v>70939</v>
      </c>
    </row>
    <row r="558" spans="1:10" x14ac:dyDescent="0.2">
      <c r="A558" s="15" t="str">
        <f>_xlfn.XLOOKUP(E558,Program_data!$E$3:$E$1234,Program_data!$E$3:$E$1234,"",0,1)</f>
        <v>QUESTAR-UT</v>
      </c>
      <c r="B558" s="15" t="str">
        <f t="shared" si="26"/>
        <v>UT</v>
      </c>
      <c r="C558" s="15" t="s">
        <v>98</v>
      </c>
      <c r="D558" s="15" t="s">
        <v>448</v>
      </c>
      <c r="E558" s="15" t="str">
        <f t="shared" si="27"/>
        <v>QUESTAR-UT</v>
      </c>
      <c r="F558" s="15" t="s">
        <v>953</v>
      </c>
      <c r="H558" s="116" t="s">
        <v>146</v>
      </c>
      <c r="I558" s="15" t="s">
        <v>116</v>
      </c>
      <c r="J558" s="15">
        <v>207454350</v>
      </c>
    </row>
    <row r="559" spans="1:10" x14ac:dyDescent="0.2">
      <c r="A559" s="15" t="str">
        <f>_xlfn.XLOOKUP(E559,Program_data!$E$3:$E$1234,Program_data!$E$3:$E$1234,"",0,1)</f>
        <v>QUESTAR-UT</v>
      </c>
      <c r="B559" s="15" t="str">
        <f t="shared" si="26"/>
        <v>UT</v>
      </c>
      <c r="C559" s="15" t="s">
        <v>98</v>
      </c>
      <c r="D559" s="15" t="s">
        <v>448</v>
      </c>
      <c r="E559" s="15" t="str">
        <f t="shared" si="27"/>
        <v>QUESTAR-UT</v>
      </c>
      <c r="F559" s="15" t="s">
        <v>955</v>
      </c>
      <c r="H559" s="116" t="s">
        <v>146</v>
      </c>
      <c r="I559" s="15" t="s">
        <v>117</v>
      </c>
      <c r="J559" s="15">
        <v>707426</v>
      </c>
    </row>
    <row r="560" spans="1:10" x14ac:dyDescent="0.2">
      <c r="A560" s="15" t="str">
        <f>_xlfn.XLOOKUP(E560,Program_data!$E$3:$E$1234,Program_data!$E$3:$E$1234,"",0,1)</f>
        <v>QUESTAR-UT</v>
      </c>
      <c r="B560" s="15" t="str">
        <f t="shared" si="26"/>
        <v>UT</v>
      </c>
      <c r="C560" s="15" t="s">
        <v>98</v>
      </c>
      <c r="D560" s="15" t="s">
        <v>448</v>
      </c>
      <c r="E560" s="15" t="str">
        <f t="shared" si="27"/>
        <v>QUESTAR-UT</v>
      </c>
      <c r="F560" s="15" t="s">
        <v>956</v>
      </c>
      <c r="H560" s="116" t="s">
        <v>146</v>
      </c>
      <c r="I560" s="15" t="s">
        <v>118</v>
      </c>
      <c r="J560" s="15">
        <v>55</v>
      </c>
    </row>
    <row r="561" spans="1:10" x14ac:dyDescent="0.2">
      <c r="A561" s="15" t="str">
        <f>_xlfn.XLOOKUP(E561,Program_data!$E$3:$E$1234,Program_data!$E$3:$E$1234,"",0,1)</f>
        <v>QUESTAR-UT</v>
      </c>
      <c r="B561" s="15" t="str">
        <f t="shared" si="26"/>
        <v>UT</v>
      </c>
      <c r="C561" s="15" t="s">
        <v>98</v>
      </c>
      <c r="D561" s="15" t="s">
        <v>448</v>
      </c>
      <c r="E561" s="15" t="str">
        <f t="shared" si="27"/>
        <v>QUESTAR-UT</v>
      </c>
      <c r="F561" s="15" t="s">
        <v>957</v>
      </c>
      <c r="H561" s="116" t="s">
        <v>146</v>
      </c>
      <c r="I561" s="15" t="s">
        <v>116</v>
      </c>
      <c r="J561" s="15">
        <v>4169472</v>
      </c>
    </row>
    <row r="562" spans="1:10" x14ac:dyDescent="0.2">
      <c r="A562" s="15" t="str">
        <f>_xlfn.XLOOKUP(E562,Program_data!$E$3:$E$1234,Program_data!$E$3:$E$1234,"",0,1)</f>
        <v/>
      </c>
      <c r="B562" s="15" t="str">
        <f t="shared" si="26"/>
        <v>CA</v>
      </c>
      <c r="C562" s="15" t="s">
        <v>937</v>
      </c>
      <c r="D562" s="15" t="s">
        <v>941</v>
      </c>
      <c r="E562" s="15" t="str">
        <f t="shared" si="27"/>
        <v>SDG&amp;E-CA</v>
      </c>
      <c r="F562" s="15" t="s">
        <v>950</v>
      </c>
      <c r="H562" s="116" t="s">
        <v>135</v>
      </c>
      <c r="I562" s="15" t="s">
        <v>118</v>
      </c>
      <c r="J562" s="15">
        <v>864416</v>
      </c>
    </row>
    <row r="563" spans="1:10" x14ac:dyDescent="0.2">
      <c r="A563" s="15" t="str">
        <f>_xlfn.XLOOKUP(E563,Program_data!$E$3:$E$1234,Program_data!$E$3:$E$1234,"",0,1)</f>
        <v/>
      </c>
      <c r="B563" s="15" t="str">
        <f t="shared" si="26"/>
        <v>CA</v>
      </c>
      <c r="C563" s="15" t="s">
        <v>937</v>
      </c>
      <c r="D563" s="15" t="s">
        <v>941</v>
      </c>
      <c r="E563" s="15" t="str">
        <f t="shared" si="27"/>
        <v>SDG&amp;E-CA</v>
      </c>
      <c r="F563" s="15" t="s">
        <v>951</v>
      </c>
      <c r="H563" s="116" t="s">
        <v>135</v>
      </c>
      <c r="I563" s="15" t="s">
        <v>117</v>
      </c>
      <c r="J563" s="15">
        <v>28484545</v>
      </c>
    </row>
    <row r="564" spans="1:10" x14ac:dyDescent="0.2">
      <c r="A564" s="15" t="str">
        <f>_xlfn.XLOOKUP(E564,Program_data!$E$3:$E$1234,Program_data!$E$3:$E$1234,"",0,1)</f>
        <v/>
      </c>
      <c r="B564" s="15" t="str">
        <f t="shared" si="26"/>
        <v>CA</v>
      </c>
      <c r="C564" s="15" t="s">
        <v>937</v>
      </c>
      <c r="D564" s="15" t="s">
        <v>941</v>
      </c>
      <c r="E564" s="15" t="str">
        <f t="shared" si="27"/>
        <v>SDG&amp;E-CA</v>
      </c>
      <c r="F564" s="15" t="s">
        <v>949</v>
      </c>
      <c r="H564" s="116" t="s">
        <v>135</v>
      </c>
      <c r="I564" s="15" t="s">
        <v>116</v>
      </c>
      <c r="J564" s="15">
        <v>517154287</v>
      </c>
    </row>
    <row r="565" spans="1:10" x14ac:dyDescent="0.2">
      <c r="A565" s="15" t="str">
        <f>_xlfn.XLOOKUP(E565,Program_data!$E$3:$E$1234,Program_data!$E$3:$E$1234,"",0,1)</f>
        <v/>
      </c>
      <c r="B565" s="15" t="str">
        <f t="shared" si="26"/>
        <v>CA</v>
      </c>
      <c r="C565" s="15" t="s">
        <v>937</v>
      </c>
      <c r="D565" s="15" t="s">
        <v>941</v>
      </c>
      <c r="E565" s="15" t="str">
        <f t="shared" si="27"/>
        <v>SDG&amp;E-CA</v>
      </c>
      <c r="F565" s="15" t="s">
        <v>953</v>
      </c>
      <c r="H565" s="116" t="s">
        <v>146</v>
      </c>
      <c r="I565" s="15" t="s">
        <v>116</v>
      </c>
      <c r="J565" s="15">
        <v>144523625</v>
      </c>
    </row>
    <row r="566" spans="1:10" x14ac:dyDescent="0.2">
      <c r="A566" s="15" t="str">
        <f>_xlfn.XLOOKUP(E566,Program_data!$E$3:$E$1234,Program_data!$E$3:$E$1234,"",0,1)</f>
        <v/>
      </c>
      <c r="B566" s="15" t="str">
        <f t="shared" si="26"/>
        <v>CA</v>
      </c>
      <c r="C566" s="15" t="s">
        <v>937</v>
      </c>
      <c r="D566" s="15" t="s">
        <v>941</v>
      </c>
      <c r="E566" s="15" t="str">
        <f t="shared" si="27"/>
        <v>SDG&amp;E-CA</v>
      </c>
      <c r="F566" s="15" t="s">
        <v>952</v>
      </c>
      <c r="H566" s="116" t="s">
        <v>146</v>
      </c>
      <c r="I566" s="15" t="s">
        <v>117</v>
      </c>
      <c r="J566" s="15">
        <v>13937824</v>
      </c>
    </row>
    <row r="567" spans="1:10" x14ac:dyDescent="0.2">
      <c r="A567" s="15" t="str">
        <f>_xlfn.XLOOKUP(E567,Program_data!$E$3:$E$1234,Program_data!$E$3:$E$1234,"",0,1)</f>
        <v/>
      </c>
      <c r="B567" s="15" t="str">
        <f t="shared" si="26"/>
        <v>CA</v>
      </c>
      <c r="C567" s="15" t="s">
        <v>937</v>
      </c>
      <c r="D567" s="15" t="s">
        <v>941</v>
      </c>
      <c r="E567" s="15" t="str">
        <f t="shared" si="27"/>
        <v>SDG&amp;E-CA</v>
      </c>
      <c r="F567" s="15" t="s">
        <v>954</v>
      </c>
      <c r="H567" s="116" t="s">
        <v>146</v>
      </c>
      <c r="I567" s="15" t="s">
        <v>118</v>
      </c>
      <c r="J567" s="15">
        <v>28509</v>
      </c>
    </row>
    <row r="568" spans="1:10" x14ac:dyDescent="0.2">
      <c r="A568" s="15" t="str">
        <f>_xlfn.XLOOKUP(E568,Program_data!$E$3:$E$1234,Program_data!$E$3:$E$1234,"",0,1)</f>
        <v/>
      </c>
      <c r="B568" s="15" t="str">
        <f t="shared" ref="B568:B604" si="28">UPPER(LEFT(C568,2))</f>
        <v>CA</v>
      </c>
      <c r="C568" s="15" t="s">
        <v>937</v>
      </c>
      <c r="D568" s="15" t="s">
        <v>942</v>
      </c>
      <c r="E568" s="15" t="str">
        <f t="shared" ref="E568:E600" si="29">D568&amp;"-"&amp;B568</f>
        <v>SCG-CA</v>
      </c>
      <c r="F568" s="15" t="s">
        <v>951</v>
      </c>
      <c r="H568" s="116" t="s">
        <v>135</v>
      </c>
      <c r="I568" s="15" t="s">
        <v>117</v>
      </c>
      <c r="J568" s="117">
        <v>223627558</v>
      </c>
    </row>
    <row r="569" spans="1:10" x14ac:dyDescent="0.2">
      <c r="A569" s="15" t="str">
        <f>_xlfn.XLOOKUP(E569,Program_data!$E$3:$E$1234,Program_data!$E$3:$E$1234,"",0,1)</f>
        <v/>
      </c>
      <c r="B569" s="15" t="str">
        <f t="shared" si="28"/>
        <v>CA</v>
      </c>
      <c r="C569" s="15" t="s">
        <v>937</v>
      </c>
      <c r="D569" s="15" t="s">
        <v>942</v>
      </c>
      <c r="E569" s="15" t="str">
        <f t="shared" si="29"/>
        <v>SCG-CA</v>
      </c>
      <c r="F569" s="15" t="s">
        <v>949</v>
      </c>
      <c r="H569" s="116" t="s">
        <v>135</v>
      </c>
      <c r="I569" s="15" t="s">
        <v>116</v>
      </c>
      <c r="J569" s="117">
        <v>3382995627</v>
      </c>
    </row>
    <row r="570" spans="1:10" x14ac:dyDescent="0.2">
      <c r="A570" s="15" t="str">
        <f>_xlfn.XLOOKUP(E570,Program_data!$E$3:$E$1234,Program_data!$E$3:$E$1234,"",0,1)</f>
        <v/>
      </c>
      <c r="B570" s="15" t="str">
        <f t="shared" si="28"/>
        <v>CA</v>
      </c>
      <c r="C570" s="15" t="s">
        <v>937</v>
      </c>
      <c r="D570" s="15" t="s">
        <v>942</v>
      </c>
      <c r="E570" s="15" t="str">
        <f t="shared" si="29"/>
        <v>SCG-CA</v>
      </c>
      <c r="F570" s="15" t="s">
        <v>950</v>
      </c>
      <c r="H570" s="116" t="s">
        <v>135</v>
      </c>
      <c r="I570" s="15" t="s">
        <v>118</v>
      </c>
      <c r="J570" s="117">
        <v>5625524</v>
      </c>
    </row>
    <row r="571" spans="1:10" x14ac:dyDescent="0.2">
      <c r="A571" s="15" t="str">
        <f>_xlfn.XLOOKUP(E571,Program_data!$E$3:$E$1234,Program_data!$E$3:$E$1234,"",0,1)</f>
        <v/>
      </c>
      <c r="B571" s="15" t="str">
        <f t="shared" si="28"/>
        <v>CA</v>
      </c>
      <c r="C571" s="15" t="s">
        <v>937</v>
      </c>
      <c r="D571" s="15" t="s">
        <v>942</v>
      </c>
      <c r="E571" s="15" t="str">
        <f t="shared" si="29"/>
        <v>SCG-CA</v>
      </c>
      <c r="F571" s="15" t="s">
        <v>953</v>
      </c>
      <c r="H571" s="116" t="s">
        <v>146</v>
      </c>
      <c r="I571" s="15" t="s">
        <v>116</v>
      </c>
      <c r="J571" s="117">
        <v>753543760</v>
      </c>
    </row>
    <row r="572" spans="1:10" x14ac:dyDescent="0.2">
      <c r="A572" s="15" t="str">
        <f>_xlfn.XLOOKUP(E572,Program_data!$E$3:$E$1234,Program_data!$E$3:$E$1234,"",0,1)</f>
        <v/>
      </c>
      <c r="B572" s="15" t="str">
        <f t="shared" si="28"/>
        <v>CA</v>
      </c>
      <c r="C572" s="15" t="s">
        <v>937</v>
      </c>
      <c r="D572" s="15" t="s">
        <v>942</v>
      </c>
      <c r="E572" s="15" t="str">
        <f t="shared" si="29"/>
        <v>SCG-CA</v>
      </c>
      <c r="F572" s="15" t="s">
        <v>952</v>
      </c>
      <c r="H572" s="116" t="s">
        <v>146</v>
      </c>
      <c r="I572" s="15" t="s">
        <v>117</v>
      </c>
      <c r="J572" s="117">
        <v>66603306</v>
      </c>
    </row>
    <row r="573" spans="1:10" x14ac:dyDescent="0.2">
      <c r="A573" s="15" t="str">
        <f>_xlfn.XLOOKUP(E573,Program_data!$E$3:$E$1234,Program_data!$E$3:$E$1234,"",0,1)</f>
        <v/>
      </c>
      <c r="B573" s="15" t="str">
        <f t="shared" si="28"/>
        <v>CA</v>
      </c>
      <c r="C573" s="15" t="s">
        <v>937</v>
      </c>
      <c r="D573" s="15" t="s">
        <v>942</v>
      </c>
      <c r="E573" s="15" t="str">
        <f t="shared" si="29"/>
        <v>SCG-CA</v>
      </c>
      <c r="F573" s="15" t="s">
        <v>954</v>
      </c>
      <c r="H573" s="116" t="s">
        <v>146</v>
      </c>
      <c r="I573" s="15" t="s">
        <v>118</v>
      </c>
      <c r="J573" s="117">
        <v>178146</v>
      </c>
    </row>
    <row r="574" spans="1:10" x14ac:dyDescent="0.2">
      <c r="A574" s="15" t="str">
        <f>_xlfn.XLOOKUP(E574,Program_data!$E$3:$E$1234,Program_data!$E$3:$E$1234,"",0,1)</f>
        <v/>
      </c>
      <c r="B574" s="15" t="str">
        <f t="shared" si="28"/>
        <v>CA</v>
      </c>
      <c r="C574" s="15" t="s">
        <v>937</v>
      </c>
      <c r="D574" s="15" t="s">
        <v>942</v>
      </c>
      <c r="E574" s="15" t="str">
        <f t="shared" si="29"/>
        <v>SCG-CA</v>
      </c>
      <c r="F574" s="15" t="s">
        <v>955</v>
      </c>
      <c r="H574" s="116" t="s">
        <v>146</v>
      </c>
      <c r="I574" s="15" t="s">
        <v>117</v>
      </c>
      <c r="J574" s="117">
        <v>18910269</v>
      </c>
    </row>
    <row r="575" spans="1:10" x14ac:dyDescent="0.2">
      <c r="A575" s="15" t="str">
        <f>_xlfn.XLOOKUP(E575,Program_data!$E$3:$E$1234,Program_data!$E$3:$E$1234,"",0,1)</f>
        <v/>
      </c>
      <c r="B575" s="15" t="str">
        <f t="shared" si="28"/>
        <v>CA</v>
      </c>
      <c r="C575" s="15" t="s">
        <v>937</v>
      </c>
      <c r="D575" s="15" t="s">
        <v>942</v>
      </c>
      <c r="E575" s="15" t="str">
        <f t="shared" si="29"/>
        <v>SCG-CA</v>
      </c>
      <c r="F575" s="15" t="s">
        <v>956</v>
      </c>
      <c r="H575" s="116" t="s">
        <v>146</v>
      </c>
      <c r="I575" s="15" t="s">
        <v>118</v>
      </c>
      <c r="J575" s="117">
        <v>15850</v>
      </c>
    </row>
    <row r="576" spans="1:10" x14ac:dyDescent="0.2">
      <c r="A576" s="15" t="str">
        <f>_xlfn.XLOOKUP(E576,Program_data!$E$3:$E$1234,Program_data!$E$3:$E$1234,"",0,1)</f>
        <v/>
      </c>
      <c r="B576" s="15" t="str">
        <f t="shared" si="28"/>
        <v>CA</v>
      </c>
      <c r="C576" s="15" t="s">
        <v>937</v>
      </c>
      <c r="D576" s="15" t="s">
        <v>942</v>
      </c>
      <c r="E576" s="15" t="str">
        <f t="shared" si="29"/>
        <v>SCG-CA</v>
      </c>
      <c r="F576" s="15" t="s">
        <v>957</v>
      </c>
      <c r="H576" s="116" t="s">
        <v>146</v>
      </c>
      <c r="I576" s="15" t="s">
        <v>116</v>
      </c>
      <c r="J576" s="117">
        <v>168505094</v>
      </c>
    </row>
    <row r="577" spans="1:10" x14ac:dyDescent="0.2">
      <c r="A577" s="15" t="str">
        <f>_xlfn.XLOOKUP(E577,Program_data!$E$3:$E$1234,Program_data!$E$3:$E$1234,"",0,1)</f>
        <v>SoCTGas-CT</v>
      </c>
      <c r="B577" s="15" t="s">
        <v>17</v>
      </c>
      <c r="C577" s="15" t="s">
        <v>23</v>
      </c>
      <c r="D577" s="15" t="s">
        <v>309</v>
      </c>
      <c r="E577" s="15" t="str">
        <f t="shared" si="29"/>
        <v>SoCTGas-CT</v>
      </c>
      <c r="F577" s="15" t="s">
        <v>950</v>
      </c>
      <c r="H577" s="116" t="s">
        <v>135</v>
      </c>
      <c r="I577" s="15" t="s">
        <v>118</v>
      </c>
      <c r="J577" s="15">
        <v>186498</v>
      </c>
    </row>
    <row r="578" spans="1:10" x14ac:dyDescent="0.2">
      <c r="A578" s="15" t="str">
        <f>_xlfn.XLOOKUP(E578,Program_data!$E$3:$E$1234,Program_data!$E$3:$E$1234,"",0,1)</f>
        <v>SoCTGas-CT</v>
      </c>
      <c r="B578" s="15" t="s">
        <v>17</v>
      </c>
      <c r="C578" s="15" t="s">
        <v>23</v>
      </c>
      <c r="D578" s="15" t="s">
        <v>309</v>
      </c>
      <c r="E578" s="15" t="str">
        <f t="shared" si="29"/>
        <v>SoCTGas-CT</v>
      </c>
      <c r="F578" s="15" t="s">
        <v>951</v>
      </c>
      <c r="H578" s="116" t="s">
        <v>135</v>
      </c>
      <c r="I578" s="15" t="s">
        <v>117</v>
      </c>
      <c r="J578" s="15">
        <v>15700113</v>
      </c>
    </row>
    <row r="579" spans="1:10" x14ac:dyDescent="0.2">
      <c r="A579" s="15" t="str">
        <f>_xlfn.XLOOKUP(E579,Program_data!$E$3:$E$1234,Program_data!$E$3:$E$1234,"",0,1)</f>
        <v>SoCTGas-CT</v>
      </c>
      <c r="B579" s="15" t="s">
        <v>17</v>
      </c>
      <c r="C579" s="15" t="s">
        <v>23</v>
      </c>
      <c r="D579" s="15" t="s">
        <v>309</v>
      </c>
      <c r="E579" s="15" t="str">
        <f t="shared" si="29"/>
        <v>SoCTGas-CT</v>
      </c>
      <c r="F579" s="15" t="s">
        <v>949</v>
      </c>
      <c r="H579" s="116" t="s">
        <v>135</v>
      </c>
      <c r="I579" s="15" t="s">
        <v>116</v>
      </c>
      <c r="J579" s="15">
        <v>233740726</v>
      </c>
    </row>
    <row r="580" spans="1:10" x14ac:dyDescent="0.2">
      <c r="A580" s="15" t="str">
        <f>_xlfn.XLOOKUP(E580,Program_data!$E$3:$E$1234,Program_data!$E$3:$E$1234,"",0,1)</f>
        <v>SoCTGas-CT</v>
      </c>
      <c r="B580" s="15" t="s">
        <v>17</v>
      </c>
      <c r="C580" s="15" t="s">
        <v>23</v>
      </c>
      <c r="D580" s="15" t="s">
        <v>309</v>
      </c>
      <c r="E580" s="15" t="str">
        <f t="shared" si="29"/>
        <v>SoCTGas-CT</v>
      </c>
      <c r="F580" s="15" t="s">
        <v>953</v>
      </c>
      <c r="H580" s="116" t="s">
        <v>146</v>
      </c>
      <c r="I580" s="15" t="s">
        <v>116</v>
      </c>
      <c r="J580" s="15">
        <v>132678666</v>
      </c>
    </row>
    <row r="581" spans="1:10" x14ac:dyDescent="0.2">
      <c r="A581" s="15" t="str">
        <f>_xlfn.XLOOKUP(E581,Program_data!$E$3:$E$1234,Program_data!$E$3:$E$1234,"",0,1)</f>
        <v>SoCTGas-CT</v>
      </c>
      <c r="B581" s="15" t="s">
        <v>17</v>
      </c>
      <c r="C581" s="15" t="s">
        <v>23</v>
      </c>
      <c r="D581" s="15" t="s">
        <v>309</v>
      </c>
      <c r="E581" s="15" t="str">
        <f t="shared" si="29"/>
        <v>SoCTGas-CT</v>
      </c>
      <c r="F581" s="15" t="s">
        <v>954</v>
      </c>
      <c r="H581" s="116" t="s">
        <v>146</v>
      </c>
      <c r="I581" s="15" t="s">
        <v>118</v>
      </c>
      <c r="J581" s="15">
        <v>18668</v>
      </c>
    </row>
    <row r="582" spans="1:10" x14ac:dyDescent="0.2">
      <c r="A582" s="15" t="str">
        <f>_xlfn.XLOOKUP(E582,Program_data!$E$3:$E$1234,Program_data!$E$3:$E$1234,"",0,1)</f>
        <v>SoCTGas-CT</v>
      </c>
      <c r="B582" s="15" t="s">
        <v>17</v>
      </c>
      <c r="C582" s="15" t="s">
        <v>23</v>
      </c>
      <c r="D582" s="15" t="s">
        <v>309</v>
      </c>
      <c r="E582" s="15" t="str">
        <f t="shared" si="29"/>
        <v>SoCTGas-CT</v>
      </c>
      <c r="F582" s="15" t="s">
        <v>952</v>
      </c>
      <c r="H582" s="116" t="s">
        <v>146</v>
      </c>
      <c r="I582" s="15" t="s">
        <v>117</v>
      </c>
      <c r="J582" s="15">
        <v>14134135</v>
      </c>
    </row>
    <row r="583" spans="1:10" x14ac:dyDescent="0.2">
      <c r="A583" s="15" t="str">
        <f>_xlfn.XLOOKUP(E583,Program_data!$E$3:$E$1234,Program_data!$E$3:$E$1234,"",0,1)</f>
        <v>SoCTGas-CT</v>
      </c>
      <c r="B583" s="15" t="s">
        <v>17</v>
      </c>
      <c r="C583" s="15" t="s">
        <v>23</v>
      </c>
      <c r="D583" s="15" t="s">
        <v>309</v>
      </c>
      <c r="E583" s="15" t="str">
        <f t="shared" si="29"/>
        <v>SoCTGas-CT</v>
      </c>
      <c r="F583" s="15" t="s">
        <v>955</v>
      </c>
      <c r="H583" s="116" t="s">
        <v>146</v>
      </c>
      <c r="I583" s="15" t="s">
        <v>117</v>
      </c>
      <c r="J583" s="15">
        <v>2021205</v>
      </c>
    </row>
    <row r="584" spans="1:10" x14ac:dyDescent="0.2">
      <c r="A584" s="15" t="str">
        <f>_xlfn.XLOOKUP(E584,Program_data!$E$3:$E$1234,Program_data!$E$3:$E$1234,"",0,1)</f>
        <v>SoCTGas-CT</v>
      </c>
      <c r="B584" s="15" t="s">
        <v>17</v>
      </c>
      <c r="C584" s="15" t="s">
        <v>23</v>
      </c>
      <c r="D584" s="15" t="s">
        <v>309</v>
      </c>
      <c r="E584" s="15" t="str">
        <f t="shared" si="29"/>
        <v>SoCTGas-CT</v>
      </c>
      <c r="F584" s="15" t="s">
        <v>956</v>
      </c>
      <c r="H584" s="116" t="s">
        <v>146</v>
      </c>
      <c r="I584" s="15" t="s">
        <v>118</v>
      </c>
      <c r="J584" s="15">
        <v>400</v>
      </c>
    </row>
    <row r="585" spans="1:10" x14ac:dyDescent="0.2">
      <c r="A585" s="15" t="str">
        <f>_xlfn.XLOOKUP(E585,Program_data!$E$3:$E$1234,Program_data!$E$3:$E$1234,"",0,1)</f>
        <v>SoCTGas-CT</v>
      </c>
      <c r="B585" s="15" t="s">
        <v>17</v>
      </c>
      <c r="C585" s="15" t="s">
        <v>23</v>
      </c>
      <c r="D585" s="15" t="s">
        <v>309</v>
      </c>
      <c r="E585" s="15" t="str">
        <f t="shared" si="29"/>
        <v>SoCTGas-CT</v>
      </c>
      <c r="F585" s="15" t="s">
        <v>957</v>
      </c>
      <c r="H585" s="116" t="s">
        <v>146</v>
      </c>
      <c r="I585" s="15" t="s">
        <v>116</v>
      </c>
      <c r="J585" s="15">
        <v>13880514</v>
      </c>
    </row>
    <row r="586" spans="1:10" x14ac:dyDescent="0.2">
      <c r="A586" s="15" t="str">
        <f>_xlfn.XLOOKUP(E586,Program_data!$E$3:$E$1234,Program_data!$E$3:$E$1234,"",0,1)</f>
        <v/>
      </c>
      <c r="B586" s="15" t="s">
        <v>22</v>
      </c>
      <c r="C586" s="15" t="s">
        <v>29</v>
      </c>
      <c r="D586" s="15" t="s">
        <v>943</v>
      </c>
      <c r="E586" s="15" t="str">
        <f t="shared" si="29"/>
        <v>Brooklyn Gas-NY</v>
      </c>
      <c r="F586" s="15" t="s">
        <v>949</v>
      </c>
      <c r="H586" s="116" t="s">
        <v>135</v>
      </c>
      <c r="I586" s="15" t="s">
        <v>116</v>
      </c>
      <c r="J586" s="15">
        <v>1334661493</v>
      </c>
    </row>
    <row r="587" spans="1:10" x14ac:dyDescent="0.2">
      <c r="A587" s="15" t="str">
        <f>_xlfn.XLOOKUP(E587,Program_data!$E$3:$E$1234,Program_data!$E$3:$E$1234,"",0,1)</f>
        <v/>
      </c>
      <c r="B587" s="15" t="s">
        <v>22</v>
      </c>
      <c r="C587" s="15" t="s">
        <v>29</v>
      </c>
      <c r="D587" s="15" t="s">
        <v>943</v>
      </c>
      <c r="E587" s="15" t="str">
        <f t="shared" si="29"/>
        <v>Brooklyn Gas-NY</v>
      </c>
      <c r="F587" s="15" t="s">
        <v>951</v>
      </c>
      <c r="H587" s="116" t="s">
        <v>135</v>
      </c>
      <c r="I587" s="15" t="s">
        <v>117</v>
      </c>
      <c r="J587" s="15">
        <v>90563977</v>
      </c>
    </row>
    <row r="588" spans="1:10" x14ac:dyDescent="0.2">
      <c r="A588" s="15" t="str">
        <f>_xlfn.XLOOKUP(E588,Program_data!$E$3:$E$1234,Program_data!$E$3:$E$1234,"",0,1)</f>
        <v/>
      </c>
      <c r="B588" s="15" t="s">
        <v>22</v>
      </c>
      <c r="C588" s="15" t="s">
        <v>29</v>
      </c>
      <c r="D588" s="15" t="s">
        <v>943</v>
      </c>
      <c r="E588" s="15" t="str">
        <f t="shared" si="29"/>
        <v>Brooklyn Gas-NY</v>
      </c>
      <c r="F588" s="15" t="s">
        <v>950</v>
      </c>
      <c r="H588" s="116" t="s">
        <v>135</v>
      </c>
      <c r="I588" s="15" t="s">
        <v>118</v>
      </c>
      <c r="J588" s="15">
        <v>1098074</v>
      </c>
    </row>
    <row r="589" spans="1:10" x14ac:dyDescent="0.2">
      <c r="A589" s="15" t="str">
        <f>_xlfn.XLOOKUP(E589,Program_data!$E$3:$E$1234,Program_data!$E$3:$E$1234,"",0,1)</f>
        <v/>
      </c>
      <c r="B589" s="15" t="s">
        <v>22</v>
      </c>
      <c r="C589" s="15" t="s">
        <v>29</v>
      </c>
      <c r="D589" s="15" t="s">
        <v>943</v>
      </c>
      <c r="E589" s="15" t="str">
        <f t="shared" si="29"/>
        <v>Brooklyn Gas-NY</v>
      </c>
      <c r="F589" s="15" t="s">
        <v>952</v>
      </c>
      <c r="H589" s="116" t="s">
        <v>146</v>
      </c>
      <c r="I589" s="15" t="s">
        <v>117</v>
      </c>
      <c r="J589" s="15">
        <v>10734049</v>
      </c>
    </row>
    <row r="590" spans="1:10" x14ac:dyDescent="0.2">
      <c r="A590" s="15" t="str">
        <f>_xlfn.XLOOKUP(E590,Program_data!$E$3:$E$1234,Program_data!$E$3:$E$1234,"",0,1)</f>
        <v/>
      </c>
      <c r="B590" s="15" t="s">
        <v>22</v>
      </c>
      <c r="C590" s="15" t="s">
        <v>29</v>
      </c>
      <c r="D590" s="15" t="s">
        <v>943</v>
      </c>
      <c r="E590" s="15" t="str">
        <f t="shared" si="29"/>
        <v>Brooklyn Gas-NY</v>
      </c>
      <c r="F590" s="15" t="s">
        <v>954</v>
      </c>
      <c r="H590" s="116" t="s">
        <v>146</v>
      </c>
      <c r="I590" s="15" t="s">
        <v>118</v>
      </c>
      <c r="J590" s="15">
        <v>35199</v>
      </c>
    </row>
    <row r="591" spans="1:10" x14ac:dyDescent="0.2">
      <c r="A591" s="15" t="str">
        <f>_xlfn.XLOOKUP(E591,Program_data!$E$3:$E$1234,Program_data!$E$3:$E$1234,"",0,1)</f>
        <v/>
      </c>
      <c r="B591" s="15" t="s">
        <v>22</v>
      </c>
      <c r="C591" s="15" t="s">
        <v>29</v>
      </c>
      <c r="D591" s="15" t="s">
        <v>943</v>
      </c>
      <c r="E591" s="15" t="str">
        <f t="shared" si="29"/>
        <v>Brooklyn Gas-NY</v>
      </c>
      <c r="F591" s="15" t="s">
        <v>953</v>
      </c>
      <c r="H591" s="116" t="s">
        <v>146</v>
      </c>
      <c r="I591" s="15" t="s">
        <v>116</v>
      </c>
      <c r="J591" s="15">
        <v>132674238</v>
      </c>
    </row>
    <row r="592" spans="1:10" x14ac:dyDescent="0.2">
      <c r="A592" s="15" t="str">
        <f>_xlfn.XLOOKUP(E592,Program_data!$E$3:$E$1234,Program_data!$E$3:$E$1234,"",0,1)</f>
        <v/>
      </c>
      <c r="B592" s="15" t="s">
        <v>22</v>
      </c>
      <c r="C592" s="15" t="s">
        <v>29</v>
      </c>
      <c r="D592" s="15" t="s">
        <v>943</v>
      </c>
      <c r="E592" s="15" t="str">
        <f t="shared" si="29"/>
        <v>Brooklyn Gas-NY</v>
      </c>
      <c r="F592" s="15" t="s">
        <v>957</v>
      </c>
      <c r="H592" s="116" t="s">
        <v>146</v>
      </c>
      <c r="I592" s="15" t="s">
        <v>116</v>
      </c>
      <c r="J592" s="15">
        <v>17849205</v>
      </c>
    </row>
    <row r="593" spans="1:10" x14ac:dyDescent="0.2">
      <c r="A593" s="15" t="str">
        <f>_xlfn.XLOOKUP(E593,Program_data!$E$3:$E$1234,Program_data!$E$3:$E$1234,"",0,1)</f>
        <v/>
      </c>
      <c r="B593" s="15" t="s">
        <v>22</v>
      </c>
      <c r="C593" s="15" t="s">
        <v>29</v>
      </c>
      <c r="D593" s="15" t="s">
        <v>943</v>
      </c>
      <c r="E593" s="15" t="str">
        <f t="shared" si="29"/>
        <v>Brooklyn Gas-NY</v>
      </c>
      <c r="F593" s="15" t="s">
        <v>956</v>
      </c>
      <c r="H593" s="116" t="s">
        <v>146</v>
      </c>
      <c r="I593" s="15" t="s">
        <v>118</v>
      </c>
      <c r="J593" s="15">
        <v>3048</v>
      </c>
    </row>
    <row r="594" spans="1:10" x14ac:dyDescent="0.2">
      <c r="A594" s="15" t="str">
        <f>_xlfn.XLOOKUP(E594,Program_data!$E$3:$E$1234,Program_data!$E$3:$E$1234,"",0,1)</f>
        <v/>
      </c>
      <c r="B594" s="15" t="s">
        <v>22</v>
      </c>
      <c r="C594" s="15" t="s">
        <v>29</v>
      </c>
      <c r="D594" s="15" t="s">
        <v>943</v>
      </c>
      <c r="E594" s="15" t="str">
        <f t="shared" si="29"/>
        <v>Brooklyn Gas-NY</v>
      </c>
      <c r="F594" s="15" t="s">
        <v>955</v>
      </c>
      <c r="H594" s="116" t="s">
        <v>146</v>
      </c>
      <c r="I594" s="15" t="s">
        <v>117</v>
      </c>
      <c r="J594" s="15">
        <v>1731670</v>
      </c>
    </row>
    <row r="595" spans="1:10" x14ac:dyDescent="0.2">
      <c r="A595" s="15" t="str">
        <f>_xlfn.XLOOKUP(E595,Program_data!$E$3:$E$1234,Program_data!$E$3:$E$1234,"",0,1)</f>
        <v/>
      </c>
      <c r="B595" s="15" t="s">
        <v>920</v>
      </c>
      <c r="C595" s="15" t="s">
        <v>921</v>
      </c>
      <c r="D595" s="15" t="s">
        <v>944</v>
      </c>
      <c r="E595" s="15" t="str">
        <f t="shared" si="29"/>
        <v>Washington Gas-MD</v>
      </c>
      <c r="F595" s="15" t="s">
        <v>951</v>
      </c>
      <c r="H595" s="116" t="s">
        <v>135</v>
      </c>
      <c r="I595" s="15" t="s">
        <v>117</v>
      </c>
      <c r="J595" s="15">
        <v>28579909</v>
      </c>
    </row>
    <row r="596" spans="1:10" x14ac:dyDescent="0.2">
      <c r="A596" s="15" t="str">
        <f>_xlfn.XLOOKUP(E596,Program_data!$E$3:$E$1234,Program_data!$E$3:$E$1234,"",0,1)</f>
        <v/>
      </c>
      <c r="B596" s="15" t="s">
        <v>920</v>
      </c>
      <c r="C596" s="15" t="s">
        <v>921</v>
      </c>
      <c r="D596" s="15" t="s">
        <v>944</v>
      </c>
      <c r="E596" s="15" t="str">
        <f t="shared" si="29"/>
        <v>Washington Gas-MD</v>
      </c>
      <c r="F596" s="15" t="s">
        <v>949</v>
      </c>
      <c r="H596" s="116" t="s">
        <v>135</v>
      </c>
      <c r="I596" s="15" t="s">
        <v>116</v>
      </c>
      <c r="J596" s="15">
        <v>369720236</v>
      </c>
    </row>
    <row r="597" spans="1:10" x14ac:dyDescent="0.2">
      <c r="A597" s="15" t="str">
        <f>_xlfn.XLOOKUP(E597,Program_data!$E$3:$E$1234,Program_data!$E$3:$E$1234,"",0,1)</f>
        <v/>
      </c>
      <c r="B597" s="15" t="s">
        <v>920</v>
      </c>
      <c r="C597" s="15" t="s">
        <v>921</v>
      </c>
      <c r="D597" s="15" t="s">
        <v>944</v>
      </c>
      <c r="E597" s="15" t="str">
        <f t="shared" si="29"/>
        <v>Washington Gas-MD</v>
      </c>
      <c r="F597" s="15" t="s">
        <v>950</v>
      </c>
      <c r="H597" s="116" t="s">
        <v>135</v>
      </c>
      <c r="I597" s="15" t="s">
        <v>118</v>
      </c>
      <c r="J597" s="15">
        <v>393162</v>
      </c>
    </row>
    <row r="598" spans="1:10" x14ac:dyDescent="0.2">
      <c r="A598" s="15" t="str">
        <f>_xlfn.XLOOKUP(E598,Program_data!$E$3:$E$1234,Program_data!$E$3:$E$1234,"",0,1)</f>
        <v/>
      </c>
      <c r="B598" s="15" t="s">
        <v>920</v>
      </c>
      <c r="C598" s="15" t="s">
        <v>921</v>
      </c>
      <c r="D598" s="15" t="s">
        <v>944</v>
      </c>
      <c r="E598" s="15" t="str">
        <f t="shared" si="29"/>
        <v>Washington Gas-MD</v>
      </c>
      <c r="F598" s="15" t="s">
        <v>954</v>
      </c>
      <c r="H598" s="116" t="s">
        <v>146</v>
      </c>
      <c r="I598" s="15" t="s">
        <v>118</v>
      </c>
      <c r="J598" s="15">
        <v>17341</v>
      </c>
    </row>
    <row r="599" spans="1:10" x14ac:dyDescent="0.2">
      <c r="A599" s="15" t="str">
        <f>_xlfn.XLOOKUP(E599,Program_data!$E$3:$E$1234,Program_data!$E$3:$E$1234,"",0,1)</f>
        <v/>
      </c>
      <c r="B599" s="15" t="s">
        <v>920</v>
      </c>
      <c r="C599" s="15" t="s">
        <v>921</v>
      </c>
      <c r="D599" s="15" t="s">
        <v>944</v>
      </c>
      <c r="E599" s="15" t="str">
        <f t="shared" si="29"/>
        <v>Washington Gas-MD</v>
      </c>
      <c r="F599" s="15" t="s">
        <v>953</v>
      </c>
      <c r="H599" s="116" t="s">
        <v>146</v>
      </c>
      <c r="I599" s="15" t="s">
        <v>116</v>
      </c>
      <c r="J599" s="15">
        <v>68601094</v>
      </c>
    </row>
    <row r="600" spans="1:10" x14ac:dyDescent="0.2">
      <c r="A600" s="15" t="str">
        <f>_xlfn.XLOOKUP(E600,Program_data!$E$3:$E$1234,Program_data!$E$3:$E$1234,"",0,1)</f>
        <v/>
      </c>
      <c r="B600" s="15" t="s">
        <v>920</v>
      </c>
      <c r="C600" s="15" t="s">
        <v>921</v>
      </c>
      <c r="D600" s="15" t="s">
        <v>944</v>
      </c>
      <c r="E600" s="15" t="str">
        <f t="shared" si="29"/>
        <v>Washington Gas-MD</v>
      </c>
      <c r="F600" s="15" t="s">
        <v>952</v>
      </c>
      <c r="H600" s="116" t="s">
        <v>146</v>
      </c>
      <c r="I600" s="15" t="s">
        <v>117</v>
      </c>
      <c r="J600" s="15">
        <v>6221560</v>
      </c>
    </row>
    <row r="601" spans="1:10" x14ac:dyDescent="0.2">
      <c r="A601" s="15" t="str">
        <f>_xlfn.XLOOKUP(E601,Program_data!$E$3:$E$1234,Program_data!$E$3:$E$1234,"",0,1)</f>
        <v>FOE-WI</v>
      </c>
      <c r="B601" s="15" t="str">
        <f t="shared" si="28"/>
        <v>WI</v>
      </c>
      <c r="C601" s="15" t="s">
        <v>69</v>
      </c>
      <c r="D601" s="15" t="s">
        <v>945</v>
      </c>
      <c r="E601" s="15" t="s">
        <v>890</v>
      </c>
      <c r="F601" s="15" t="s">
        <v>950</v>
      </c>
      <c r="H601" s="116" t="s">
        <v>135</v>
      </c>
      <c r="I601" s="15" t="s">
        <v>118</v>
      </c>
      <c r="J601" s="15">
        <v>457404</v>
      </c>
    </row>
    <row r="602" spans="1:10" x14ac:dyDescent="0.2">
      <c r="A602" s="15" t="str">
        <f>_xlfn.XLOOKUP(E602,Program_data!$E$3:$E$1234,Program_data!$E$3:$E$1234,"",0,1)</f>
        <v>FOE-WI</v>
      </c>
      <c r="B602" s="15" t="str">
        <f t="shared" si="28"/>
        <v>WI</v>
      </c>
      <c r="C602" s="15" t="s">
        <v>69</v>
      </c>
      <c r="D602" s="15" t="s">
        <v>945</v>
      </c>
      <c r="E602" s="15" t="s">
        <v>890</v>
      </c>
      <c r="F602" s="15" t="s">
        <v>949</v>
      </c>
      <c r="H602" s="116" t="s">
        <v>135</v>
      </c>
      <c r="I602" s="15" t="s">
        <v>116</v>
      </c>
      <c r="J602" s="15">
        <v>307110174</v>
      </c>
    </row>
    <row r="603" spans="1:10" x14ac:dyDescent="0.2">
      <c r="A603" s="15" t="str">
        <f>_xlfn.XLOOKUP(E603,Program_data!$E$3:$E$1234,Program_data!$E$3:$E$1234,"",0,1)</f>
        <v>FOE-WI</v>
      </c>
      <c r="B603" s="15" t="str">
        <f t="shared" si="28"/>
        <v>WI</v>
      </c>
      <c r="C603" s="15" t="s">
        <v>69</v>
      </c>
      <c r="D603" s="15" t="s">
        <v>945</v>
      </c>
      <c r="E603" s="15" t="s">
        <v>890</v>
      </c>
      <c r="F603" s="15" t="s">
        <v>951</v>
      </c>
      <c r="H603" s="116" t="s">
        <v>135</v>
      </c>
      <c r="I603" s="15" t="s">
        <v>117</v>
      </c>
      <c r="J603" s="15">
        <v>33310552</v>
      </c>
    </row>
    <row r="604" spans="1:10" x14ac:dyDescent="0.2">
      <c r="A604" s="15" t="str">
        <f>_xlfn.XLOOKUP(E604,Program_data!$E$3:$E$1234,Program_data!$E$3:$E$1234,"",0,1)</f>
        <v>FOE-WI</v>
      </c>
      <c r="B604" s="15" t="str">
        <f t="shared" si="28"/>
        <v>WI</v>
      </c>
      <c r="C604" s="15" t="s">
        <v>69</v>
      </c>
      <c r="D604" s="15" t="s">
        <v>945</v>
      </c>
      <c r="E604" s="15" t="s">
        <v>890</v>
      </c>
      <c r="F604" s="15" t="s">
        <v>954</v>
      </c>
      <c r="H604" s="116" t="s">
        <v>146</v>
      </c>
      <c r="I604" s="15" t="s">
        <v>118</v>
      </c>
      <c r="J604" s="15">
        <v>38464</v>
      </c>
    </row>
    <row r="605" spans="1:10" x14ac:dyDescent="0.2">
      <c r="A605" s="15" t="str">
        <f>_xlfn.XLOOKUP(E605,Program_data!$E$3:$E$1234,Program_data!$E$3:$E$1234,"",0,1)</f>
        <v>FOE-WI</v>
      </c>
      <c r="B605" s="15" t="str">
        <f t="shared" ref="B605:B636" si="30">UPPER(LEFT(C605,2))</f>
        <v>WI</v>
      </c>
      <c r="C605" s="15" t="s">
        <v>69</v>
      </c>
      <c r="D605" s="15" t="s">
        <v>945</v>
      </c>
      <c r="E605" s="15" t="s">
        <v>890</v>
      </c>
      <c r="F605" s="15" t="s">
        <v>953</v>
      </c>
      <c r="H605" s="116" t="s">
        <v>146</v>
      </c>
      <c r="I605" s="15" t="s">
        <v>116</v>
      </c>
      <c r="J605" s="15">
        <v>104034397</v>
      </c>
    </row>
    <row r="606" spans="1:10" x14ac:dyDescent="0.2">
      <c r="A606" s="15" t="str">
        <f>_xlfn.XLOOKUP(E606,Program_data!$E$3:$E$1234,Program_data!$E$3:$E$1234,"",0,1)</f>
        <v>FOE-WI</v>
      </c>
      <c r="B606" s="15" t="str">
        <f t="shared" si="30"/>
        <v>WI</v>
      </c>
      <c r="C606" s="15" t="s">
        <v>69</v>
      </c>
      <c r="D606" s="15" t="s">
        <v>945</v>
      </c>
      <c r="E606" s="15" t="s">
        <v>890</v>
      </c>
      <c r="F606" s="15" t="s">
        <v>952</v>
      </c>
      <c r="H606" s="116" t="s">
        <v>146</v>
      </c>
      <c r="I606" s="15" t="s">
        <v>117</v>
      </c>
      <c r="J606" s="15">
        <v>13663538</v>
      </c>
    </row>
    <row r="607" spans="1:10" x14ac:dyDescent="0.2">
      <c r="A607" s="15" t="str">
        <f>_xlfn.XLOOKUP(E607,Program_data!$E$3:$E$1234,Program_data!$E$3:$E$1234,"",0,1)</f>
        <v>FOE-WI</v>
      </c>
      <c r="B607" s="15" t="str">
        <f t="shared" si="30"/>
        <v>WI</v>
      </c>
      <c r="C607" s="15" t="s">
        <v>69</v>
      </c>
      <c r="D607" s="15" t="s">
        <v>945</v>
      </c>
      <c r="E607" s="15" t="s">
        <v>890</v>
      </c>
      <c r="F607" s="15" t="s">
        <v>955</v>
      </c>
      <c r="H607" s="116" t="s">
        <v>146</v>
      </c>
      <c r="I607" s="15" t="s">
        <v>117</v>
      </c>
      <c r="J607" s="15">
        <v>4454556</v>
      </c>
    </row>
    <row r="608" spans="1:10" x14ac:dyDescent="0.2">
      <c r="A608" s="15" t="str">
        <f>_xlfn.XLOOKUP(E608,Program_data!$E$3:$E$1234,Program_data!$E$3:$E$1234,"",0,1)</f>
        <v>FOE-WI</v>
      </c>
      <c r="B608" s="15" t="str">
        <f t="shared" si="30"/>
        <v>WI</v>
      </c>
      <c r="C608" s="15" t="s">
        <v>69</v>
      </c>
      <c r="D608" s="15" t="s">
        <v>945</v>
      </c>
      <c r="E608" s="15" t="s">
        <v>890</v>
      </c>
      <c r="F608" s="15" t="s">
        <v>956</v>
      </c>
      <c r="H608" s="116" t="s">
        <v>146</v>
      </c>
      <c r="I608" s="15" t="s">
        <v>118</v>
      </c>
      <c r="J608" s="15">
        <v>1760</v>
      </c>
    </row>
    <row r="609" spans="1:10" x14ac:dyDescent="0.2">
      <c r="A609" s="15" t="str">
        <f>_xlfn.XLOOKUP(E609,Program_data!$E$3:$E$1234,Program_data!$E$3:$E$1234,"",0,1)</f>
        <v>FOE-WI</v>
      </c>
      <c r="B609" s="15" t="str">
        <f t="shared" si="30"/>
        <v>WI</v>
      </c>
      <c r="C609" s="15" t="s">
        <v>69</v>
      </c>
      <c r="D609" s="15" t="s">
        <v>945</v>
      </c>
      <c r="E609" s="15" t="s">
        <v>890</v>
      </c>
      <c r="F609" s="15" t="s">
        <v>957</v>
      </c>
      <c r="H609" s="116" t="s">
        <v>146</v>
      </c>
      <c r="I609" s="15" t="s">
        <v>116</v>
      </c>
      <c r="J609" s="15">
        <v>32462083</v>
      </c>
    </row>
    <row r="610" spans="1:10" x14ac:dyDescent="0.2">
      <c r="A610" s="15" t="str">
        <f>_xlfn.XLOOKUP(E610,Program_data!$E$3:$E$1234,Program_data!$E$3:$E$1234,"",0,1)</f>
        <v>FOE-WI</v>
      </c>
      <c r="B610" s="15" t="str">
        <f t="shared" si="30"/>
        <v>WI</v>
      </c>
      <c r="C610" s="15" t="s">
        <v>69</v>
      </c>
      <c r="D610" s="15" t="s">
        <v>946</v>
      </c>
      <c r="E610" s="15" t="s">
        <v>890</v>
      </c>
      <c r="F610" s="15" t="s">
        <v>950</v>
      </c>
      <c r="H610" s="116" t="s">
        <v>135</v>
      </c>
      <c r="I610" s="15" t="s">
        <v>118</v>
      </c>
      <c r="J610" s="15">
        <v>586953</v>
      </c>
    </row>
    <row r="611" spans="1:10" x14ac:dyDescent="0.2">
      <c r="A611" s="15" t="str">
        <f>_xlfn.XLOOKUP(E611,Program_data!$E$3:$E$1234,Program_data!$E$3:$E$1234,"",0,1)</f>
        <v>FOE-WI</v>
      </c>
      <c r="B611" s="15" t="str">
        <f t="shared" si="30"/>
        <v>WI</v>
      </c>
      <c r="C611" s="15" t="s">
        <v>69</v>
      </c>
      <c r="D611" s="15" t="s">
        <v>946</v>
      </c>
      <c r="E611" s="15" t="s">
        <v>890</v>
      </c>
      <c r="F611" s="15" t="s">
        <v>949</v>
      </c>
      <c r="H611" s="116" t="s">
        <v>135</v>
      </c>
      <c r="I611" s="15" t="s">
        <v>116</v>
      </c>
      <c r="J611" s="15">
        <v>414155797</v>
      </c>
    </row>
    <row r="612" spans="1:10" x14ac:dyDescent="0.2">
      <c r="A612" s="15" t="str">
        <f>_xlfn.XLOOKUP(E612,Program_data!$E$3:$E$1234,Program_data!$E$3:$E$1234,"",0,1)</f>
        <v>FOE-WI</v>
      </c>
      <c r="B612" s="15" t="str">
        <f t="shared" si="30"/>
        <v>WI</v>
      </c>
      <c r="C612" s="15" t="s">
        <v>69</v>
      </c>
      <c r="D612" s="15" t="s">
        <v>946</v>
      </c>
      <c r="E612" s="15" t="s">
        <v>890</v>
      </c>
      <c r="F612" s="15" t="s">
        <v>951</v>
      </c>
      <c r="H612" s="116" t="s">
        <v>135</v>
      </c>
      <c r="I612" s="15" t="s">
        <v>117</v>
      </c>
      <c r="J612" s="15">
        <v>42066613</v>
      </c>
    </row>
    <row r="613" spans="1:10" x14ac:dyDescent="0.2">
      <c r="A613" s="15" t="str">
        <f>_xlfn.XLOOKUP(E613,Program_data!$E$3:$E$1234,Program_data!$E$3:$E$1234,"",0,1)</f>
        <v>FOE-WI</v>
      </c>
      <c r="B613" s="15" t="str">
        <f t="shared" si="30"/>
        <v>WI</v>
      </c>
      <c r="C613" s="15" t="s">
        <v>69</v>
      </c>
      <c r="D613" s="15" t="s">
        <v>946</v>
      </c>
      <c r="E613" s="15" t="s">
        <v>890</v>
      </c>
      <c r="F613" s="15" t="s">
        <v>952</v>
      </c>
      <c r="H613" s="116" t="s">
        <v>146</v>
      </c>
      <c r="I613" s="15" t="s">
        <v>117</v>
      </c>
      <c r="J613" s="15">
        <v>19463720</v>
      </c>
    </row>
    <row r="614" spans="1:10" x14ac:dyDescent="0.2">
      <c r="A614" s="15" t="str">
        <f>_xlfn.XLOOKUP(E614,Program_data!$E$3:$E$1234,Program_data!$E$3:$E$1234,"",0,1)</f>
        <v>FOE-WI</v>
      </c>
      <c r="B614" s="15" t="str">
        <f t="shared" si="30"/>
        <v>WI</v>
      </c>
      <c r="C614" s="15" t="s">
        <v>69</v>
      </c>
      <c r="D614" s="15" t="s">
        <v>946</v>
      </c>
      <c r="E614" s="15" t="s">
        <v>890</v>
      </c>
      <c r="F614" s="15" t="s">
        <v>953</v>
      </c>
      <c r="H614" s="116" t="s">
        <v>146</v>
      </c>
      <c r="I614" s="15" t="s">
        <v>116</v>
      </c>
      <c r="J614" s="15">
        <v>154986366</v>
      </c>
    </row>
    <row r="615" spans="1:10" x14ac:dyDescent="0.2">
      <c r="A615" s="15" t="str">
        <f>_xlfn.XLOOKUP(E615,Program_data!$E$3:$E$1234,Program_data!$E$3:$E$1234,"",0,1)</f>
        <v>FOE-WI</v>
      </c>
      <c r="B615" s="15" t="str">
        <f t="shared" si="30"/>
        <v>WI</v>
      </c>
      <c r="C615" s="15" t="s">
        <v>69</v>
      </c>
      <c r="D615" s="15" t="s">
        <v>946</v>
      </c>
      <c r="E615" s="15" t="s">
        <v>890</v>
      </c>
      <c r="F615" s="15" t="s">
        <v>954</v>
      </c>
      <c r="H615" s="116" t="s">
        <v>146</v>
      </c>
      <c r="I615" s="15" t="s">
        <v>118</v>
      </c>
      <c r="J615" s="15">
        <v>54642</v>
      </c>
    </row>
    <row r="616" spans="1:10" x14ac:dyDescent="0.2">
      <c r="A616" s="15" t="str">
        <f>_xlfn.XLOOKUP(E616,Program_data!$E$3:$E$1234,Program_data!$E$3:$E$1234,"",0,1)</f>
        <v>FOE-WI</v>
      </c>
      <c r="B616" s="15" t="str">
        <f t="shared" si="30"/>
        <v>WI</v>
      </c>
      <c r="C616" s="15" t="s">
        <v>69</v>
      </c>
      <c r="D616" s="15" t="s">
        <v>946</v>
      </c>
      <c r="E616" s="15" t="s">
        <v>890</v>
      </c>
      <c r="F616" s="15" t="s">
        <v>955</v>
      </c>
      <c r="H616" s="116" t="s">
        <v>146</v>
      </c>
      <c r="I616" s="15" t="s">
        <v>117</v>
      </c>
      <c r="J616" s="15">
        <v>6197911</v>
      </c>
    </row>
    <row r="617" spans="1:10" x14ac:dyDescent="0.2">
      <c r="A617" s="15" t="str">
        <f>_xlfn.XLOOKUP(E617,Program_data!$E$3:$E$1234,Program_data!$E$3:$E$1234,"",0,1)</f>
        <v>FOE-WI</v>
      </c>
      <c r="B617" s="15" t="str">
        <f t="shared" si="30"/>
        <v>WI</v>
      </c>
      <c r="C617" s="15" t="s">
        <v>69</v>
      </c>
      <c r="D617" s="15" t="s">
        <v>946</v>
      </c>
      <c r="E617" s="15" t="s">
        <v>890</v>
      </c>
      <c r="F617" s="15" t="s">
        <v>957</v>
      </c>
      <c r="H617" s="116" t="s">
        <v>146</v>
      </c>
      <c r="I617" s="15" t="s">
        <v>116</v>
      </c>
      <c r="J617" s="15">
        <v>43346373</v>
      </c>
    </row>
    <row r="618" spans="1:10" x14ac:dyDescent="0.2">
      <c r="A618" s="15" t="str">
        <f>_xlfn.XLOOKUP(E618,Program_data!$E$3:$E$1234,Program_data!$E$3:$E$1234,"",0,1)</f>
        <v>FOE-WI</v>
      </c>
      <c r="B618" s="15" t="str">
        <f t="shared" si="30"/>
        <v>WI</v>
      </c>
      <c r="C618" s="15" t="s">
        <v>69</v>
      </c>
      <c r="D618" s="15" t="s">
        <v>946</v>
      </c>
      <c r="E618" s="15" t="s">
        <v>890</v>
      </c>
      <c r="F618" s="15" t="s">
        <v>956</v>
      </c>
      <c r="H618" s="116" t="s">
        <v>146</v>
      </c>
      <c r="I618" s="15" t="s">
        <v>118</v>
      </c>
      <c r="J618" s="15">
        <v>1840</v>
      </c>
    </row>
    <row r="619" spans="1:10" x14ac:dyDescent="0.2">
      <c r="A619" s="15" t="str">
        <f>_xlfn.XLOOKUP(E619,Program_data!$E$3:$E$1234,Program_data!$E$3:$E$1234,"",0,1)</f>
        <v>FOE-WI</v>
      </c>
      <c r="B619" s="15" t="str">
        <f t="shared" si="30"/>
        <v>WI</v>
      </c>
      <c r="C619" s="15" t="s">
        <v>69</v>
      </c>
      <c r="D619" s="15" t="s">
        <v>947</v>
      </c>
      <c r="E619" s="15" t="s">
        <v>890</v>
      </c>
      <c r="F619" s="15" t="s">
        <v>950</v>
      </c>
      <c r="H619" s="116" t="s">
        <v>135</v>
      </c>
      <c r="I619" s="15" t="s">
        <v>118</v>
      </c>
      <c r="J619" s="15">
        <v>175637</v>
      </c>
    </row>
    <row r="620" spans="1:10" x14ac:dyDescent="0.2">
      <c r="A620" s="15" t="str">
        <f>_xlfn.XLOOKUP(E620,Program_data!$E$3:$E$1234,Program_data!$E$3:$E$1234,"",0,1)</f>
        <v>FOE-WI</v>
      </c>
      <c r="B620" s="15" t="str">
        <f t="shared" si="30"/>
        <v>WI</v>
      </c>
      <c r="C620" s="15" t="s">
        <v>69</v>
      </c>
      <c r="D620" s="15" t="s">
        <v>947</v>
      </c>
      <c r="E620" s="15" t="s">
        <v>890</v>
      </c>
      <c r="F620" s="15" t="s">
        <v>949</v>
      </c>
      <c r="H620" s="116" t="s">
        <v>135</v>
      </c>
      <c r="I620" s="15" t="s">
        <v>116</v>
      </c>
      <c r="J620" s="15">
        <v>111101607</v>
      </c>
    </row>
    <row r="621" spans="1:10" x14ac:dyDescent="0.2">
      <c r="A621" s="15" t="str">
        <f>_xlfn.XLOOKUP(E621,Program_data!$E$3:$E$1234,Program_data!$E$3:$E$1234,"",0,1)</f>
        <v>FOE-WI</v>
      </c>
      <c r="B621" s="15" t="str">
        <f t="shared" si="30"/>
        <v>WI</v>
      </c>
      <c r="C621" s="15" t="s">
        <v>69</v>
      </c>
      <c r="D621" s="15" t="s">
        <v>947</v>
      </c>
      <c r="E621" s="15" t="s">
        <v>890</v>
      </c>
      <c r="F621" s="15" t="s">
        <v>951</v>
      </c>
      <c r="H621" s="116" t="s">
        <v>135</v>
      </c>
      <c r="I621" s="15" t="s">
        <v>117</v>
      </c>
      <c r="J621" s="15">
        <v>12252260</v>
      </c>
    </row>
    <row r="622" spans="1:10" x14ac:dyDescent="0.2">
      <c r="A622" s="15" t="str">
        <f>_xlfn.XLOOKUP(E622,Program_data!$E$3:$E$1234,Program_data!$E$3:$E$1234,"",0,1)</f>
        <v>FOE-WI</v>
      </c>
      <c r="B622" s="15" t="str">
        <f t="shared" si="30"/>
        <v>WI</v>
      </c>
      <c r="C622" s="15" t="s">
        <v>69</v>
      </c>
      <c r="D622" s="15" t="s">
        <v>947</v>
      </c>
      <c r="E622" s="15" t="s">
        <v>890</v>
      </c>
      <c r="F622" s="15" t="s">
        <v>954</v>
      </c>
      <c r="H622" s="116" t="s">
        <v>146</v>
      </c>
      <c r="I622" s="15" t="s">
        <v>118</v>
      </c>
      <c r="J622" s="15">
        <v>20153</v>
      </c>
    </row>
    <row r="623" spans="1:10" x14ac:dyDescent="0.2">
      <c r="A623" s="15" t="str">
        <f>_xlfn.XLOOKUP(E623,Program_data!$E$3:$E$1234,Program_data!$E$3:$E$1234,"",0,1)</f>
        <v>FOE-WI</v>
      </c>
      <c r="B623" s="15" t="str">
        <f t="shared" si="30"/>
        <v>WI</v>
      </c>
      <c r="C623" s="15" t="s">
        <v>69</v>
      </c>
      <c r="D623" s="15" t="s">
        <v>947</v>
      </c>
      <c r="E623" s="15" t="s">
        <v>890</v>
      </c>
      <c r="F623" s="15" t="s">
        <v>952</v>
      </c>
      <c r="H623" s="116" t="s">
        <v>146</v>
      </c>
      <c r="I623" s="15" t="s">
        <v>117</v>
      </c>
      <c r="J623" s="15">
        <v>8959455</v>
      </c>
    </row>
    <row r="624" spans="1:10" x14ac:dyDescent="0.2">
      <c r="A624" s="15" t="str">
        <f>_xlfn.XLOOKUP(E624,Program_data!$E$3:$E$1234,Program_data!$E$3:$E$1234,"",0,1)</f>
        <v>FOE-WI</v>
      </c>
      <c r="B624" s="15" t="str">
        <f t="shared" si="30"/>
        <v>WI</v>
      </c>
      <c r="C624" s="15" t="s">
        <v>69</v>
      </c>
      <c r="D624" s="15" t="s">
        <v>947</v>
      </c>
      <c r="E624" s="15" t="s">
        <v>890</v>
      </c>
      <c r="F624" s="15" t="s">
        <v>953</v>
      </c>
      <c r="H624" s="116" t="s">
        <v>146</v>
      </c>
      <c r="I624" s="15" t="s">
        <v>116</v>
      </c>
      <c r="J624" s="15">
        <v>59875216</v>
      </c>
    </row>
    <row r="625" spans="1:10" x14ac:dyDescent="0.2">
      <c r="A625" s="15" t="str">
        <f>_xlfn.XLOOKUP(E625,Program_data!$E$3:$E$1234,Program_data!$E$3:$E$1234,"",0,1)</f>
        <v>FOE-WI</v>
      </c>
      <c r="B625" s="15" t="str">
        <f t="shared" si="30"/>
        <v>WI</v>
      </c>
      <c r="C625" s="15" t="s">
        <v>69</v>
      </c>
      <c r="D625" s="15" t="s">
        <v>947</v>
      </c>
      <c r="E625" s="15" t="s">
        <v>890</v>
      </c>
      <c r="F625" s="15" t="s">
        <v>956</v>
      </c>
      <c r="H625" s="116" t="s">
        <v>146</v>
      </c>
      <c r="I625" s="15" t="s">
        <v>118</v>
      </c>
      <c r="J625" s="15">
        <v>168</v>
      </c>
    </row>
    <row r="626" spans="1:10" x14ac:dyDescent="0.2">
      <c r="A626" s="15" t="str">
        <f>_xlfn.XLOOKUP(E626,Program_data!$E$3:$E$1234,Program_data!$E$3:$E$1234,"",0,1)</f>
        <v>FOE-WI</v>
      </c>
      <c r="B626" s="15" t="str">
        <f t="shared" si="30"/>
        <v>WI</v>
      </c>
      <c r="C626" s="15" t="s">
        <v>69</v>
      </c>
      <c r="D626" s="15" t="s">
        <v>947</v>
      </c>
      <c r="E626" s="15" t="s">
        <v>890</v>
      </c>
      <c r="F626" s="15" t="s">
        <v>955</v>
      </c>
      <c r="H626" s="116" t="s">
        <v>146</v>
      </c>
      <c r="I626" s="15" t="s">
        <v>117</v>
      </c>
      <c r="J626" s="15">
        <v>876981</v>
      </c>
    </row>
    <row r="627" spans="1:10" x14ac:dyDescent="0.2">
      <c r="A627" s="15" t="str">
        <f>_xlfn.XLOOKUP(E627,Program_data!$E$3:$E$1234,Program_data!$E$3:$E$1234,"",0,1)</f>
        <v>FOE-WI</v>
      </c>
      <c r="B627" s="15" t="str">
        <f t="shared" si="30"/>
        <v>WI</v>
      </c>
      <c r="C627" s="15" t="s">
        <v>69</v>
      </c>
      <c r="D627" s="15" t="s">
        <v>947</v>
      </c>
      <c r="E627" s="15" t="s">
        <v>890</v>
      </c>
      <c r="F627" s="15" t="s">
        <v>957</v>
      </c>
      <c r="H627" s="116" t="s">
        <v>146</v>
      </c>
      <c r="I627" s="15" t="s">
        <v>116</v>
      </c>
      <c r="J627" s="15">
        <v>4869933</v>
      </c>
    </row>
    <row r="628" spans="1:10" x14ac:dyDescent="0.2">
      <c r="A628" s="15" t="str">
        <f>_xlfn.XLOOKUP(E628,Program_data!$E$3:$E$1234,Program_data!$E$3:$E$1234,"",0,1)</f>
        <v>FOE-WI</v>
      </c>
      <c r="B628" s="15" t="str">
        <f t="shared" si="30"/>
        <v>WI</v>
      </c>
      <c r="C628" s="15" t="s">
        <v>69</v>
      </c>
      <c r="D628" s="15" t="s">
        <v>948</v>
      </c>
      <c r="E628" s="15" t="s">
        <v>890</v>
      </c>
      <c r="F628" s="15" t="s">
        <v>950</v>
      </c>
      <c r="H628" s="116" t="s">
        <v>135</v>
      </c>
      <c r="I628" s="15" t="s">
        <v>118</v>
      </c>
      <c r="J628" s="15">
        <v>305761</v>
      </c>
    </row>
    <row r="629" spans="1:10" x14ac:dyDescent="0.2">
      <c r="A629" s="15" t="str">
        <f>_xlfn.XLOOKUP(E629,Program_data!$E$3:$E$1234,Program_data!$E$3:$E$1234,"",0,1)</f>
        <v>FOE-WI</v>
      </c>
      <c r="B629" s="15" t="str">
        <f t="shared" si="30"/>
        <v>WI</v>
      </c>
      <c r="C629" s="15" t="s">
        <v>69</v>
      </c>
      <c r="D629" s="15" t="s">
        <v>948</v>
      </c>
      <c r="E629" s="15" t="s">
        <v>890</v>
      </c>
      <c r="F629" s="15" t="s">
        <v>951</v>
      </c>
      <c r="H629" s="116" t="s">
        <v>135</v>
      </c>
      <c r="I629" s="15" t="s">
        <v>117</v>
      </c>
      <c r="J629" s="15">
        <v>23568371</v>
      </c>
    </row>
    <row r="630" spans="1:10" x14ac:dyDescent="0.2">
      <c r="A630" s="15" t="str">
        <f>_xlfn.XLOOKUP(E630,Program_data!$E$3:$E$1234,Program_data!$E$3:$E$1234,"",0,1)</f>
        <v>FOE-WI</v>
      </c>
      <c r="B630" s="15" t="str">
        <f t="shared" si="30"/>
        <v>WI</v>
      </c>
      <c r="C630" s="15" t="s">
        <v>69</v>
      </c>
      <c r="D630" s="15" t="s">
        <v>948</v>
      </c>
      <c r="E630" s="15" t="s">
        <v>890</v>
      </c>
      <c r="F630" s="15" t="s">
        <v>949</v>
      </c>
      <c r="H630" s="116" t="s">
        <v>135</v>
      </c>
      <c r="I630" s="15" t="s">
        <v>116</v>
      </c>
      <c r="J630" s="15">
        <v>212770707</v>
      </c>
    </row>
    <row r="631" spans="1:10" x14ac:dyDescent="0.2">
      <c r="A631" s="15" t="str">
        <f>_xlfn.XLOOKUP(E631,Program_data!$E$3:$E$1234,Program_data!$E$3:$E$1234,"",0,1)</f>
        <v>FOE-WI</v>
      </c>
      <c r="B631" s="15" t="str">
        <f t="shared" si="30"/>
        <v>WI</v>
      </c>
      <c r="C631" s="15" t="s">
        <v>69</v>
      </c>
      <c r="D631" s="15" t="s">
        <v>948</v>
      </c>
      <c r="E631" s="15" t="s">
        <v>890</v>
      </c>
      <c r="F631" s="15" t="s">
        <v>953</v>
      </c>
      <c r="H631" s="116" t="s">
        <v>146</v>
      </c>
      <c r="I631" s="15" t="s">
        <v>116</v>
      </c>
      <c r="J631" s="15">
        <v>63976843</v>
      </c>
    </row>
    <row r="632" spans="1:10" x14ac:dyDescent="0.2">
      <c r="A632" s="15" t="str">
        <f>_xlfn.XLOOKUP(E632,Program_data!$E$3:$E$1234,Program_data!$E$3:$E$1234,"",0,1)</f>
        <v>FOE-WI</v>
      </c>
      <c r="B632" s="15" t="str">
        <f t="shared" si="30"/>
        <v>WI</v>
      </c>
      <c r="C632" s="15" t="s">
        <v>69</v>
      </c>
      <c r="D632" s="15" t="s">
        <v>948</v>
      </c>
      <c r="E632" s="15" t="s">
        <v>890</v>
      </c>
      <c r="F632" s="15" t="s">
        <v>952</v>
      </c>
      <c r="H632" s="116" t="s">
        <v>146</v>
      </c>
      <c r="I632" s="15" t="s">
        <v>117</v>
      </c>
      <c r="J632" s="15">
        <v>8465988</v>
      </c>
    </row>
    <row r="633" spans="1:10" x14ac:dyDescent="0.2">
      <c r="A633" s="15" t="str">
        <f>_xlfn.XLOOKUP(E633,Program_data!$E$3:$E$1234,Program_data!$E$3:$E$1234,"",0,1)</f>
        <v>FOE-WI</v>
      </c>
      <c r="B633" s="15" t="str">
        <f t="shared" si="30"/>
        <v>WI</v>
      </c>
      <c r="C633" s="15" t="s">
        <v>69</v>
      </c>
      <c r="D633" s="15" t="s">
        <v>948</v>
      </c>
      <c r="E633" s="15" t="s">
        <v>890</v>
      </c>
      <c r="F633" s="15" t="s">
        <v>954</v>
      </c>
      <c r="H633" s="116" t="s">
        <v>146</v>
      </c>
      <c r="I633" s="15" t="s">
        <v>118</v>
      </c>
      <c r="J633" s="15">
        <v>28740</v>
      </c>
    </row>
    <row r="634" spans="1:10" x14ac:dyDescent="0.2">
      <c r="A634" s="15" t="str">
        <f>_xlfn.XLOOKUP(E634,Program_data!$E$3:$E$1234,Program_data!$E$3:$E$1234,"",0,1)</f>
        <v>FOE-WI</v>
      </c>
      <c r="B634" s="15" t="str">
        <f t="shared" si="30"/>
        <v>WI</v>
      </c>
      <c r="C634" s="15" t="s">
        <v>69</v>
      </c>
      <c r="D634" s="15" t="s">
        <v>948</v>
      </c>
      <c r="E634" s="15" t="s">
        <v>890</v>
      </c>
      <c r="F634" s="15" t="s">
        <v>955</v>
      </c>
      <c r="H634" s="116" t="s">
        <v>146</v>
      </c>
      <c r="I634" s="15" t="s">
        <v>117</v>
      </c>
      <c r="J634" s="15">
        <v>8177403</v>
      </c>
    </row>
    <row r="635" spans="1:10" x14ac:dyDescent="0.2">
      <c r="A635" s="15" t="str">
        <f>_xlfn.XLOOKUP(E635,Program_data!$E$3:$E$1234,Program_data!$E$3:$E$1234,"",0,1)</f>
        <v>FOE-WI</v>
      </c>
      <c r="B635" s="15" t="str">
        <f t="shared" si="30"/>
        <v>WI</v>
      </c>
      <c r="C635" s="15" t="s">
        <v>69</v>
      </c>
      <c r="D635" s="15" t="s">
        <v>948</v>
      </c>
      <c r="E635" s="15" t="s">
        <v>890</v>
      </c>
      <c r="F635" s="15" t="s">
        <v>956</v>
      </c>
      <c r="H635" s="116" t="s">
        <v>146</v>
      </c>
      <c r="I635" s="15" t="s">
        <v>118</v>
      </c>
      <c r="J635" s="15">
        <v>1439</v>
      </c>
    </row>
    <row r="636" spans="1:10" x14ac:dyDescent="0.2">
      <c r="A636" s="15" t="str">
        <f>_xlfn.XLOOKUP(E636,Program_data!$E$3:$E$1234,Program_data!$E$3:$E$1234,"",0,1)</f>
        <v>FOE-WI</v>
      </c>
      <c r="B636" s="15" t="str">
        <f t="shared" si="30"/>
        <v>WI</v>
      </c>
      <c r="C636" s="15" t="s">
        <v>69</v>
      </c>
      <c r="D636" s="15" t="s">
        <v>948</v>
      </c>
      <c r="E636" s="15" t="s">
        <v>890</v>
      </c>
      <c r="F636" s="15" t="s">
        <v>957</v>
      </c>
      <c r="H636" s="116" t="s">
        <v>146</v>
      </c>
      <c r="I636" s="15" t="s">
        <v>116</v>
      </c>
      <c r="J636" s="15">
        <v>52047109</v>
      </c>
    </row>
    <row r="637" spans="1:10" x14ac:dyDescent="0.2">
      <c r="A637" s="15" t="str">
        <f>_xlfn.XLOOKUP(E637,Program_data!$E$3:$E$1234,Program_data!$E$3:$E$1234,"",0,1)</f>
        <v>Eversource-CT</v>
      </c>
      <c r="B637" s="15" t="s">
        <v>17</v>
      </c>
      <c r="C637" s="15" t="s">
        <v>23</v>
      </c>
      <c r="D637" s="15" t="s">
        <v>18</v>
      </c>
      <c r="E637" s="15" t="str">
        <f t="shared" ref="E637:E645" si="31">D637&amp;"-"&amp;B637</f>
        <v>Eversource-CT</v>
      </c>
      <c r="F637" s="15" t="s">
        <v>949</v>
      </c>
      <c r="H637" s="116" t="s">
        <v>135</v>
      </c>
      <c r="I637" s="15" t="s">
        <v>116</v>
      </c>
      <c r="J637" s="15">
        <v>283613102</v>
      </c>
    </row>
    <row r="638" spans="1:10" x14ac:dyDescent="0.2">
      <c r="A638" s="15" t="str">
        <f>_xlfn.XLOOKUP(E638,Program_data!$E$3:$E$1234,Program_data!$E$3:$E$1234,"",0,1)</f>
        <v>Eversource-CT</v>
      </c>
      <c r="B638" s="15" t="s">
        <v>17</v>
      </c>
      <c r="C638" s="15" t="s">
        <v>23</v>
      </c>
      <c r="D638" s="15" t="s">
        <v>18</v>
      </c>
      <c r="E638" s="15" t="str">
        <f t="shared" si="31"/>
        <v>Eversource-CT</v>
      </c>
      <c r="F638" s="15" t="s">
        <v>950</v>
      </c>
      <c r="H638" s="116" t="s">
        <v>135</v>
      </c>
      <c r="I638" s="15" t="s">
        <v>118</v>
      </c>
      <c r="J638" s="15">
        <v>219032</v>
      </c>
    </row>
    <row r="639" spans="1:10" x14ac:dyDescent="0.2">
      <c r="A639" s="15" t="str">
        <f>_xlfn.XLOOKUP(E639,Program_data!$E$3:$E$1234,Program_data!$E$3:$E$1234,"",0,1)</f>
        <v>Eversource-CT</v>
      </c>
      <c r="B639" s="15" t="s">
        <v>17</v>
      </c>
      <c r="C639" s="15" t="s">
        <v>23</v>
      </c>
      <c r="D639" s="15" t="s">
        <v>18</v>
      </c>
      <c r="E639" s="15" t="str">
        <f t="shared" si="31"/>
        <v>Eversource-CT</v>
      </c>
      <c r="F639" s="15" t="s">
        <v>951</v>
      </c>
      <c r="H639" s="116" t="s">
        <v>135</v>
      </c>
      <c r="I639" s="15" t="s">
        <v>117</v>
      </c>
      <c r="J639" s="15">
        <v>15130574</v>
      </c>
    </row>
    <row r="640" spans="1:10" x14ac:dyDescent="0.2">
      <c r="A640" s="15" t="str">
        <f>_xlfn.XLOOKUP(E640,Program_data!$E$3:$E$1234,Program_data!$E$3:$E$1234,"",0,1)</f>
        <v>Eversource-CT</v>
      </c>
      <c r="B640" s="15" t="s">
        <v>17</v>
      </c>
      <c r="C640" s="15" t="s">
        <v>23</v>
      </c>
      <c r="D640" s="15" t="s">
        <v>18</v>
      </c>
      <c r="E640" s="15" t="str">
        <f t="shared" si="31"/>
        <v>Eversource-CT</v>
      </c>
      <c r="F640" s="15" t="s">
        <v>952</v>
      </c>
      <c r="H640" s="116" t="s">
        <v>146</v>
      </c>
      <c r="I640" s="15" t="s">
        <v>117</v>
      </c>
      <c r="J640" s="15">
        <v>15456186</v>
      </c>
    </row>
    <row r="641" spans="1:10" x14ac:dyDescent="0.2">
      <c r="A641" s="15" t="str">
        <f>_xlfn.XLOOKUP(E641,Program_data!$E$3:$E$1234,Program_data!$E$3:$E$1234,"",0,1)</f>
        <v>Eversource-CT</v>
      </c>
      <c r="B641" s="15" t="s">
        <v>17</v>
      </c>
      <c r="C641" s="15" t="s">
        <v>23</v>
      </c>
      <c r="D641" s="15" t="s">
        <v>18</v>
      </c>
      <c r="E641" s="15" t="str">
        <f t="shared" si="31"/>
        <v>Eversource-CT</v>
      </c>
      <c r="F641" s="15" t="s">
        <v>953</v>
      </c>
      <c r="H641" s="116" t="s">
        <v>146</v>
      </c>
      <c r="I641" s="15" t="s">
        <v>116</v>
      </c>
      <c r="J641" s="15">
        <v>195497148</v>
      </c>
    </row>
    <row r="642" spans="1:10" x14ac:dyDescent="0.2">
      <c r="A642" s="15" t="str">
        <f>_xlfn.XLOOKUP(E642,Program_data!$E$3:$E$1234,Program_data!$E$3:$E$1234,"",0,1)</f>
        <v>Eversource-CT</v>
      </c>
      <c r="B642" s="15" t="s">
        <v>17</v>
      </c>
      <c r="C642" s="15" t="s">
        <v>23</v>
      </c>
      <c r="D642" s="15" t="s">
        <v>18</v>
      </c>
      <c r="E642" s="15" t="str">
        <f t="shared" si="31"/>
        <v>Eversource-CT</v>
      </c>
      <c r="F642" s="15" t="s">
        <v>954</v>
      </c>
      <c r="H642" s="116" t="s">
        <v>146</v>
      </c>
      <c r="I642" s="15" t="s">
        <v>118</v>
      </c>
      <c r="J642" s="15">
        <v>26345</v>
      </c>
    </row>
    <row r="643" spans="1:10" x14ac:dyDescent="0.2">
      <c r="A643" s="15" t="str">
        <f>_xlfn.XLOOKUP(E643,Program_data!$E$3:$E$1234,Program_data!$E$3:$E$1234,"",0,1)</f>
        <v>Eversource-CT</v>
      </c>
      <c r="B643" s="15" t="s">
        <v>17</v>
      </c>
      <c r="C643" s="15" t="s">
        <v>23</v>
      </c>
      <c r="D643" s="15" t="s">
        <v>18</v>
      </c>
      <c r="E643" s="15" t="str">
        <f t="shared" si="31"/>
        <v>Eversource-CT</v>
      </c>
      <c r="F643" s="15" t="s">
        <v>956</v>
      </c>
      <c r="H643" s="116" t="s">
        <v>146</v>
      </c>
      <c r="I643" s="15" t="s">
        <v>118</v>
      </c>
      <c r="J643" s="15">
        <v>1385</v>
      </c>
    </row>
    <row r="644" spans="1:10" x14ac:dyDescent="0.2">
      <c r="A644" s="15" t="str">
        <f>_xlfn.XLOOKUP(E644,Program_data!$E$3:$E$1234,Program_data!$E$3:$E$1234,"",0,1)</f>
        <v>Eversource-CT</v>
      </c>
      <c r="B644" s="15" t="s">
        <v>17</v>
      </c>
      <c r="C644" s="15" t="s">
        <v>23</v>
      </c>
      <c r="D644" s="15" t="s">
        <v>18</v>
      </c>
      <c r="E644" s="15" t="str">
        <f t="shared" si="31"/>
        <v>Eversource-CT</v>
      </c>
      <c r="F644" s="15" t="s">
        <v>957</v>
      </c>
      <c r="H644" s="116" t="s">
        <v>146</v>
      </c>
      <c r="I644" s="15" t="s">
        <v>116</v>
      </c>
      <c r="J644" s="15">
        <v>49527583</v>
      </c>
    </row>
    <row r="645" spans="1:10" x14ac:dyDescent="0.2">
      <c r="A645" s="15" t="str">
        <f>_xlfn.XLOOKUP(E645,Program_data!$E$3:$E$1234,Program_data!$E$3:$E$1234,"",0,1)</f>
        <v>Eversource-CT</v>
      </c>
      <c r="B645" s="15" t="s">
        <v>17</v>
      </c>
      <c r="C645" s="15" t="s">
        <v>23</v>
      </c>
      <c r="D645" s="15" t="s">
        <v>18</v>
      </c>
      <c r="E645" s="15" t="str">
        <f t="shared" si="31"/>
        <v>Eversource-CT</v>
      </c>
      <c r="F645" s="15" t="s">
        <v>955</v>
      </c>
      <c r="H645" s="116" t="s">
        <v>146</v>
      </c>
      <c r="I645" s="15" t="s">
        <v>117</v>
      </c>
      <c r="J645" s="15">
        <v>5434464</v>
      </c>
    </row>
    <row r="646" spans="1:10" x14ac:dyDescent="0.2">
      <c r="A646" s="15" t="str">
        <f>_xlfn.XLOOKUP(E646,Program_data!$E$3:$E$1234,Program_data!$E$3:$E$1234,"",0,1)</f>
        <v>FortisBC-CAN</v>
      </c>
      <c r="B646" s="15" t="s">
        <v>33</v>
      </c>
      <c r="C646" s="15" t="s">
        <v>80</v>
      </c>
      <c r="D646" s="15" t="s">
        <v>81</v>
      </c>
      <c r="E646" s="15" t="str">
        <f t="shared" ref="E646:E654" si="32">D646&amp;"-"&amp;B646</f>
        <v>FortisBC-CAN</v>
      </c>
      <c r="F646" s="15" t="s">
        <v>951</v>
      </c>
      <c r="H646" s="116" t="s">
        <v>135</v>
      </c>
      <c r="I646" s="15" t="s">
        <v>117</v>
      </c>
      <c r="J646" s="117">
        <v>82460085.7641761</v>
      </c>
    </row>
    <row r="647" spans="1:10" x14ac:dyDescent="0.2">
      <c r="A647" s="15" t="str">
        <f>_xlfn.XLOOKUP(E647,Program_data!$E$3:$E$1234,Program_data!$E$3:$E$1234,"",0,1)</f>
        <v>FortisBC-CAN</v>
      </c>
      <c r="B647" s="15" t="s">
        <v>33</v>
      </c>
      <c r="C647" s="15" t="s">
        <v>80</v>
      </c>
      <c r="D647" s="15" t="s">
        <v>81</v>
      </c>
      <c r="E647" s="15" t="str">
        <f t="shared" si="32"/>
        <v>FortisBC-CAN</v>
      </c>
      <c r="F647" s="15" t="s">
        <v>949</v>
      </c>
      <c r="H647" s="116" t="s">
        <v>135</v>
      </c>
      <c r="I647" s="15" t="s">
        <v>116</v>
      </c>
      <c r="J647" s="117">
        <f>1182000000*0.74</f>
        <v>874680000</v>
      </c>
    </row>
    <row r="648" spans="1:10" x14ac:dyDescent="0.2">
      <c r="A648" s="15" t="str">
        <f>_xlfn.XLOOKUP(E648,Program_data!$E$3:$E$1234,Program_data!$E$3:$E$1234,"",0,1)</f>
        <v>FortisBC-CAN</v>
      </c>
      <c r="B648" s="15" t="s">
        <v>33</v>
      </c>
      <c r="C648" s="15" t="s">
        <v>80</v>
      </c>
      <c r="D648" s="15" t="s">
        <v>81</v>
      </c>
      <c r="E648" s="15" t="str">
        <f t="shared" si="32"/>
        <v>FortisBC-CAN</v>
      </c>
      <c r="F648" s="15" t="s">
        <v>950</v>
      </c>
      <c r="H648" s="116" t="s">
        <v>135</v>
      </c>
      <c r="I648" s="15" t="s">
        <v>118</v>
      </c>
      <c r="J648" s="117">
        <v>976170</v>
      </c>
    </row>
    <row r="649" spans="1:10" x14ac:dyDescent="0.2">
      <c r="A649" s="15" t="str">
        <f>_xlfn.XLOOKUP(E649,Program_data!$E$3:$E$1234,Program_data!$E$3:$E$1234,"",0,1)</f>
        <v>FortisBC-CAN</v>
      </c>
      <c r="B649" s="15" t="s">
        <v>33</v>
      </c>
      <c r="C649" s="15" t="s">
        <v>80</v>
      </c>
      <c r="D649" s="15" t="s">
        <v>81</v>
      </c>
      <c r="E649" s="15" t="str">
        <f t="shared" si="32"/>
        <v>FortisBC-CAN</v>
      </c>
      <c r="F649" s="15" t="s">
        <v>953</v>
      </c>
      <c r="H649" s="116" t="s">
        <v>146</v>
      </c>
      <c r="I649" s="15" t="s">
        <v>116</v>
      </c>
      <c r="J649" s="117">
        <f>668000000*0.74</f>
        <v>494320000</v>
      </c>
    </row>
    <row r="650" spans="1:10" x14ac:dyDescent="0.2">
      <c r="A650" s="15" t="str">
        <f>_xlfn.XLOOKUP(E650,Program_data!$E$3:$E$1234,Program_data!$E$3:$E$1234,"",0,1)</f>
        <v>FortisBC-CAN</v>
      </c>
      <c r="B650" s="15" t="s">
        <v>33</v>
      </c>
      <c r="C650" s="15" t="s">
        <v>80</v>
      </c>
      <c r="D650" s="15" t="s">
        <v>81</v>
      </c>
      <c r="E650" s="15" t="str">
        <f t="shared" si="32"/>
        <v>FortisBC-CAN</v>
      </c>
      <c r="F650" s="15" t="s">
        <v>954</v>
      </c>
      <c r="H650" s="116" t="s">
        <v>146</v>
      </c>
      <c r="I650" s="15" t="s">
        <v>118</v>
      </c>
      <c r="J650" s="117">
        <v>97663</v>
      </c>
    </row>
    <row r="651" spans="1:10" x14ac:dyDescent="0.2">
      <c r="A651" s="15" t="str">
        <f>_xlfn.XLOOKUP(E651,Program_data!$E$3:$E$1234,Program_data!$E$3:$E$1234,"",0,1)</f>
        <v>FortisBC-CAN</v>
      </c>
      <c r="B651" s="15" t="s">
        <v>33</v>
      </c>
      <c r="C651" s="15" t="s">
        <v>80</v>
      </c>
      <c r="D651" s="15" t="s">
        <v>81</v>
      </c>
      <c r="E651" s="15" t="str">
        <f t="shared" si="32"/>
        <v>FortisBC-CAN</v>
      </c>
      <c r="F651" s="15" t="s">
        <v>952</v>
      </c>
      <c r="H651" s="116" t="s">
        <v>146</v>
      </c>
      <c r="I651" s="15" t="s">
        <v>117</v>
      </c>
      <c r="J651" s="117">
        <v>57816841.7426982</v>
      </c>
    </row>
    <row r="652" spans="1:10" x14ac:dyDescent="0.2">
      <c r="A652" s="15" t="str">
        <f>_xlfn.XLOOKUP(E652,Program_data!$E$3:$E$1234,Program_data!$E$3:$E$1234,"",0,1)</f>
        <v>FortisBC-CAN</v>
      </c>
      <c r="B652" s="15" t="s">
        <v>33</v>
      </c>
      <c r="C652" s="15" t="s">
        <v>80</v>
      </c>
      <c r="D652" s="15" t="s">
        <v>81</v>
      </c>
      <c r="E652" s="15" t="str">
        <f t="shared" si="32"/>
        <v>FortisBC-CAN</v>
      </c>
      <c r="F652" s="15" t="s">
        <v>955</v>
      </c>
      <c r="H652" s="116" t="s">
        <v>146</v>
      </c>
      <c r="I652" s="15" t="s">
        <v>117</v>
      </c>
      <c r="J652" s="117">
        <v>18008524.477233902</v>
      </c>
    </row>
    <row r="653" spans="1:10" x14ac:dyDescent="0.2">
      <c r="A653" s="15" t="str">
        <f>_xlfn.XLOOKUP(E653,Program_data!$E$3:$E$1234,Program_data!$E$3:$E$1234,"",0,1)</f>
        <v>FortisBC-CAN</v>
      </c>
      <c r="B653" s="15" t="s">
        <v>33</v>
      </c>
      <c r="C653" s="15" t="s">
        <v>80</v>
      </c>
      <c r="D653" s="15" t="s">
        <v>81</v>
      </c>
      <c r="E653" s="15" t="str">
        <f t="shared" si="32"/>
        <v>FortisBC-CAN</v>
      </c>
      <c r="F653" s="15" t="s">
        <v>956</v>
      </c>
      <c r="H653" s="116" t="s">
        <v>146</v>
      </c>
      <c r="I653" s="15" t="s">
        <v>118</v>
      </c>
      <c r="J653" s="117">
        <v>781</v>
      </c>
    </row>
    <row r="654" spans="1:10" x14ac:dyDescent="0.2">
      <c r="A654" s="15" t="str">
        <f>_xlfn.XLOOKUP(E654,Program_data!$E$3:$E$1234,Program_data!$E$3:$E$1234,"",0,1)</f>
        <v>FortisBC-CAN</v>
      </c>
      <c r="B654" s="15" t="s">
        <v>33</v>
      </c>
      <c r="C654" s="15" t="s">
        <v>80</v>
      </c>
      <c r="D654" s="15" t="s">
        <v>81</v>
      </c>
      <c r="E654" s="15" t="str">
        <f t="shared" si="32"/>
        <v>FortisBC-CAN</v>
      </c>
      <c r="F654" s="15" t="s">
        <v>957</v>
      </c>
      <c r="H654" s="116" t="s">
        <v>146</v>
      </c>
      <c r="I654" s="15" t="s">
        <v>116</v>
      </c>
      <c r="J654" s="117">
        <f>82000000*0.74</f>
        <v>60680000</v>
      </c>
    </row>
    <row r="655" spans="1:10" ht="15" x14ac:dyDescent="0.25">
      <c r="A655" s="15" t="str">
        <f>_xlfn.XLOOKUP(E655,Program_data!$E$3:$E$1234,Program_data!$E$3:$E$1234,"",0,1)</f>
        <v>Avista-WA</v>
      </c>
      <c r="B655" s="15" t="str">
        <f t="shared" ref="B655:B669" si="33">UPPER(LEFT(C655,2))</f>
        <v>WA</v>
      </c>
      <c r="C655" t="s">
        <v>940</v>
      </c>
      <c r="D655" t="s">
        <v>959</v>
      </c>
      <c r="E655" s="15" t="str">
        <f t="shared" ref="E655:E671" si="34">D655&amp;"-"&amp;B655</f>
        <v>AVISTA-WA</v>
      </c>
      <c r="F655" t="s">
        <v>950</v>
      </c>
      <c r="G655"/>
      <c r="H655" s="116" t="s">
        <v>135</v>
      </c>
      <c r="I655" s="15" t="s">
        <v>118</v>
      </c>
      <c r="J655">
        <v>158391</v>
      </c>
    </row>
    <row r="656" spans="1:10" ht="15" x14ac:dyDescent="0.25">
      <c r="A656" s="15" t="str">
        <f>_xlfn.XLOOKUP(E656,Program_data!$E$3:$E$1234,Program_data!$E$3:$E$1234,"",0,1)</f>
        <v>Avista-WA</v>
      </c>
      <c r="B656" s="15" t="str">
        <f t="shared" si="33"/>
        <v>WA</v>
      </c>
      <c r="C656" t="s">
        <v>940</v>
      </c>
      <c r="D656" t="s">
        <v>959</v>
      </c>
      <c r="E656" s="15" t="str">
        <f t="shared" si="34"/>
        <v>AVISTA-WA</v>
      </c>
      <c r="F656" t="s">
        <v>951</v>
      </c>
      <c r="G656"/>
      <c r="H656" s="116" t="s">
        <v>135</v>
      </c>
      <c r="I656" s="15" t="s">
        <v>117</v>
      </c>
      <c r="J656">
        <v>10808791</v>
      </c>
    </row>
    <row r="657" spans="1:10" ht="15" x14ac:dyDescent="0.25">
      <c r="A657" s="15" t="str">
        <f>_xlfn.XLOOKUP(E657,Program_data!$E$3:$E$1234,Program_data!$E$3:$E$1234,"",0,1)</f>
        <v>Avista-WA</v>
      </c>
      <c r="B657" s="15" t="str">
        <f t="shared" si="33"/>
        <v>WA</v>
      </c>
      <c r="C657" t="s">
        <v>940</v>
      </c>
      <c r="D657" t="s">
        <v>959</v>
      </c>
      <c r="E657" s="15" t="str">
        <f t="shared" si="34"/>
        <v>AVISTA-WA</v>
      </c>
      <c r="F657" t="s">
        <v>949</v>
      </c>
      <c r="G657"/>
      <c r="H657" s="116" t="s">
        <v>135</v>
      </c>
      <c r="I657" s="15" t="s">
        <v>116</v>
      </c>
      <c r="J657">
        <v>108498566</v>
      </c>
    </row>
    <row r="658" spans="1:10" ht="15" x14ac:dyDescent="0.25">
      <c r="A658" s="15" t="str">
        <f>_xlfn.XLOOKUP(E658,Program_data!$E$3:$E$1234,Program_data!$E$3:$E$1234,"",0,1)</f>
        <v>Avista-WA</v>
      </c>
      <c r="B658" s="15" t="str">
        <f t="shared" si="33"/>
        <v>WA</v>
      </c>
      <c r="C658" t="s">
        <v>940</v>
      </c>
      <c r="D658" t="s">
        <v>959</v>
      </c>
      <c r="E658" s="15" t="str">
        <f t="shared" si="34"/>
        <v>AVISTA-WA</v>
      </c>
      <c r="F658" t="s">
        <v>954</v>
      </c>
      <c r="G658"/>
      <c r="H658" s="116" t="s">
        <v>146</v>
      </c>
      <c r="I658" s="15" t="s">
        <v>118</v>
      </c>
      <c r="J658">
        <v>15192</v>
      </c>
    </row>
    <row r="659" spans="1:10" ht="15" x14ac:dyDescent="0.25">
      <c r="A659" s="15" t="str">
        <f>_xlfn.XLOOKUP(E659,Program_data!$E$3:$E$1234,Program_data!$E$3:$E$1234,"",0,1)</f>
        <v>Avista-WA</v>
      </c>
      <c r="B659" s="15" t="str">
        <f t="shared" si="33"/>
        <v>WA</v>
      </c>
      <c r="C659" t="s">
        <v>940</v>
      </c>
      <c r="D659" t="s">
        <v>959</v>
      </c>
      <c r="E659" s="15" t="str">
        <f t="shared" si="34"/>
        <v>AVISTA-WA</v>
      </c>
      <c r="F659" t="s">
        <v>952</v>
      </c>
      <c r="G659"/>
      <c r="H659" s="116" t="s">
        <v>146</v>
      </c>
      <c r="I659" s="15" t="s">
        <v>117</v>
      </c>
      <c r="J659">
        <v>6572604</v>
      </c>
    </row>
    <row r="660" spans="1:10" ht="15" x14ac:dyDescent="0.25">
      <c r="A660" s="15" t="str">
        <f>_xlfn.XLOOKUP(E660,Program_data!$E$3:$E$1234,Program_data!$E$3:$E$1234,"",0,1)</f>
        <v>Avista-WA</v>
      </c>
      <c r="B660" s="15" t="str">
        <f t="shared" si="33"/>
        <v>WA</v>
      </c>
      <c r="C660" t="s">
        <v>940</v>
      </c>
      <c r="D660" t="s">
        <v>959</v>
      </c>
      <c r="E660" s="15" t="str">
        <f t="shared" si="34"/>
        <v>AVISTA-WA</v>
      </c>
      <c r="F660" t="s">
        <v>953</v>
      </c>
      <c r="G660"/>
      <c r="H660" s="116" t="s">
        <v>146</v>
      </c>
      <c r="I660" s="15" t="s">
        <v>116</v>
      </c>
      <c r="J660">
        <v>50009367</v>
      </c>
    </row>
    <row r="661" spans="1:10" ht="15" x14ac:dyDescent="0.25">
      <c r="A661" s="15" t="str">
        <f>_xlfn.XLOOKUP(E661,Program_data!$E$3:$E$1234,Program_data!$E$3:$E$1234,"",0,1)</f>
        <v>Avista-WA</v>
      </c>
      <c r="B661" s="15" t="str">
        <f t="shared" si="33"/>
        <v>WA</v>
      </c>
      <c r="C661" t="s">
        <v>940</v>
      </c>
      <c r="D661" t="s">
        <v>959</v>
      </c>
      <c r="E661" s="15" t="str">
        <f t="shared" si="34"/>
        <v>AVISTA-WA</v>
      </c>
      <c r="F661" t="s">
        <v>955</v>
      </c>
      <c r="G661"/>
      <c r="H661" s="116" t="s">
        <v>146</v>
      </c>
      <c r="I661" s="15" t="s">
        <v>117</v>
      </c>
      <c r="J661">
        <v>250673</v>
      </c>
    </row>
    <row r="662" spans="1:10" ht="15" x14ac:dyDescent="0.25">
      <c r="A662" s="15" t="str">
        <f>_xlfn.XLOOKUP(E662,Program_data!$E$3:$E$1234,Program_data!$E$3:$E$1234,"",0,1)</f>
        <v>Avista-WA</v>
      </c>
      <c r="B662" s="15" t="str">
        <f t="shared" si="33"/>
        <v>WA</v>
      </c>
      <c r="C662" t="s">
        <v>940</v>
      </c>
      <c r="D662" t="s">
        <v>959</v>
      </c>
      <c r="E662" s="15" t="str">
        <f t="shared" si="34"/>
        <v>AVISTA-WA</v>
      </c>
      <c r="F662" t="s">
        <v>957</v>
      </c>
      <c r="G662"/>
      <c r="H662" s="116" t="s">
        <v>146</v>
      </c>
      <c r="I662" s="15" t="s">
        <v>116</v>
      </c>
      <c r="J662">
        <v>1640405</v>
      </c>
    </row>
    <row r="663" spans="1:10" ht="15" x14ac:dyDescent="0.25">
      <c r="A663" s="15" t="str">
        <f>_xlfn.XLOOKUP(E663,Program_data!$E$3:$E$1234,Program_data!$E$3:$E$1234,"",0,1)</f>
        <v>Avista-WA</v>
      </c>
      <c r="B663" s="15" t="str">
        <f t="shared" si="33"/>
        <v>WA</v>
      </c>
      <c r="C663" t="s">
        <v>940</v>
      </c>
      <c r="D663" t="s">
        <v>959</v>
      </c>
      <c r="E663" s="15" t="str">
        <f t="shared" si="34"/>
        <v>AVISTA-WA</v>
      </c>
      <c r="F663" t="s">
        <v>956</v>
      </c>
      <c r="G663"/>
      <c r="H663" s="116" t="s">
        <v>146</v>
      </c>
      <c r="I663" s="15" t="s">
        <v>118</v>
      </c>
      <c r="J663">
        <v>95</v>
      </c>
    </row>
    <row r="664" spans="1:10" ht="15" x14ac:dyDescent="0.25">
      <c r="A664" s="15" t="str">
        <f>_xlfn.XLOOKUP(E664,Program_data!$E$3:$E$1234,Program_data!$E$3:$E$1234,"",0,1)</f>
        <v>Avista-WA</v>
      </c>
      <c r="B664" s="15" t="str">
        <f t="shared" si="33"/>
        <v>WA</v>
      </c>
      <c r="C664" t="s">
        <v>940</v>
      </c>
      <c r="D664" t="s">
        <v>959</v>
      </c>
      <c r="E664" s="15" t="str">
        <f t="shared" si="34"/>
        <v>AVISTA-WA</v>
      </c>
      <c r="F664" t="s">
        <v>914</v>
      </c>
      <c r="G664" s="15">
        <v>1</v>
      </c>
      <c r="H664" s="116" t="s">
        <v>146</v>
      </c>
      <c r="I664" s="15" t="s">
        <v>117</v>
      </c>
      <c r="J664">
        <v>2619971</v>
      </c>
    </row>
    <row r="665" spans="1:10" ht="15" x14ac:dyDescent="0.25">
      <c r="A665" s="15" t="str">
        <f>_xlfn.XLOOKUP(E665,Program_data!$E$3:$E$1234,Program_data!$E$3:$E$1234,"",0,1)</f>
        <v>Avista-WA</v>
      </c>
      <c r="B665" s="15" t="str">
        <f t="shared" si="33"/>
        <v>WA</v>
      </c>
      <c r="C665" t="s">
        <v>940</v>
      </c>
      <c r="D665" t="s">
        <v>959</v>
      </c>
      <c r="E665" s="15" t="str">
        <f t="shared" si="34"/>
        <v>AVISTA-WA</v>
      </c>
      <c r="F665" t="s">
        <v>915</v>
      </c>
      <c r="G665" s="15">
        <v>1</v>
      </c>
      <c r="H665" s="116" t="s">
        <v>146</v>
      </c>
      <c r="I665" s="15" t="s">
        <v>118</v>
      </c>
      <c r="J665">
        <v>20</v>
      </c>
    </row>
    <row r="666" spans="1:10" ht="15" x14ac:dyDescent="0.25">
      <c r="A666" s="15" t="str">
        <f>_xlfn.XLOOKUP(E666,Program_data!$E$3:$E$1234,Program_data!$E$3:$E$1234,"",0,1)</f>
        <v>Avista-WA</v>
      </c>
      <c r="B666" s="15" t="str">
        <f t="shared" si="33"/>
        <v>WA</v>
      </c>
      <c r="C666" t="s">
        <v>940</v>
      </c>
      <c r="D666" t="s">
        <v>959</v>
      </c>
      <c r="E666" s="15" t="str">
        <f t="shared" si="34"/>
        <v>AVISTA-WA</v>
      </c>
      <c r="F666" t="s">
        <v>913</v>
      </c>
      <c r="G666" s="15">
        <v>1</v>
      </c>
      <c r="H666" s="116" t="s">
        <v>146</v>
      </c>
      <c r="I666" s="15" t="s">
        <v>116</v>
      </c>
      <c r="J666">
        <v>2145507</v>
      </c>
    </row>
    <row r="667" spans="1:10" ht="15" x14ac:dyDescent="0.25">
      <c r="A667" s="15" t="str">
        <f>_xlfn.XLOOKUP(E667,Program_data!$E$3:$E$1234,Program_data!$E$3:$E$1234,"",0,1)</f>
        <v>Avista-WA</v>
      </c>
      <c r="B667" s="15" t="str">
        <f t="shared" si="33"/>
        <v>WA</v>
      </c>
      <c r="C667" t="s">
        <v>940</v>
      </c>
      <c r="D667" t="s">
        <v>959</v>
      </c>
      <c r="E667" s="15" t="str">
        <f t="shared" si="34"/>
        <v>AVISTA-WA</v>
      </c>
      <c r="F667" t="s">
        <v>918</v>
      </c>
      <c r="G667" s="15">
        <v>1</v>
      </c>
      <c r="H667" s="116" t="s">
        <v>146</v>
      </c>
      <c r="I667" s="15" t="s">
        <v>117</v>
      </c>
      <c r="J667">
        <v>5127117</v>
      </c>
    </row>
    <row r="668" spans="1:10" ht="15" x14ac:dyDescent="0.25">
      <c r="A668" s="15" t="str">
        <f>_xlfn.XLOOKUP(E668,Program_data!$E$3:$E$1234,Program_data!$E$3:$E$1234,"",0,1)</f>
        <v>Avista-WA</v>
      </c>
      <c r="B668" s="15" t="str">
        <f t="shared" si="33"/>
        <v>WA</v>
      </c>
      <c r="C668" t="s">
        <v>940</v>
      </c>
      <c r="D668" t="s">
        <v>959</v>
      </c>
      <c r="E668" s="15" t="str">
        <f t="shared" si="34"/>
        <v>AVISTA-WA</v>
      </c>
      <c r="F668" t="s">
        <v>916</v>
      </c>
      <c r="G668" s="15">
        <v>1</v>
      </c>
      <c r="H668" s="116" t="s">
        <v>146</v>
      </c>
      <c r="I668" s="15" t="s">
        <v>118</v>
      </c>
      <c r="J668">
        <v>23</v>
      </c>
    </row>
    <row r="669" spans="1:10" ht="15" x14ac:dyDescent="0.25">
      <c r="A669" s="15" t="str">
        <f>_xlfn.XLOOKUP(E669,Program_data!$E$3:$E$1234,Program_data!$E$3:$E$1234,"",0,1)</f>
        <v>Avista-WA</v>
      </c>
      <c r="B669" s="15" t="str">
        <f t="shared" si="33"/>
        <v>WA</v>
      </c>
      <c r="C669" t="s">
        <v>940</v>
      </c>
      <c r="D669" t="s">
        <v>959</v>
      </c>
      <c r="E669" s="15" t="str">
        <f t="shared" si="34"/>
        <v>AVISTA-WA</v>
      </c>
      <c r="F669" t="s">
        <v>917</v>
      </c>
      <c r="G669" s="15">
        <v>1</v>
      </c>
      <c r="H669" s="116" t="s">
        <v>146</v>
      </c>
      <c r="I669" s="15" t="s">
        <v>116</v>
      </c>
      <c r="J669">
        <v>2984524</v>
      </c>
    </row>
    <row r="670" spans="1:10" ht="15" x14ac:dyDescent="0.25">
      <c r="A670" s="15" t="str">
        <f>_xlfn.XLOOKUP(E670,Program_data!$E$3:$E$1234,Program_data!$E$3:$E$1234,"",0,1)</f>
        <v>Enbridge-CAN</v>
      </c>
      <c r="B670" s="15" t="s">
        <v>33</v>
      </c>
      <c r="C670" s="15" t="s">
        <v>960</v>
      </c>
      <c r="D670" s="15" t="s">
        <v>77</v>
      </c>
      <c r="E670" s="15" t="str">
        <f>D670&amp;"-"&amp;B670</f>
        <v>Enbridge-CAN</v>
      </c>
      <c r="F670" s="15" t="s">
        <v>950</v>
      </c>
      <c r="H670" s="116" t="s">
        <v>135</v>
      </c>
      <c r="I670" s="15" t="s">
        <v>118</v>
      </c>
      <c r="J670">
        <f>3711979</f>
        <v>3711979</v>
      </c>
    </row>
    <row r="671" spans="1:10" ht="15" x14ac:dyDescent="0.25">
      <c r="A671" s="15" t="str">
        <f>_xlfn.XLOOKUP(E671,Program_data!$E$3:$E$1234,Program_data!$E$3:$E$1234,"",0,1)</f>
        <v>Enbridge-CAN</v>
      </c>
      <c r="B671" s="15" t="s">
        <v>33</v>
      </c>
      <c r="C671" s="15" t="s">
        <v>960</v>
      </c>
      <c r="D671" s="15" t="s">
        <v>77</v>
      </c>
      <c r="E671" s="15" t="str">
        <f t="shared" si="34"/>
        <v>Enbridge-CAN</v>
      </c>
      <c r="F671" s="15" t="s">
        <v>951</v>
      </c>
      <c r="H671" s="116" t="s">
        <v>135</v>
      </c>
      <c r="I671" s="15" t="s">
        <v>117</v>
      </c>
      <c r="J671">
        <f>7665.68*35323.2</f>
        <v>270776347.77599996</v>
      </c>
    </row>
    <row r="672" spans="1:10" ht="15" x14ac:dyDescent="0.25">
      <c r="A672" s="15" t="str">
        <f>_xlfn.XLOOKUP(E672,Program_data!$E$3:$E$1234,Program_data!$E$3:$E$1234,"",0,1)</f>
        <v>Enbridge-CAN</v>
      </c>
      <c r="B672" s="15" t="s">
        <v>33</v>
      </c>
      <c r="C672" s="15" t="s">
        <v>960</v>
      </c>
      <c r="D672" s="15" t="s">
        <v>77</v>
      </c>
      <c r="E672" s="15" t="str">
        <f t="shared" ref="E672:E675" si="35">D672&amp;"-"&amp;B672</f>
        <v>Enbridge-CAN</v>
      </c>
      <c r="F672" s="15" t="s">
        <v>949</v>
      </c>
      <c r="H672" s="116" t="s">
        <v>135</v>
      </c>
      <c r="I672" s="15" t="s">
        <v>116</v>
      </c>
      <c r="J672">
        <f>(J671/(J671+J674))*(4892946868*0.7)</f>
        <v>1047994412.7701588</v>
      </c>
    </row>
    <row r="673" spans="1:10" ht="15" x14ac:dyDescent="0.25">
      <c r="A673" s="15" t="str">
        <f>_xlfn.XLOOKUP(E673,Program_data!$E$3:$E$1234,Program_data!$E$3:$E$1234,"",0,1)</f>
        <v>Enbridge-CAN</v>
      </c>
      <c r="B673" s="15" t="s">
        <v>33</v>
      </c>
      <c r="C673" s="15" t="s">
        <v>960</v>
      </c>
      <c r="D673" s="15" t="s">
        <v>77</v>
      </c>
      <c r="E673" s="15" t="str">
        <f t="shared" si="35"/>
        <v>Enbridge-CAN</v>
      </c>
      <c r="F673" s="15" t="s">
        <v>954</v>
      </c>
      <c r="H673" s="116" t="s">
        <v>146</v>
      </c>
      <c r="I673" s="15" t="s">
        <v>118</v>
      </c>
      <c r="J673">
        <v>16513</v>
      </c>
    </row>
    <row r="674" spans="1:10" ht="15" x14ac:dyDescent="0.25">
      <c r="A674" s="15" t="str">
        <f>_xlfn.XLOOKUP(E674,Program_data!$E$3:$E$1234,Program_data!$E$3:$E$1234,"",0,1)</f>
        <v>Enbridge-CAN</v>
      </c>
      <c r="B674" s="15" t="s">
        <v>33</v>
      </c>
      <c r="C674" s="15" t="s">
        <v>960</v>
      </c>
      <c r="D674" s="15" t="s">
        <v>77</v>
      </c>
      <c r="E674" s="15" t="str">
        <f t="shared" si="35"/>
        <v>Enbridge-CAN</v>
      </c>
      <c r="F674" s="15" t="s">
        <v>952</v>
      </c>
      <c r="H674" s="116" t="s">
        <v>146</v>
      </c>
      <c r="I674" s="15" t="s">
        <v>117</v>
      </c>
      <c r="J674">
        <f>17387.35*35323.2</f>
        <v>614176841.51999986</v>
      </c>
    </row>
    <row r="675" spans="1:10" ht="15" x14ac:dyDescent="0.25">
      <c r="A675" s="15" t="str">
        <f>_xlfn.XLOOKUP(E675,Program_data!$E$3:$E$1234,Program_data!$E$3:$E$1234,"",0,1)</f>
        <v>Enbridge-CAN</v>
      </c>
      <c r="B675" s="15" t="s">
        <v>33</v>
      </c>
      <c r="C675" s="15" t="s">
        <v>960</v>
      </c>
      <c r="D675" s="15" t="s">
        <v>77</v>
      </c>
      <c r="E675" s="15" t="str">
        <f t="shared" si="35"/>
        <v>Enbridge-CAN</v>
      </c>
      <c r="F675" s="15" t="s">
        <v>953</v>
      </c>
      <c r="H675" s="116" t="s">
        <v>146</v>
      </c>
      <c r="I675" s="15" t="s">
        <v>116</v>
      </c>
      <c r="J675">
        <f>(4892946868*0.7)-J672</f>
        <v>2377068394.8298411</v>
      </c>
    </row>
  </sheetData>
  <autoFilter ref="A1:J675" xr:uid="{F577DA63-93F0-4F4A-B208-14BE8589DA1E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EAAD-D270-4827-9ED2-215F307872B3}">
  <dimension ref="A1:E129"/>
  <sheetViews>
    <sheetView workbookViewId="0"/>
  </sheetViews>
  <sheetFormatPr defaultRowHeight="15" x14ac:dyDescent="0.25"/>
  <cols>
    <col min="1" max="1" width="14" bestFit="1" customWidth="1"/>
    <col min="2" max="2" width="17.140625" bestFit="1" customWidth="1"/>
    <col min="3" max="3" width="12.5703125" bestFit="1" customWidth="1"/>
    <col min="4" max="5" width="10.7109375" bestFit="1" customWidth="1"/>
  </cols>
  <sheetData>
    <row r="1" spans="1:4" x14ac:dyDescent="0.25">
      <c r="A1" s="2" t="s">
        <v>911</v>
      </c>
      <c r="B1" t="s">
        <v>117</v>
      </c>
    </row>
    <row r="2" spans="1:4" x14ac:dyDescent="0.25">
      <c r="A2" s="2" t="s">
        <v>909</v>
      </c>
      <c r="B2" t="s">
        <v>961</v>
      </c>
    </row>
    <row r="3" spans="1:4" x14ac:dyDescent="0.25">
      <c r="A3" s="2" t="s">
        <v>904</v>
      </c>
      <c r="B3" t="s">
        <v>962</v>
      </c>
    </row>
    <row r="5" spans="1:4" x14ac:dyDescent="0.25">
      <c r="A5" s="17" t="s">
        <v>963</v>
      </c>
      <c r="B5" s="11" t="s">
        <v>897</v>
      </c>
    </row>
    <row r="6" spans="1:4" x14ac:dyDescent="0.25">
      <c r="A6" s="3" t="s">
        <v>878</v>
      </c>
      <c r="B6" s="16">
        <v>9.1681150411065584</v>
      </c>
    </row>
    <row r="7" spans="1:4" x14ac:dyDescent="0.25">
      <c r="A7" s="18" t="s">
        <v>888</v>
      </c>
      <c r="B7" s="106">
        <v>4.5704462557599994</v>
      </c>
    </row>
    <row r="8" spans="1:4" x14ac:dyDescent="0.25">
      <c r="A8" s="3" t="s">
        <v>890</v>
      </c>
      <c r="B8" s="16">
        <v>3.8633756341599996</v>
      </c>
      <c r="D8" s="19"/>
    </row>
    <row r="9" spans="1:4" x14ac:dyDescent="0.25">
      <c r="A9" s="18" t="s">
        <v>887</v>
      </c>
      <c r="B9" s="106">
        <v>2.8981458612399997</v>
      </c>
    </row>
    <row r="10" spans="1:4" x14ac:dyDescent="0.25">
      <c r="A10" s="18" t="s">
        <v>902</v>
      </c>
      <c r="B10" s="106">
        <v>2.7467489859600001</v>
      </c>
    </row>
    <row r="11" spans="1:4" x14ac:dyDescent="0.25">
      <c r="A11" s="18" t="s">
        <v>892</v>
      </c>
      <c r="B11" s="106">
        <v>2.4183214666799997</v>
      </c>
    </row>
    <row r="12" spans="1:4" x14ac:dyDescent="0.25">
      <c r="A12" s="18" t="s">
        <v>894</v>
      </c>
      <c r="B12" s="106">
        <v>2.2919952112399997</v>
      </c>
    </row>
    <row r="13" spans="1:4" x14ac:dyDescent="0.25">
      <c r="A13" s="18" t="s">
        <v>895</v>
      </c>
      <c r="B13" s="106">
        <v>2.1568007750799998</v>
      </c>
    </row>
    <row r="14" spans="1:4" x14ac:dyDescent="0.25">
      <c r="A14" s="18" t="s">
        <v>881</v>
      </c>
      <c r="B14" s="106">
        <v>1.9213666981599999</v>
      </c>
    </row>
    <row r="15" spans="1:4" x14ac:dyDescent="0.25">
      <c r="A15" s="3" t="s">
        <v>696</v>
      </c>
      <c r="B15" s="16">
        <v>1.6398372825553611</v>
      </c>
    </row>
    <row r="16" spans="1:4" x14ac:dyDescent="0.25">
      <c r="A16" s="18" t="s">
        <v>891</v>
      </c>
      <c r="B16" s="106">
        <v>1.6327903381999997</v>
      </c>
    </row>
    <row r="17" spans="1:2" x14ac:dyDescent="0.25">
      <c r="A17" s="18" t="s">
        <v>559</v>
      </c>
      <c r="B17" s="106">
        <v>1.61233198</v>
      </c>
    </row>
    <row r="18" spans="1:2" x14ac:dyDescent="0.25">
      <c r="A18" s="18" t="s">
        <v>889</v>
      </c>
      <c r="B18" s="106">
        <v>1.560214964</v>
      </c>
    </row>
    <row r="19" spans="1:2" x14ac:dyDescent="0.25">
      <c r="A19" s="18" t="s">
        <v>896</v>
      </c>
      <c r="B19" s="106">
        <v>1.5581625754799999</v>
      </c>
    </row>
    <row r="20" spans="1:2" x14ac:dyDescent="0.25">
      <c r="A20" s="18" t="s">
        <v>876</v>
      </c>
      <c r="B20" s="106">
        <v>1.2451957814800001</v>
      </c>
    </row>
    <row r="21" spans="1:2" x14ac:dyDescent="0.25">
      <c r="A21" s="18" t="s">
        <v>880</v>
      </c>
      <c r="B21" s="106">
        <v>1.211875504</v>
      </c>
    </row>
    <row r="22" spans="1:2" x14ac:dyDescent="0.25">
      <c r="A22" s="18" t="s">
        <v>882</v>
      </c>
      <c r="B22" s="106">
        <v>1.0552476989599999</v>
      </c>
    </row>
    <row r="23" spans="1:2" x14ac:dyDescent="0.25">
      <c r="A23" s="18" t="s">
        <v>879</v>
      </c>
      <c r="B23" s="106">
        <v>0.87089204803999998</v>
      </c>
    </row>
    <row r="24" spans="1:2" x14ac:dyDescent="0.25">
      <c r="A24" s="18" t="s">
        <v>885</v>
      </c>
      <c r="B24" s="106">
        <v>0.83228337387999995</v>
      </c>
    </row>
    <row r="25" spans="1:2" x14ac:dyDescent="0.25">
      <c r="A25" s="18" t="s">
        <v>884</v>
      </c>
      <c r="B25" s="106">
        <v>0.5655529387199999</v>
      </c>
    </row>
    <row r="26" spans="1:2" x14ac:dyDescent="0.25">
      <c r="A26" s="3" t="s">
        <v>875</v>
      </c>
      <c r="B26" s="16">
        <v>45.819700414701913</v>
      </c>
    </row>
    <row r="34" spans="1:2" x14ac:dyDescent="0.25">
      <c r="A34" s="2" t="s">
        <v>911</v>
      </c>
      <c r="B34" t="s">
        <v>116</v>
      </c>
    </row>
    <row r="35" spans="1:2" x14ac:dyDescent="0.25">
      <c r="A35" s="2" t="s">
        <v>909</v>
      </c>
      <c r="B35" t="s">
        <v>961</v>
      </c>
    </row>
    <row r="36" spans="1:2" x14ac:dyDescent="0.25">
      <c r="A36" s="2" t="s">
        <v>904</v>
      </c>
      <c r="B36" t="s">
        <v>962</v>
      </c>
    </row>
    <row r="38" spans="1:2" x14ac:dyDescent="0.25">
      <c r="A38" s="2" t="s">
        <v>963</v>
      </c>
      <c r="B38" t="s">
        <v>964</v>
      </c>
    </row>
    <row r="39" spans="1:2" x14ac:dyDescent="0.25">
      <c r="A39" s="3" t="s">
        <v>878</v>
      </c>
      <c r="B39" s="13">
        <v>3.4250628075999998</v>
      </c>
    </row>
    <row r="40" spans="1:2" x14ac:dyDescent="0.25">
      <c r="A40" s="3" t="s">
        <v>888</v>
      </c>
      <c r="B40" s="13">
        <v>2.1969124180000001</v>
      </c>
    </row>
    <row r="41" spans="1:2" x14ac:dyDescent="0.25">
      <c r="A41" s="3" t="s">
        <v>894</v>
      </c>
      <c r="B41" s="13">
        <v>2.1380752489999999</v>
      </c>
    </row>
    <row r="42" spans="1:2" x14ac:dyDescent="0.25">
      <c r="A42" s="3" t="s">
        <v>890</v>
      </c>
      <c r="B42" s="13">
        <v>2.0052446000000002</v>
      </c>
    </row>
    <row r="43" spans="1:2" x14ac:dyDescent="0.25">
      <c r="A43" s="3" t="s">
        <v>887</v>
      </c>
      <c r="B43" s="13">
        <v>1.976161463</v>
      </c>
    </row>
    <row r="44" spans="1:2" x14ac:dyDescent="0.25">
      <c r="A44" s="3" t="s">
        <v>902</v>
      </c>
      <c r="B44" s="13">
        <v>1.817153408</v>
      </c>
    </row>
    <row r="45" spans="1:2" x14ac:dyDescent="0.25">
      <c r="A45" s="3" t="s">
        <v>895</v>
      </c>
      <c r="B45" s="13">
        <v>1.750657898</v>
      </c>
    </row>
    <row r="46" spans="1:2" x14ac:dyDescent="0.25">
      <c r="A46" s="3" t="s">
        <v>889</v>
      </c>
      <c r="B46" s="13">
        <v>1.502663699</v>
      </c>
    </row>
    <row r="47" spans="1:2" x14ac:dyDescent="0.25">
      <c r="A47" s="3" t="s">
        <v>696</v>
      </c>
      <c r="B47" s="13">
        <v>1.4296800000000001</v>
      </c>
    </row>
    <row r="48" spans="1:2" x14ac:dyDescent="0.25">
      <c r="A48" s="3" t="s">
        <v>892</v>
      </c>
      <c r="B48" s="13">
        <v>1.280322374</v>
      </c>
    </row>
    <row r="49" spans="1:2" x14ac:dyDescent="0.25">
      <c r="A49" s="3" t="s">
        <v>876</v>
      </c>
      <c r="B49" s="13">
        <v>1.231007132</v>
      </c>
    </row>
    <row r="50" spans="1:2" x14ac:dyDescent="0.25">
      <c r="A50" s="3" t="s">
        <v>881</v>
      </c>
      <c r="B50" s="13">
        <v>1.224988736</v>
      </c>
    </row>
    <row r="51" spans="1:2" x14ac:dyDescent="0.25">
      <c r="A51" s="3" t="s">
        <v>891</v>
      </c>
      <c r="B51" s="13">
        <v>1.1222306980000001</v>
      </c>
    </row>
    <row r="52" spans="1:2" x14ac:dyDescent="0.25">
      <c r="A52" s="3" t="s">
        <v>880</v>
      </c>
      <c r="B52" s="13">
        <v>1.0560689999999999</v>
      </c>
    </row>
    <row r="53" spans="1:2" x14ac:dyDescent="0.25">
      <c r="A53" s="3" t="s">
        <v>879</v>
      </c>
      <c r="B53" s="13">
        <v>0.98563999700000005</v>
      </c>
    </row>
    <row r="54" spans="1:2" x14ac:dyDescent="0.25">
      <c r="A54" s="3" t="s">
        <v>559</v>
      </c>
      <c r="B54" s="13">
        <v>0.93488170699999995</v>
      </c>
    </row>
    <row r="55" spans="1:2" x14ac:dyDescent="0.25">
      <c r="A55" s="3" t="s">
        <v>896</v>
      </c>
      <c r="B55" s="13">
        <v>0.89018681899999996</v>
      </c>
    </row>
    <row r="56" spans="1:2" x14ac:dyDescent="0.25">
      <c r="A56" s="3" t="s">
        <v>882</v>
      </c>
      <c r="B56" s="13">
        <v>0.68718454600000001</v>
      </c>
    </row>
    <row r="57" spans="1:2" x14ac:dyDescent="0.25">
      <c r="A57" s="3" t="s">
        <v>884</v>
      </c>
      <c r="B57" s="13">
        <v>0.59260135899999999</v>
      </c>
    </row>
    <row r="58" spans="1:2" x14ac:dyDescent="0.25">
      <c r="A58" s="3" t="s">
        <v>885</v>
      </c>
      <c r="B58" s="13">
        <v>0.52610947299999999</v>
      </c>
    </row>
    <row r="59" spans="1:2" x14ac:dyDescent="0.25">
      <c r="A59" s="3" t="s">
        <v>886</v>
      </c>
      <c r="B59" s="13">
        <v>0.39282344200000002</v>
      </c>
    </row>
    <row r="60" spans="1:2" x14ac:dyDescent="0.25">
      <c r="A60" s="3" t="s">
        <v>883</v>
      </c>
      <c r="B60" s="13">
        <v>0.38921325000000001</v>
      </c>
    </row>
    <row r="61" spans="1:2" x14ac:dyDescent="0.25">
      <c r="A61" s="3" t="s">
        <v>965</v>
      </c>
      <c r="B61" s="13">
        <v>0.16527836900000001</v>
      </c>
    </row>
    <row r="62" spans="1:2" x14ac:dyDescent="0.25">
      <c r="A62" s="3" t="s">
        <v>875</v>
      </c>
      <c r="B62" s="13">
        <v>29.720148444599999</v>
      </c>
    </row>
    <row r="71" spans="1:5" x14ac:dyDescent="0.25">
      <c r="A71" s="2" t="s">
        <v>911</v>
      </c>
      <c r="B71" t="s">
        <v>117</v>
      </c>
    </row>
    <row r="72" spans="1:5" x14ac:dyDescent="0.25">
      <c r="A72" s="2" t="s">
        <v>909</v>
      </c>
      <c r="B72" t="s">
        <v>961</v>
      </c>
    </row>
    <row r="74" spans="1:5" x14ac:dyDescent="0.25">
      <c r="A74" s="2" t="s">
        <v>897</v>
      </c>
      <c r="B74" s="2" t="s">
        <v>966</v>
      </c>
    </row>
    <row r="75" spans="1:5" x14ac:dyDescent="0.25">
      <c r="A75" s="2" t="s">
        <v>963</v>
      </c>
      <c r="B75" t="s">
        <v>146</v>
      </c>
      <c r="C75" t="s">
        <v>135</v>
      </c>
      <c r="D75" t="s">
        <v>875</v>
      </c>
    </row>
    <row r="76" spans="1:5" x14ac:dyDescent="0.25">
      <c r="A76" s="3" t="s">
        <v>894</v>
      </c>
      <c r="B76" s="21">
        <v>1.2557198009999999</v>
      </c>
      <c r="C76" s="21">
        <v>1.0362754102399998</v>
      </c>
      <c r="D76" s="21">
        <v>2.2919952112399997</v>
      </c>
    </row>
    <row r="77" spans="1:5" x14ac:dyDescent="0.25">
      <c r="A77" s="3" t="s">
        <v>875</v>
      </c>
      <c r="B77" s="21">
        <v>1.2557198009999999</v>
      </c>
      <c r="C77" s="21">
        <v>1.0362754102399998</v>
      </c>
      <c r="D77" s="21">
        <v>2.2919952112399997</v>
      </c>
    </row>
    <row r="79" spans="1:5" x14ac:dyDescent="0.25">
      <c r="B79" s="19"/>
      <c r="C79" s="19"/>
      <c r="D79" s="19"/>
      <c r="E79" s="19"/>
    </row>
    <row r="81" spans="1:4" x14ac:dyDescent="0.25">
      <c r="A81" s="2" t="s">
        <v>911</v>
      </c>
      <c r="B81" t="s">
        <v>117</v>
      </c>
    </row>
    <row r="82" spans="1:4" x14ac:dyDescent="0.25">
      <c r="A82" s="2" t="s">
        <v>909</v>
      </c>
      <c r="B82" t="s">
        <v>961</v>
      </c>
    </row>
    <row r="84" spans="1:4" x14ac:dyDescent="0.25">
      <c r="A84" s="2" t="s">
        <v>897</v>
      </c>
      <c r="B84" s="2" t="s">
        <v>966</v>
      </c>
    </row>
    <row r="85" spans="1:4" x14ac:dyDescent="0.25">
      <c r="A85" s="2" t="s">
        <v>963</v>
      </c>
      <c r="B85" t="s">
        <v>146</v>
      </c>
      <c r="C85" t="s">
        <v>135</v>
      </c>
      <c r="D85" t="s">
        <v>875</v>
      </c>
    </row>
    <row r="86" spans="1:4" x14ac:dyDescent="0.25">
      <c r="A86" s="3" t="s">
        <v>895</v>
      </c>
      <c r="B86" s="21">
        <v>1.06900795456</v>
      </c>
      <c r="C86" s="21">
        <v>1.08779282052</v>
      </c>
      <c r="D86" s="21">
        <v>2.1568007750799998</v>
      </c>
    </row>
    <row r="87" spans="1:4" x14ac:dyDescent="0.25">
      <c r="A87" s="3" t="s">
        <v>875</v>
      </c>
      <c r="B87" s="21">
        <v>1.06900795456</v>
      </c>
      <c r="C87" s="21">
        <v>1.08779282052</v>
      </c>
      <c r="D87" s="21">
        <v>2.1568007750799998</v>
      </c>
    </row>
    <row r="89" spans="1:4" x14ac:dyDescent="0.25">
      <c r="B89" s="19"/>
      <c r="C89" s="19"/>
      <c r="D89" s="19"/>
    </row>
    <row r="99" spans="1:4" x14ac:dyDescent="0.25">
      <c r="A99" s="2" t="s">
        <v>911</v>
      </c>
      <c r="B99" t="s">
        <v>117</v>
      </c>
    </row>
    <row r="100" spans="1:4" x14ac:dyDescent="0.25">
      <c r="A100" s="2" t="s">
        <v>909</v>
      </c>
      <c r="B100" t="s">
        <v>961</v>
      </c>
    </row>
    <row r="102" spans="1:4" x14ac:dyDescent="0.25">
      <c r="A102" s="2" t="s">
        <v>897</v>
      </c>
      <c r="B102" s="2" t="s">
        <v>966</v>
      </c>
    </row>
    <row r="103" spans="1:4" x14ac:dyDescent="0.25">
      <c r="A103" s="17" t="s">
        <v>963</v>
      </c>
      <c r="B103" t="s">
        <v>135</v>
      </c>
      <c r="C103" t="s">
        <v>146</v>
      </c>
      <c r="D103" t="s">
        <v>875</v>
      </c>
    </row>
    <row r="104" spans="1:4" x14ac:dyDescent="0.25">
      <c r="A104" s="18" t="s">
        <v>967</v>
      </c>
      <c r="B104" s="23">
        <v>0.38936495525169734</v>
      </c>
      <c r="C104" s="23">
        <v>0.61063504474830244</v>
      </c>
      <c r="D104" s="23">
        <v>1</v>
      </c>
    </row>
    <row r="105" spans="1:4" x14ac:dyDescent="0.25">
      <c r="A105" s="18" t="s">
        <v>968</v>
      </c>
      <c r="B105" s="23">
        <v>0.35122930605617769</v>
      </c>
      <c r="C105" s="23">
        <v>0.64877069394382236</v>
      </c>
      <c r="D105" s="23">
        <v>1</v>
      </c>
    </row>
    <row r="106" spans="1:4" x14ac:dyDescent="0.25">
      <c r="A106" s="18" t="s">
        <v>888</v>
      </c>
      <c r="B106" s="23">
        <v>0.48554815253833095</v>
      </c>
      <c r="C106" s="23">
        <v>0.51445184746166917</v>
      </c>
      <c r="D106" s="23">
        <v>1</v>
      </c>
    </row>
    <row r="107" spans="1:4" x14ac:dyDescent="0.25">
      <c r="A107" s="3" t="s">
        <v>890</v>
      </c>
      <c r="B107" s="19">
        <v>0.34603092606879426</v>
      </c>
      <c r="C107" s="19">
        <v>0.65396907393120574</v>
      </c>
      <c r="D107" s="19">
        <v>1</v>
      </c>
    </row>
    <row r="108" spans="1:4" x14ac:dyDescent="0.25">
      <c r="A108" s="18" t="s">
        <v>887</v>
      </c>
      <c r="B108" s="23">
        <v>0.52393376112212731</v>
      </c>
      <c r="C108" s="23">
        <v>0.47606623887787269</v>
      </c>
      <c r="D108" s="23">
        <v>1</v>
      </c>
    </row>
    <row r="109" spans="1:4" x14ac:dyDescent="0.25">
      <c r="A109" s="18" t="s">
        <v>902</v>
      </c>
      <c r="B109" s="23">
        <v>0.53014019590547523</v>
      </c>
      <c r="C109" s="23">
        <v>0.46985980409452466</v>
      </c>
      <c r="D109" s="23">
        <v>1</v>
      </c>
    </row>
    <row r="110" spans="1:4" x14ac:dyDescent="0.25">
      <c r="A110" s="18" t="s">
        <v>892</v>
      </c>
      <c r="B110" s="23">
        <v>0.46606400987182756</v>
      </c>
      <c r="C110" s="23">
        <v>0.5339359901281725</v>
      </c>
      <c r="D110" s="23">
        <v>1</v>
      </c>
    </row>
    <row r="111" spans="1:4" x14ac:dyDescent="0.25">
      <c r="A111" s="18" t="s">
        <v>894</v>
      </c>
      <c r="B111" s="23">
        <v>0.45212808698643009</v>
      </c>
      <c r="C111" s="23">
        <v>0.54787191301356986</v>
      </c>
      <c r="D111" s="23">
        <v>1</v>
      </c>
    </row>
    <row r="112" spans="1:4" x14ac:dyDescent="0.25">
      <c r="A112" s="18" t="s">
        <v>895</v>
      </c>
      <c r="B112" s="23">
        <v>0.50435479859267562</v>
      </c>
      <c r="C112" s="23">
        <v>0.49564520140732443</v>
      </c>
      <c r="D112" s="23">
        <v>1</v>
      </c>
    </row>
    <row r="113" spans="1:4" x14ac:dyDescent="0.25">
      <c r="A113" s="18" t="s">
        <v>881</v>
      </c>
      <c r="B113" s="23">
        <v>0.51448405836670874</v>
      </c>
      <c r="C113" s="23">
        <v>0.48551594163329115</v>
      </c>
      <c r="D113" s="23">
        <v>1</v>
      </c>
    </row>
    <row r="114" spans="1:4" x14ac:dyDescent="0.25">
      <c r="A114" s="18" t="s">
        <v>891</v>
      </c>
      <c r="B114" s="23">
        <v>0.43299951089825722</v>
      </c>
      <c r="C114" s="23">
        <v>0.56700048910174283</v>
      </c>
      <c r="D114" s="23">
        <v>1</v>
      </c>
    </row>
    <row r="115" spans="1:4" x14ac:dyDescent="0.25">
      <c r="A115" s="18" t="s">
        <v>559</v>
      </c>
      <c r="B115" s="23">
        <v>0.33558479218405129</v>
      </c>
      <c r="C115" s="23">
        <v>0.66441520781594854</v>
      </c>
      <c r="D115" s="23">
        <v>1</v>
      </c>
    </row>
    <row r="116" spans="1:4" x14ac:dyDescent="0.25">
      <c r="A116" s="18" t="s">
        <v>969</v>
      </c>
      <c r="B116" s="23">
        <v>0.81167270261038083</v>
      </c>
      <c r="C116" s="23">
        <v>0.18832729738961929</v>
      </c>
      <c r="D116" s="23">
        <v>1</v>
      </c>
    </row>
    <row r="117" spans="1:4" x14ac:dyDescent="0.25">
      <c r="A117" s="18" t="s">
        <v>889</v>
      </c>
      <c r="B117" s="23">
        <v>0.60674191682730194</v>
      </c>
      <c r="C117" s="23">
        <v>0.39325808317269795</v>
      </c>
      <c r="D117" s="23">
        <v>1</v>
      </c>
    </row>
    <row r="118" spans="1:4" x14ac:dyDescent="0.25">
      <c r="A118" s="18" t="s">
        <v>896</v>
      </c>
      <c r="B118" s="23">
        <v>0.47411298480996172</v>
      </c>
      <c r="C118" s="23">
        <v>0.52588701519003833</v>
      </c>
      <c r="D118" s="23">
        <v>1</v>
      </c>
    </row>
    <row r="119" spans="1:4" x14ac:dyDescent="0.25">
      <c r="A119" s="18" t="s">
        <v>876</v>
      </c>
      <c r="B119" s="23">
        <v>0.40500384037648623</v>
      </c>
      <c r="C119" s="23">
        <v>0.5949961596235136</v>
      </c>
      <c r="D119" s="23">
        <v>1</v>
      </c>
    </row>
    <row r="120" spans="1:4" x14ac:dyDescent="0.25">
      <c r="A120" s="18" t="s">
        <v>880</v>
      </c>
      <c r="B120" s="23">
        <v>0.52235151705814165</v>
      </c>
      <c r="C120" s="23">
        <v>0.47764848294185841</v>
      </c>
      <c r="D120" s="23">
        <v>1</v>
      </c>
    </row>
    <row r="121" spans="1:4" x14ac:dyDescent="0.25">
      <c r="A121" s="18" t="s">
        <v>882</v>
      </c>
      <c r="B121" s="23">
        <v>0.36199487784382256</v>
      </c>
      <c r="C121" s="23">
        <v>0.63800512215617744</v>
      </c>
      <c r="D121" s="23">
        <v>1</v>
      </c>
    </row>
    <row r="122" spans="1:4" x14ac:dyDescent="0.25">
      <c r="A122" s="18" t="s">
        <v>879</v>
      </c>
      <c r="B122" s="23">
        <v>0.52955049549243105</v>
      </c>
      <c r="C122" s="23">
        <v>0.47044950450756901</v>
      </c>
      <c r="D122" s="23">
        <v>1</v>
      </c>
    </row>
    <row r="123" spans="1:4" x14ac:dyDescent="0.25">
      <c r="A123" s="18" t="s">
        <v>885</v>
      </c>
      <c r="B123" s="23">
        <v>0.43924029895700983</v>
      </c>
      <c r="C123" s="23">
        <v>0.56075970104299011</v>
      </c>
      <c r="D123" s="23">
        <v>1</v>
      </c>
    </row>
    <row r="124" spans="1:4" x14ac:dyDescent="0.25">
      <c r="A124" s="18" t="s">
        <v>970</v>
      </c>
      <c r="B124" s="23">
        <v>0.44093660059551454</v>
      </c>
      <c r="C124" s="23">
        <v>0.55906339940448546</v>
      </c>
      <c r="D124" s="23">
        <v>1</v>
      </c>
    </row>
    <row r="125" spans="1:4" x14ac:dyDescent="0.25">
      <c r="A125" s="18" t="s">
        <v>971</v>
      </c>
      <c r="B125" s="23">
        <v>0.55267437778251816</v>
      </c>
      <c r="C125" s="23">
        <v>0.4473256222174819</v>
      </c>
      <c r="D125" s="23">
        <v>1</v>
      </c>
    </row>
    <row r="126" spans="1:4" x14ac:dyDescent="0.25">
      <c r="A126" s="18" t="s">
        <v>972</v>
      </c>
      <c r="B126" s="23">
        <v>0.46098693806681162</v>
      </c>
      <c r="C126" s="23">
        <v>0.53901306193318843</v>
      </c>
      <c r="D126" s="23">
        <v>1</v>
      </c>
    </row>
    <row r="127" spans="1:4" x14ac:dyDescent="0.25">
      <c r="A127" s="18" t="s">
        <v>973</v>
      </c>
      <c r="B127" s="23">
        <v>0.48814094077289605</v>
      </c>
      <c r="C127" s="23">
        <v>0.51185905922710384</v>
      </c>
      <c r="D127" s="23">
        <v>1</v>
      </c>
    </row>
    <row r="128" spans="1:4" x14ac:dyDescent="0.25">
      <c r="A128" s="18" t="s">
        <v>884</v>
      </c>
      <c r="B128" s="23">
        <v>0.29041644803708927</v>
      </c>
      <c r="C128" s="23">
        <v>0.70958355196291079</v>
      </c>
      <c r="D128" s="23">
        <v>1</v>
      </c>
    </row>
    <row r="129" spans="1:4" x14ac:dyDescent="0.25">
      <c r="A129" s="3" t="s">
        <v>875</v>
      </c>
      <c r="B129" s="19">
        <v>0.45466059849495316</v>
      </c>
      <c r="C129" s="19">
        <v>0.54533940150504678</v>
      </c>
      <c r="D129" s="19">
        <v>1</v>
      </c>
    </row>
  </sheetData>
  <pageMargins left="0.7" right="0.7" top="0.75" bottom="0.75" header="0.3" footer="0.3"/>
  <pageSetup orientation="portrait" r:id="rId6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 xsi:nil="true"/>
    <Intervenor xmlns="d8658c64-b61e-47ac-bf9f-77b63b2ba9de" xsi:nil="true"/>
    <Issue xmlns="d8658c64-b61e-47ac-bf9f-77b63b2ba9de" xsi:nil="true"/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231B0ABC-AEA5-441C-952D-F61FF98C1ADF}"/>
</file>

<file path=customXml/itemProps2.xml><?xml version="1.0" encoding="utf-8"?>
<ds:datastoreItem xmlns:ds="http://schemas.openxmlformats.org/officeDocument/2006/customXml" ds:itemID="{0D053235-6831-401C-B102-950A3278E551}"/>
</file>

<file path=customXml/itemProps3.xml><?xml version="1.0" encoding="utf-8"?>
<ds:datastoreItem xmlns:ds="http://schemas.openxmlformats.org/officeDocument/2006/customXml" ds:itemID="{DB0DD6F4-0DAB-4101-ACAB-A52B77E201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Utility target list</vt:lpstr>
      <vt:lpstr>Program_data</vt:lpstr>
      <vt:lpstr>Pivot_Charts</vt:lpstr>
      <vt:lpstr>EIAwtransport</vt:lpstr>
      <vt:lpstr>EIAwTport_Pivot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2026-06-18T21:41:37Z</dcterms:created>
  <dcterms:modified xsi:type="dcterms:W3CDTF">2026-06-18T21:41:55Z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2026-06-18T21:41:55Z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2315af58-0edb-4a44-b788-c703400b8844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1607990620</vt:i4>
  </property>
  <property fmtid="{D5CDD505-2E9C-101B-9397-08002B2CF9AE}" pid="16" name="SV_HIDDEN_GRID_QUERY_LIST_4F35BF76-6C0D-4D9B-82B2-816C12CF3733">
    <vt:lpwstr>empty_477D106A-C0D6-4607-AEBD-E2C9D60EA279</vt:lpwstr>
  </property>
</Properties>
</file>